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20" windowWidth="11340" windowHeight="8070" tabRatio="698" firstSheet="21" activeTab="21"/>
  </bookViews>
  <sheets>
    <sheet name="PL0101" sheetId="76" state="hidden" r:id="rId1"/>
    <sheet name="PL0202 - Thue" sheetId="71" state="hidden" r:id="rId2"/>
    <sheet name="PL0300" sheetId="143" state="hidden" r:id="rId3"/>
    <sheet name="PL0400" sheetId="144" state="hidden" r:id="rId4"/>
    <sheet name="PL0500" sheetId="145" state="hidden" r:id="rId5"/>
    <sheet name="PL0603" sheetId="146" state="hidden" r:id="rId6"/>
    <sheet name="PL0700" sheetId="147" state="hidden" r:id="rId7"/>
    <sheet name="PL0900" sheetId="151" state="hidden" r:id="rId8"/>
    <sheet name="PL1000" sheetId="152" state="hidden" r:id="rId9"/>
    <sheet name="PL1100" sheetId="153" state="hidden" r:id="rId10"/>
    <sheet name="PL48" sheetId="140" state="hidden" r:id="rId11"/>
    <sheet name="PL50" sheetId="52" state="hidden" r:id="rId12"/>
    <sheet name="PL51" sheetId="53" state="hidden" r:id="rId13"/>
    <sheet name="PL52" sheetId="166" state="hidden" r:id="rId14"/>
    <sheet name="PL53" sheetId="63" state="hidden" r:id="rId15"/>
    <sheet name="PL53 (2)" sheetId="168" state="hidden" r:id="rId16"/>
    <sheet name="PL54" sheetId="164" state="hidden" r:id="rId17"/>
    <sheet name="PL54 (2)" sheetId="167" state="hidden" r:id="rId18"/>
    <sheet name="PL54 (3)" sheetId="169" state="hidden" r:id="rId19"/>
    <sheet name="PL58" sheetId="122" state="hidden" r:id="rId20"/>
    <sheet name="PL59" sheetId="64" state="hidden" r:id="rId21"/>
    <sheet name="PL61" sheetId="117" r:id="rId22"/>
  </sheets>
  <externalReferences>
    <externalReference r:id="rId23"/>
    <externalReference r:id="rId24"/>
  </externalReferences>
  <definedNames>
    <definedName name="abc" localSheetId="15">'[1]Dt 2001'!#REF!</definedName>
    <definedName name="abc" localSheetId="18">'[1]Dt 2001'!#REF!</definedName>
    <definedName name="abc">'[1]Dt 2001'!#REF!</definedName>
    <definedName name="ADP" localSheetId="15">#REF!</definedName>
    <definedName name="ADP" localSheetId="18">#REF!</definedName>
    <definedName name="ADP">#REF!</definedName>
    <definedName name="AKHAC" localSheetId="15">#REF!</definedName>
    <definedName name="AKHAC" localSheetId="18">#REF!</definedName>
    <definedName name="AKHAC">#REF!</definedName>
    <definedName name="ALTINH" localSheetId="15">#REF!</definedName>
    <definedName name="ALTINH" localSheetId="18">#REF!</definedName>
    <definedName name="ALTINH">#REF!</definedName>
    <definedName name="Anguon" localSheetId="7">'[1]Dt 2001'!#REF!</definedName>
    <definedName name="Anguon" localSheetId="8">'[1]Dt 2001'!#REF!</definedName>
    <definedName name="Anguon" localSheetId="9">'[1]Dt 2001'!#REF!</definedName>
    <definedName name="Anguon" localSheetId="10">'[1]Dt 2001'!#REF!</definedName>
    <definedName name="Anguon" localSheetId="13">'[1]Dt 2001'!#REF!</definedName>
    <definedName name="Anguon" localSheetId="15">'[1]Dt 2001'!#REF!</definedName>
    <definedName name="Anguon" localSheetId="16">'[1]Dt 2001'!#REF!</definedName>
    <definedName name="Anguon" localSheetId="17">'[1]Dt 2001'!#REF!</definedName>
    <definedName name="Anguon" localSheetId="18">'[1]Dt 2001'!#REF!</definedName>
    <definedName name="Anguon" localSheetId="19">'[1]Dt 2001'!#REF!</definedName>
    <definedName name="Anguon" localSheetId="21">'[1]Dt 2001'!#REF!</definedName>
    <definedName name="Anguon">'[1]Dt 2001'!#REF!</definedName>
    <definedName name="ANN" localSheetId="15">#REF!</definedName>
    <definedName name="ANN" localSheetId="18">#REF!</definedName>
    <definedName name="ANN">#REF!</definedName>
    <definedName name="ANQD" localSheetId="15">#REF!</definedName>
    <definedName name="ANQD" localSheetId="18">#REF!</definedName>
    <definedName name="ANQD">#REF!</definedName>
    <definedName name="ANQQH" localSheetId="7">'[1]Dt 2001'!#REF!</definedName>
    <definedName name="ANQQH" localSheetId="8">'[1]Dt 2001'!#REF!</definedName>
    <definedName name="ANQQH" localSheetId="9">'[1]Dt 2001'!#REF!</definedName>
    <definedName name="ANQQH" localSheetId="10">'[1]Dt 2001'!#REF!</definedName>
    <definedName name="ANQQH" localSheetId="13">'[1]Dt 2001'!#REF!</definedName>
    <definedName name="ANQQH" localSheetId="15">'[1]Dt 2001'!#REF!</definedName>
    <definedName name="ANQQH" localSheetId="16">'[1]Dt 2001'!#REF!</definedName>
    <definedName name="ANQQH" localSheetId="17">'[1]Dt 2001'!#REF!</definedName>
    <definedName name="ANQQH" localSheetId="18">'[1]Dt 2001'!#REF!</definedName>
    <definedName name="ANQQH" localSheetId="19">'[1]Dt 2001'!#REF!</definedName>
    <definedName name="ANQQH" localSheetId="21">'[1]Dt 2001'!#REF!</definedName>
    <definedName name="ANQQH">'[1]Dt 2001'!#REF!</definedName>
    <definedName name="ANSNN" localSheetId="7">'[1]Dt 2001'!#REF!</definedName>
    <definedName name="ANSNN" localSheetId="8">'[1]Dt 2001'!#REF!</definedName>
    <definedName name="ANSNN" localSheetId="9">'[1]Dt 2001'!#REF!</definedName>
    <definedName name="ANSNN" localSheetId="10">'[1]Dt 2001'!#REF!</definedName>
    <definedName name="ANSNN" localSheetId="13">'[1]Dt 2001'!#REF!</definedName>
    <definedName name="ANSNN" localSheetId="15">'[1]Dt 2001'!#REF!</definedName>
    <definedName name="ANSNN" localSheetId="16">'[1]Dt 2001'!#REF!</definedName>
    <definedName name="ANSNN" localSheetId="17">'[1]Dt 2001'!#REF!</definedName>
    <definedName name="ANSNN" localSheetId="18">'[1]Dt 2001'!#REF!</definedName>
    <definedName name="ANSNN" localSheetId="19">'[1]Dt 2001'!#REF!</definedName>
    <definedName name="ANSNN" localSheetId="21">'[1]Dt 2001'!#REF!</definedName>
    <definedName name="ANSNN">'[1]Dt 2001'!#REF!</definedName>
    <definedName name="ANSNNxnk" localSheetId="7">'[1]Dt 2001'!#REF!</definedName>
    <definedName name="ANSNNxnk" localSheetId="8">'[1]Dt 2001'!#REF!</definedName>
    <definedName name="ANSNNxnk" localSheetId="9">'[1]Dt 2001'!#REF!</definedName>
    <definedName name="ANSNNxnk" localSheetId="10">'[1]Dt 2001'!#REF!</definedName>
    <definedName name="ANSNNxnk" localSheetId="13">'[1]Dt 2001'!#REF!</definedName>
    <definedName name="ANSNNxnk" localSheetId="15">'[1]Dt 2001'!#REF!</definedName>
    <definedName name="ANSNNxnk" localSheetId="16">'[1]Dt 2001'!#REF!</definedName>
    <definedName name="ANSNNxnk" localSheetId="17">'[1]Dt 2001'!#REF!</definedName>
    <definedName name="ANSNNxnk" localSheetId="18">'[1]Dt 2001'!#REF!</definedName>
    <definedName name="ANSNNxnk" localSheetId="19">'[1]Dt 2001'!#REF!</definedName>
    <definedName name="ANSNNxnk" localSheetId="21">'[1]Dt 2001'!#REF!</definedName>
    <definedName name="ANSNNxnk">'[1]Dt 2001'!#REF!</definedName>
    <definedName name="APC" localSheetId="7">'[1]Dt 2001'!#REF!</definedName>
    <definedName name="APC" localSheetId="8">'[1]Dt 2001'!#REF!</definedName>
    <definedName name="APC" localSheetId="9">'[1]Dt 2001'!#REF!</definedName>
    <definedName name="APC" localSheetId="10">'[1]Dt 2001'!#REF!</definedName>
    <definedName name="APC" localSheetId="13">'[1]Dt 2001'!#REF!</definedName>
    <definedName name="APC" localSheetId="15">'[1]Dt 2001'!#REF!</definedName>
    <definedName name="APC" localSheetId="16">'[1]Dt 2001'!#REF!</definedName>
    <definedName name="APC" localSheetId="17">'[1]Dt 2001'!#REF!</definedName>
    <definedName name="APC" localSheetId="18">'[1]Dt 2001'!#REF!</definedName>
    <definedName name="APC" localSheetId="19">'[1]Dt 2001'!#REF!</definedName>
    <definedName name="APC" localSheetId="21">'[1]Dt 2001'!#REF!</definedName>
    <definedName name="APC">'[1]Dt 2001'!#REF!</definedName>
    <definedName name="ATW" localSheetId="15">#REF!</definedName>
    <definedName name="ATW" localSheetId="18">#REF!</definedName>
    <definedName name="ATW">#REF!</definedName>
    <definedName name="Can_doi" localSheetId="15">#REF!</definedName>
    <definedName name="Can_doi" localSheetId="18">#REF!</definedName>
    <definedName name="Can_doi">#REF!</definedName>
    <definedName name="DNNN" localSheetId="15">#REF!</definedName>
    <definedName name="DNNN" localSheetId="18">#REF!</definedName>
    <definedName name="DNNN">#REF!</definedName>
    <definedName name="Khac" localSheetId="15">#REF!</definedName>
    <definedName name="Khac" localSheetId="18">#REF!</definedName>
    <definedName name="Khac">#REF!</definedName>
    <definedName name="Khong_can_doi" localSheetId="15">#REF!</definedName>
    <definedName name="Khong_can_doi" localSheetId="18">#REF!</definedName>
    <definedName name="Khong_can_doi">#REF!</definedName>
    <definedName name="NQD" localSheetId="15">#REF!</definedName>
    <definedName name="NQD" localSheetId="18">#REF!</definedName>
    <definedName name="NQD">#REF!</definedName>
    <definedName name="NQQH" localSheetId="7">'[1]Dt 2001'!#REF!</definedName>
    <definedName name="NQQH" localSheetId="8">'[1]Dt 2001'!#REF!</definedName>
    <definedName name="NQQH" localSheetId="9">'[1]Dt 2001'!#REF!</definedName>
    <definedName name="NQQH" localSheetId="10">'[1]Dt 2001'!#REF!</definedName>
    <definedName name="NQQH" localSheetId="13">'[1]Dt 2001'!#REF!</definedName>
    <definedName name="NQQH" localSheetId="15">'[1]Dt 2001'!#REF!</definedName>
    <definedName name="NQQH" localSheetId="16">'[1]Dt 2001'!#REF!</definedName>
    <definedName name="NQQH" localSheetId="17">'[1]Dt 2001'!#REF!</definedName>
    <definedName name="NQQH" localSheetId="18">'[1]Dt 2001'!#REF!</definedName>
    <definedName name="NQQH" localSheetId="19">'[1]Dt 2001'!#REF!</definedName>
    <definedName name="NQQH" localSheetId="21">'[1]Dt 2001'!#REF!</definedName>
    <definedName name="NQQH">'[1]Dt 2001'!#REF!</definedName>
    <definedName name="NSNN" localSheetId="7">'[1]Dt 2001'!#REF!</definedName>
    <definedName name="NSNN" localSheetId="8">'[1]Dt 2001'!#REF!</definedName>
    <definedName name="NSNN" localSheetId="9">'[1]Dt 2001'!#REF!</definedName>
    <definedName name="NSNN" localSheetId="10">'[1]Dt 2001'!#REF!</definedName>
    <definedName name="NSNN" localSheetId="13">'[1]Dt 2001'!#REF!</definedName>
    <definedName name="NSNN" localSheetId="15">'[1]Dt 2001'!#REF!</definedName>
    <definedName name="NSNN" localSheetId="16">'[1]Dt 2001'!#REF!</definedName>
    <definedName name="NSNN" localSheetId="17">'[1]Dt 2001'!#REF!</definedName>
    <definedName name="NSNN" localSheetId="18">'[1]Dt 2001'!#REF!</definedName>
    <definedName name="NSNN" localSheetId="19">'[1]Dt 2001'!#REF!</definedName>
    <definedName name="NSNN" localSheetId="21">'[1]Dt 2001'!#REF!</definedName>
    <definedName name="NSNN">'[1]Dt 2001'!#REF!</definedName>
    <definedName name="PC" localSheetId="7">'[1]Dt 2001'!#REF!</definedName>
    <definedName name="PC" localSheetId="8">'[1]Dt 2001'!#REF!</definedName>
    <definedName name="PC" localSheetId="9">'[1]Dt 2001'!#REF!</definedName>
    <definedName name="PC" localSheetId="10">'[1]Dt 2001'!#REF!</definedName>
    <definedName name="PC" localSheetId="13">'[1]Dt 2001'!#REF!</definedName>
    <definedName name="PC" localSheetId="15">'[1]Dt 2001'!#REF!</definedName>
    <definedName name="PC" localSheetId="16">'[1]Dt 2001'!#REF!</definedName>
    <definedName name="PC" localSheetId="17">'[1]Dt 2001'!#REF!</definedName>
    <definedName name="PC" localSheetId="18">'[1]Dt 2001'!#REF!</definedName>
    <definedName name="PC" localSheetId="19">'[1]Dt 2001'!#REF!</definedName>
    <definedName name="PC" localSheetId="21">'[1]Dt 2001'!#REF!</definedName>
    <definedName name="PC">'[1]Dt 2001'!#REF!</definedName>
    <definedName name="Phan_cap" localSheetId="15">#REF!</definedName>
    <definedName name="Phan_cap" localSheetId="18">#REF!</definedName>
    <definedName name="Phan_cap">#REF!</definedName>
    <definedName name="Phi_le_phi" localSheetId="15">#REF!</definedName>
    <definedName name="Phi_le_phi" localSheetId="18">#REF!</definedName>
    <definedName name="Phi_le_phi">#REF!</definedName>
    <definedName name="_xlnm.Print_Area" localSheetId="0">'PL0101'!$A$1:$K$42</definedName>
    <definedName name="_xlnm.Print_Area" localSheetId="1">'PL0202 - Thue'!$A$1:$J$74</definedName>
    <definedName name="_xlnm.Print_Area" localSheetId="2">'PL0300'!$A$1:$I$52</definedName>
    <definedName name="_xlnm.Print_Area" localSheetId="3">'PL0400'!$C$1:$M$29</definedName>
    <definedName name="_xlnm.Print_Area" localSheetId="4">'PL0500'!$A$1:$M$30</definedName>
    <definedName name="_xlnm.Print_Area" localSheetId="5">'PL0603'!$A$1:$U$36</definedName>
    <definedName name="_xlnm.Print_Area" localSheetId="6">'PL0700'!$A$1:$J$43</definedName>
    <definedName name="_xlnm.Print_Area" localSheetId="7">'PL0900'!$A$1:$G$42</definedName>
    <definedName name="_xlnm.Print_Area" localSheetId="8">'PL1000'!$A$1:$G$30</definedName>
    <definedName name="_xlnm.Print_Area" localSheetId="9">'PL1100'!$A$1:$G$68</definedName>
    <definedName name="_xlnm.Print_Area" localSheetId="10">'PL48'!$A$1:$F$42</definedName>
    <definedName name="_xlnm.Print_Area" localSheetId="11">'PL50'!$A$1:$H$76</definedName>
    <definedName name="_xlnm.Print_Area" localSheetId="12">'PL51'!$A$1:$E$58</definedName>
    <definedName name="_xlnm.Print_Area" localSheetId="13">'PL52'!$A$1:$F$48</definedName>
    <definedName name="_xlnm.Print_Area" localSheetId="14">'PL53'!$A$1:$K$61</definedName>
    <definedName name="_xlnm.Print_Area" localSheetId="15">'PL53 (2)'!$A$1:$K$61</definedName>
    <definedName name="_xlnm.Print_Area" localSheetId="16">'PL54'!$A$1:$AA$91</definedName>
    <definedName name="_xlnm.Print_Area" localSheetId="17">'PL54 (2)'!$A$1:$AA$78</definedName>
    <definedName name="_xlnm.Print_Area" localSheetId="18">'PL54 (3)'!$A$1:$AA$91</definedName>
    <definedName name="_xlnm.Print_Area" localSheetId="19">'PL58'!$A$1:$AI$41</definedName>
    <definedName name="_xlnm.Print_Area">#REF!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3">#REF!</definedName>
    <definedName name="PRINT_AREA_MI" localSheetId="15">#REF!</definedName>
    <definedName name="PRINT_AREA_MI" localSheetId="16">#REF!</definedName>
    <definedName name="PRINT_AREA_MI" localSheetId="17">#REF!</definedName>
    <definedName name="PRINT_AREA_MI" localSheetId="18">#REF!</definedName>
    <definedName name="PRINT_AREA_MI" localSheetId="19">#REF!</definedName>
    <definedName name="PRINT_AREA_MI" localSheetId="21">#REF!</definedName>
    <definedName name="PRINT_AREA_MI">#REF!</definedName>
    <definedName name="_xlnm.Print_Titles" localSheetId="0">'PL0101'!$9:$13</definedName>
    <definedName name="_xlnm.Print_Titles" localSheetId="1">'PL0202 - Thue'!$7:$11</definedName>
    <definedName name="_xlnm.Print_Titles" localSheetId="10">'PL48'!$6:$7</definedName>
    <definedName name="_xlnm.Print_Titles" localSheetId="11">'PL50'!$7:$8</definedName>
    <definedName name="_xlnm.Print_Titles" localSheetId="12">'PL51'!$6:$6</definedName>
    <definedName name="_xlnm.Print_Titles" localSheetId="13">'PL52'!$7:$8</definedName>
    <definedName name="_xlnm.Print_Titles" localSheetId="14">'PL53'!$8:$9</definedName>
    <definedName name="_xlnm.Print_Titles" localSheetId="15">'PL53 (2)'!$8:$9</definedName>
    <definedName name="_xlnm.Print_Titles" localSheetId="16">'PL54'!$8:$12</definedName>
    <definedName name="_xlnm.Print_Titles" localSheetId="17">'PL54 (2)'!$7:$11</definedName>
    <definedName name="_xlnm.Print_Titles" localSheetId="18">'PL54 (3)'!$8:$12</definedName>
    <definedName name="_xlnm.Print_Titles" localSheetId="19">'PL58'!$9:$12</definedName>
    <definedName name="_xlnm.Print_Titles" localSheetId="20">'PL59'!$7:$9</definedName>
    <definedName name="_xlnm.Print_Titles" localSheetId="21">'PL61'!$10:$15</definedName>
    <definedName name="TW" localSheetId="15">#REF!</definedName>
    <definedName name="TW" localSheetId="18">#REF!</definedName>
    <definedName name="TW">#REF!</definedName>
  </definedNames>
  <calcPr calcId="124519"/>
</workbook>
</file>

<file path=xl/calcChain.xml><?xml version="1.0" encoding="utf-8"?>
<calcChain xmlns="http://schemas.openxmlformats.org/spreadsheetml/2006/main">
  <c r="R19" i="122"/>
  <c r="R16"/>
  <c r="G14" i="63" l="1"/>
  <c r="C13" i="140"/>
  <c r="G13" i="63" l="1"/>
  <c r="H25" l="1"/>
  <c r="H29"/>
  <c r="J25" i="140"/>
  <c r="H14" i="63"/>
  <c r="F14" s="1"/>
  <c r="D21" i="140"/>
  <c r="E21" s="1"/>
  <c r="D20"/>
  <c r="E20" s="1"/>
  <c r="V66" i="164"/>
  <c r="V65"/>
  <c r="V83"/>
  <c r="V82"/>
  <c r="V81"/>
  <c r="V80"/>
  <c r="V79"/>
  <c r="V78"/>
  <c r="V77"/>
  <c r="V76"/>
  <c r="U74"/>
  <c r="D83"/>
  <c r="H66"/>
  <c r="H65"/>
  <c r="H74"/>
  <c r="C74"/>
  <c r="Z74"/>
  <c r="Z66"/>
  <c r="Z65"/>
  <c r="AA91" i="169"/>
  <c r="Z91"/>
  <c r="X91"/>
  <c r="W91"/>
  <c r="V91"/>
  <c r="U91"/>
  <c r="P91"/>
  <c r="K91" s="1"/>
  <c r="H91"/>
  <c r="C91"/>
  <c r="AA90"/>
  <c r="Z90"/>
  <c r="X90"/>
  <c r="W90"/>
  <c r="V90"/>
  <c r="U90"/>
  <c r="P90"/>
  <c r="K90" s="1"/>
  <c r="H90"/>
  <c r="C90" s="1"/>
  <c r="AA89"/>
  <c r="Z89"/>
  <c r="X89"/>
  <c r="W89"/>
  <c r="V89"/>
  <c r="U89"/>
  <c r="P89"/>
  <c r="K89" s="1"/>
  <c r="H89"/>
  <c r="C89" s="1"/>
  <c r="T89" s="1"/>
  <c r="AA88"/>
  <c r="Z88"/>
  <c r="X88"/>
  <c r="W88"/>
  <c r="V88"/>
  <c r="U88"/>
  <c r="P88"/>
  <c r="K88" s="1"/>
  <c r="H88"/>
  <c r="C88" s="1"/>
  <c r="AA87"/>
  <c r="Z87"/>
  <c r="X87"/>
  <c r="W87"/>
  <c r="V87"/>
  <c r="U87"/>
  <c r="P87"/>
  <c r="K87" s="1"/>
  <c r="H87"/>
  <c r="C87"/>
  <c r="AA86"/>
  <c r="Z86"/>
  <c r="X86"/>
  <c r="W86"/>
  <c r="V86"/>
  <c r="U86"/>
  <c r="P86"/>
  <c r="K86" s="1"/>
  <c r="H86"/>
  <c r="C86" s="1"/>
  <c r="Z85"/>
  <c r="X85"/>
  <c r="W85"/>
  <c r="V85"/>
  <c r="U85"/>
  <c r="R85"/>
  <c r="P85" s="1"/>
  <c r="K85" s="1"/>
  <c r="H85"/>
  <c r="C85" s="1"/>
  <c r="X84"/>
  <c r="W84"/>
  <c r="H84"/>
  <c r="C84" s="1"/>
  <c r="D83"/>
  <c r="D82"/>
  <c r="D79"/>
  <c r="X75"/>
  <c r="W75"/>
  <c r="V75"/>
  <c r="M74"/>
  <c r="V74" s="1"/>
  <c r="K74"/>
  <c r="Z73"/>
  <c r="X73"/>
  <c r="W73"/>
  <c r="V73"/>
  <c r="U73"/>
  <c r="R73"/>
  <c r="AA73" s="1"/>
  <c r="H73"/>
  <c r="C73"/>
  <c r="Z72"/>
  <c r="X72"/>
  <c r="W72"/>
  <c r="V72"/>
  <c r="U72"/>
  <c r="R72"/>
  <c r="P72" s="1"/>
  <c r="K72" s="1"/>
  <c r="H72"/>
  <c r="Z71"/>
  <c r="X71"/>
  <c r="W71"/>
  <c r="V71"/>
  <c r="U71"/>
  <c r="R71"/>
  <c r="AA71" s="1"/>
  <c r="H71"/>
  <c r="C71" s="1"/>
  <c r="Z70"/>
  <c r="X70"/>
  <c r="W70"/>
  <c r="U70"/>
  <c r="R70"/>
  <c r="AA70" s="1"/>
  <c r="P70"/>
  <c r="M70"/>
  <c r="H70"/>
  <c r="Y70" s="1"/>
  <c r="Z69"/>
  <c r="X69"/>
  <c r="W69"/>
  <c r="U69"/>
  <c r="R69"/>
  <c r="P69" s="1"/>
  <c r="K69" s="1"/>
  <c r="M69"/>
  <c r="H69"/>
  <c r="C69" s="1"/>
  <c r="E69"/>
  <c r="V69" s="1"/>
  <c r="Z68"/>
  <c r="X68"/>
  <c r="W68"/>
  <c r="V68"/>
  <c r="U68"/>
  <c r="R68"/>
  <c r="P68" s="1"/>
  <c r="K68" s="1"/>
  <c r="H68"/>
  <c r="C68"/>
  <c r="Z67"/>
  <c r="X67"/>
  <c r="W67"/>
  <c r="V67"/>
  <c r="U67"/>
  <c r="R67"/>
  <c r="AA67" s="1"/>
  <c r="H67"/>
  <c r="K66"/>
  <c r="C66"/>
  <c r="L65"/>
  <c r="C65"/>
  <c r="Z64"/>
  <c r="X64"/>
  <c r="W64"/>
  <c r="V64"/>
  <c r="U64"/>
  <c r="R64"/>
  <c r="AA64" s="1"/>
  <c r="H64"/>
  <c r="C64" s="1"/>
  <c r="Z63"/>
  <c r="X63"/>
  <c r="W63"/>
  <c r="R63"/>
  <c r="P63" s="1"/>
  <c r="M63"/>
  <c r="V63" s="1"/>
  <c r="L63"/>
  <c r="U63" s="1"/>
  <c r="H63"/>
  <c r="Y63" s="1"/>
  <c r="Z62"/>
  <c r="X62"/>
  <c r="W62"/>
  <c r="V62"/>
  <c r="U62"/>
  <c r="R62"/>
  <c r="AA62" s="1"/>
  <c r="H62"/>
  <c r="Z61"/>
  <c r="X61"/>
  <c r="W61"/>
  <c r="V61"/>
  <c r="U61"/>
  <c r="R61"/>
  <c r="AA61" s="1"/>
  <c r="H61"/>
  <c r="C61" s="1"/>
  <c r="Z60"/>
  <c r="X60"/>
  <c r="W60"/>
  <c r="V60"/>
  <c r="U60"/>
  <c r="R60"/>
  <c r="P60" s="1"/>
  <c r="K60" s="1"/>
  <c r="H60"/>
  <c r="Y60" s="1"/>
  <c r="Z59"/>
  <c r="X59"/>
  <c r="W59"/>
  <c r="V59"/>
  <c r="U59"/>
  <c r="R59"/>
  <c r="AA59" s="1"/>
  <c r="P59"/>
  <c r="K59" s="1"/>
  <c r="H59"/>
  <c r="C59" s="1"/>
  <c r="Z58"/>
  <c r="X58"/>
  <c r="W58"/>
  <c r="V58"/>
  <c r="U58"/>
  <c r="R58"/>
  <c r="AA58" s="1"/>
  <c r="H58"/>
  <c r="C58" s="1"/>
  <c r="Z57"/>
  <c r="X57"/>
  <c r="W57"/>
  <c r="V57"/>
  <c r="U57"/>
  <c r="R57"/>
  <c r="P57" s="1"/>
  <c r="K57" s="1"/>
  <c r="H57"/>
  <c r="Y57" s="1"/>
  <c r="Z56"/>
  <c r="X56"/>
  <c r="W56"/>
  <c r="V56"/>
  <c r="U56"/>
  <c r="R56"/>
  <c r="P56" s="1"/>
  <c r="K56" s="1"/>
  <c r="H56"/>
  <c r="Y56" s="1"/>
  <c r="Z55"/>
  <c r="X55"/>
  <c r="W55"/>
  <c r="V55"/>
  <c r="U55"/>
  <c r="R55"/>
  <c r="AA55" s="1"/>
  <c r="P55"/>
  <c r="K55" s="1"/>
  <c r="H55"/>
  <c r="C55" s="1"/>
  <c r="Z54"/>
  <c r="X54"/>
  <c r="W54"/>
  <c r="V54"/>
  <c r="U54"/>
  <c r="R54"/>
  <c r="AA54" s="1"/>
  <c r="H54"/>
  <c r="Z53"/>
  <c r="X53"/>
  <c r="W53"/>
  <c r="V53"/>
  <c r="U53"/>
  <c r="R53"/>
  <c r="AA53" s="1"/>
  <c r="H53"/>
  <c r="C53" s="1"/>
  <c r="Z52"/>
  <c r="X52"/>
  <c r="W52"/>
  <c r="V52"/>
  <c r="U52"/>
  <c r="R52"/>
  <c r="AA52" s="1"/>
  <c r="P52"/>
  <c r="K52" s="1"/>
  <c r="H52"/>
  <c r="Z51"/>
  <c r="X51"/>
  <c r="W51"/>
  <c r="V51"/>
  <c r="U51"/>
  <c r="R51"/>
  <c r="AA51" s="1"/>
  <c r="H51"/>
  <c r="C51"/>
  <c r="Z50"/>
  <c r="X50"/>
  <c r="W50"/>
  <c r="V50"/>
  <c r="U50"/>
  <c r="R50"/>
  <c r="AA50" s="1"/>
  <c r="H50"/>
  <c r="Z49"/>
  <c r="X49"/>
  <c r="W49"/>
  <c r="V49"/>
  <c r="U49"/>
  <c r="R49"/>
  <c r="AA49" s="1"/>
  <c r="H49"/>
  <c r="C49" s="1"/>
  <c r="Z48"/>
  <c r="X48"/>
  <c r="W48"/>
  <c r="V48"/>
  <c r="U48"/>
  <c r="R48"/>
  <c r="AA48" s="1"/>
  <c r="P48"/>
  <c r="K48" s="1"/>
  <c r="H48"/>
  <c r="Z47"/>
  <c r="X47"/>
  <c r="W47"/>
  <c r="V47"/>
  <c r="U47"/>
  <c r="R47"/>
  <c r="AA47" s="1"/>
  <c r="H47"/>
  <c r="C47"/>
  <c r="Z46"/>
  <c r="X46"/>
  <c r="W46"/>
  <c r="V46"/>
  <c r="U46"/>
  <c r="R46"/>
  <c r="AA46" s="1"/>
  <c r="H46"/>
  <c r="C46" s="1"/>
  <c r="Z45"/>
  <c r="X45"/>
  <c r="W45"/>
  <c r="V45"/>
  <c r="U45"/>
  <c r="R45"/>
  <c r="P45" s="1"/>
  <c r="K45" s="1"/>
  <c r="H45"/>
  <c r="C45"/>
  <c r="Z44"/>
  <c r="X44"/>
  <c r="W44"/>
  <c r="V44"/>
  <c r="U44"/>
  <c r="R44"/>
  <c r="P44" s="1"/>
  <c r="K44" s="1"/>
  <c r="H44"/>
  <c r="X43"/>
  <c r="W43"/>
  <c r="U43"/>
  <c r="X42"/>
  <c r="W42"/>
  <c r="U42"/>
  <c r="Z41"/>
  <c r="X41"/>
  <c r="W41"/>
  <c r="V41"/>
  <c r="U41"/>
  <c r="R41"/>
  <c r="AA41" s="1"/>
  <c r="H41"/>
  <c r="C41" s="1"/>
  <c r="Z40"/>
  <c r="X40"/>
  <c r="W40"/>
  <c r="V40"/>
  <c r="U40"/>
  <c r="R40"/>
  <c r="AA40" s="1"/>
  <c r="P40"/>
  <c r="K40" s="1"/>
  <c r="H40"/>
  <c r="Z39"/>
  <c r="X39"/>
  <c r="W39"/>
  <c r="V39"/>
  <c r="U39"/>
  <c r="R39"/>
  <c r="AA39" s="1"/>
  <c r="H39"/>
  <c r="C39"/>
  <c r="Z38"/>
  <c r="X38"/>
  <c r="W38"/>
  <c r="V38"/>
  <c r="U38"/>
  <c r="R38"/>
  <c r="AA38" s="1"/>
  <c r="H38"/>
  <c r="Z37"/>
  <c r="X37"/>
  <c r="W37"/>
  <c r="V37"/>
  <c r="U37"/>
  <c r="R37"/>
  <c r="AA37" s="1"/>
  <c r="H37"/>
  <c r="C37" s="1"/>
  <c r="Z36"/>
  <c r="X36"/>
  <c r="W36"/>
  <c r="V36"/>
  <c r="U36"/>
  <c r="R36"/>
  <c r="AA36" s="1"/>
  <c r="P36"/>
  <c r="K36" s="1"/>
  <c r="H36"/>
  <c r="Y36" s="1"/>
  <c r="Z35"/>
  <c r="X35"/>
  <c r="W35"/>
  <c r="V35"/>
  <c r="U35"/>
  <c r="R35"/>
  <c r="AA35" s="1"/>
  <c r="P35"/>
  <c r="K35" s="1"/>
  <c r="H35"/>
  <c r="C35" s="1"/>
  <c r="Z34"/>
  <c r="X34"/>
  <c r="W34"/>
  <c r="V34"/>
  <c r="U34"/>
  <c r="R34"/>
  <c r="AA34" s="1"/>
  <c r="H34"/>
  <c r="C34"/>
  <c r="X33"/>
  <c r="W33"/>
  <c r="U33"/>
  <c r="AB32"/>
  <c r="X32"/>
  <c r="W32"/>
  <c r="U32"/>
  <c r="S32"/>
  <c r="Z31"/>
  <c r="X31"/>
  <c r="W31"/>
  <c r="V31"/>
  <c r="U31"/>
  <c r="R31"/>
  <c r="AA31" s="1"/>
  <c r="H31"/>
  <c r="C31"/>
  <c r="AB30"/>
  <c r="X30"/>
  <c r="W30"/>
  <c r="U30"/>
  <c r="R30"/>
  <c r="M30" s="1"/>
  <c r="AB29"/>
  <c r="X29"/>
  <c r="W29"/>
  <c r="U29"/>
  <c r="R29"/>
  <c r="M29" s="1"/>
  <c r="E29"/>
  <c r="E15" s="1"/>
  <c r="Z28"/>
  <c r="X28"/>
  <c r="W28"/>
  <c r="V28"/>
  <c r="U28"/>
  <c r="R28"/>
  <c r="AA28" s="1"/>
  <c r="H28"/>
  <c r="C28"/>
  <c r="Z27"/>
  <c r="X27"/>
  <c r="W27"/>
  <c r="V27"/>
  <c r="U27"/>
  <c r="R27"/>
  <c r="AA27" s="1"/>
  <c r="H27"/>
  <c r="Z26"/>
  <c r="X26"/>
  <c r="W26"/>
  <c r="V26"/>
  <c r="U26"/>
  <c r="R26"/>
  <c r="AA26" s="1"/>
  <c r="H26"/>
  <c r="C26" s="1"/>
  <c r="Z25"/>
  <c r="X25"/>
  <c r="W25"/>
  <c r="V25"/>
  <c r="U25"/>
  <c r="R25"/>
  <c r="P25" s="1"/>
  <c r="K25" s="1"/>
  <c r="H25"/>
  <c r="Y25" s="1"/>
  <c r="Z24"/>
  <c r="X24"/>
  <c r="W24"/>
  <c r="V24"/>
  <c r="U24"/>
  <c r="R24"/>
  <c r="P24" s="1"/>
  <c r="H24"/>
  <c r="C24" s="1"/>
  <c r="Z23"/>
  <c r="X23"/>
  <c r="W23"/>
  <c r="V23"/>
  <c r="U23"/>
  <c r="R23"/>
  <c r="AA23" s="1"/>
  <c r="P23"/>
  <c r="K23" s="1"/>
  <c r="H23"/>
  <c r="C23" s="1"/>
  <c r="Z22"/>
  <c r="X22"/>
  <c r="W22"/>
  <c r="V22"/>
  <c r="U22"/>
  <c r="R22"/>
  <c r="AA22" s="1"/>
  <c r="H22"/>
  <c r="C22" s="1"/>
  <c r="Z21"/>
  <c r="X21"/>
  <c r="W21"/>
  <c r="V21"/>
  <c r="U21"/>
  <c r="R21"/>
  <c r="P21" s="1"/>
  <c r="K21" s="1"/>
  <c r="H21"/>
  <c r="X20"/>
  <c r="W20"/>
  <c r="U20"/>
  <c r="AB19"/>
  <c r="X19"/>
  <c r="W19"/>
  <c r="D19"/>
  <c r="D15" s="1"/>
  <c r="Z18"/>
  <c r="X18"/>
  <c r="W18"/>
  <c r="V18"/>
  <c r="U18"/>
  <c r="R18"/>
  <c r="AA18" s="1"/>
  <c r="H18"/>
  <c r="C18" s="1"/>
  <c r="Z17"/>
  <c r="X17"/>
  <c r="W17"/>
  <c r="V17"/>
  <c r="U17"/>
  <c r="R17"/>
  <c r="AA17" s="1"/>
  <c r="P17"/>
  <c r="K17" s="1"/>
  <c r="H17"/>
  <c r="C17"/>
  <c r="M16"/>
  <c r="H16"/>
  <c r="C16" s="1"/>
  <c r="S15"/>
  <c r="S14" s="1"/>
  <c r="O15"/>
  <c r="O14" s="1"/>
  <c r="N15"/>
  <c r="G15"/>
  <c r="F15"/>
  <c r="F14" s="1"/>
  <c r="N14"/>
  <c r="M13"/>
  <c r="N13" s="1"/>
  <c r="O13" s="1"/>
  <c r="P13" s="1"/>
  <c r="Q13" s="1"/>
  <c r="R13" s="1"/>
  <c r="S13" s="1"/>
  <c r="E13"/>
  <c r="F13" s="1"/>
  <c r="G13" s="1"/>
  <c r="H13" s="1"/>
  <c r="I13" s="1"/>
  <c r="J13" s="1"/>
  <c r="M70" i="164"/>
  <c r="M74"/>
  <c r="K74"/>
  <c r="E29"/>
  <c r="E37" i="140"/>
  <c r="E40"/>
  <c r="E41"/>
  <c r="E42"/>
  <c r="E38"/>
  <c r="AB18" i="122"/>
  <c r="S18"/>
  <c r="O18"/>
  <c r="O17"/>
  <c r="O16"/>
  <c r="O15"/>
  <c r="E69" i="164"/>
  <c r="M69"/>
  <c r="T35" i="169" l="1"/>
  <c r="X15"/>
  <c r="W15"/>
  <c r="T17"/>
  <c r="P34"/>
  <c r="K34" s="1"/>
  <c r="Y35"/>
  <c r="T45"/>
  <c r="Y50"/>
  <c r="T55"/>
  <c r="Y55"/>
  <c r="T68"/>
  <c r="T69"/>
  <c r="Y17"/>
  <c r="Y18"/>
  <c r="T23"/>
  <c r="P27"/>
  <c r="K27" s="1"/>
  <c r="P38"/>
  <c r="K38" s="1"/>
  <c r="Y44"/>
  <c r="Y45"/>
  <c r="P46"/>
  <c r="K46" s="1"/>
  <c r="T46" s="1"/>
  <c r="P50"/>
  <c r="K50" s="1"/>
  <c r="P54"/>
  <c r="K54" s="1"/>
  <c r="C57"/>
  <c r="T57" s="1"/>
  <c r="P62"/>
  <c r="K62" s="1"/>
  <c r="P64"/>
  <c r="K64" s="1"/>
  <c r="T64" s="1"/>
  <c r="P67"/>
  <c r="K67" s="1"/>
  <c r="C70"/>
  <c r="T70" s="1"/>
  <c r="P71"/>
  <c r="K71" s="1"/>
  <c r="T59"/>
  <c r="Y59"/>
  <c r="W14"/>
  <c r="P18"/>
  <c r="K18" s="1"/>
  <c r="T18" s="1"/>
  <c r="C27"/>
  <c r="T27" s="1"/>
  <c r="P28"/>
  <c r="K28" s="1"/>
  <c r="T28" s="1"/>
  <c r="Y34"/>
  <c r="C38"/>
  <c r="P39"/>
  <c r="K39" s="1"/>
  <c r="T39" s="1"/>
  <c r="Y40"/>
  <c r="P47"/>
  <c r="K47" s="1"/>
  <c r="T47" s="1"/>
  <c r="Y48"/>
  <c r="C50"/>
  <c r="P51"/>
  <c r="K51" s="1"/>
  <c r="T51" s="1"/>
  <c r="Y52"/>
  <c r="C54"/>
  <c r="P58"/>
  <c r="K58" s="1"/>
  <c r="T58" s="1"/>
  <c r="C62"/>
  <c r="K63"/>
  <c r="K70"/>
  <c r="V70"/>
  <c r="T71"/>
  <c r="Y71"/>
  <c r="Y89"/>
  <c r="Y87"/>
  <c r="Y91"/>
  <c r="T88"/>
  <c r="Y86"/>
  <c r="Y90"/>
  <c r="Y88"/>
  <c r="T74" i="164"/>
  <c r="E14" i="169"/>
  <c r="Y24"/>
  <c r="K24"/>
  <c r="T24" s="1"/>
  <c r="Y21"/>
  <c r="T38"/>
  <c r="T50"/>
  <c r="T54"/>
  <c r="T62"/>
  <c r="Y85"/>
  <c r="T87"/>
  <c r="T91"/>
  <c r="V30"/>
  <c r="T34"/>
  <c r="Y69"/>
  <c r="T85"/>
  <c r="T86"/>
  <c r="T90"/>
  <c r="D14"/>
  <c r="Y68"/>
  <c r="Y72"/>
  <c r="AA45"/>
  <c r="AA57"/>
  <c r="AA63"/>
  <c r="AA68"/>
  <c r="AA85"/>
  <c r="G14"/>
  <c r="X14" s="1"/>
  <c r="K16"/>
  <c r="C21"/>
  <c r="T21" s="1"/>
  <c r="AA21"/>
  <c r="P22"/>
  <c r="K22" s="1"/>
  <c r="T22" s="1"/>
  <c r="Y23"/>
  <c r="C25"/>
  <c r="T25" s="1"/>
  <c r="AA25"/>
  <c r="P26"/>
  <c r="K26" s="1"/>
  <c r="T26" s="1"/>
  <c r="V29"/>
  <c r="P31"/>
  <c r="K31" s="1"/>
  <c r="T31" s="1"/>
  <c r="C36"/>
  <c r="T36" s="1"/>
  <c r="P37"/>
  <c r="K37" s="1"/>
  <c r="T37" s="1"/>
  <c r="C40"/>
  <c r="T40" s="1"/>
  <c r="P41"/>
  <c r="K41" s="1"/>
  <c r="T41" s="1"/>
  <c r="C44"/>
  <c r="T44" s="1"/>
  <c r="AA44"/>
  <c r="Y46"/>
  <c r="C48"/>
  <c r="T48" s="1"/>
  <c r="P49"/>
  <c r="K49" s="1"/>
  <c r="T49" s="1"/>
  <c r="C52"/>
  <c r="T52" s="1"/>
  <c r="P53"/>
  <c r="K53" s="1"/>
  <c r="T53" s="1"/>
  <c r="C56"/>
  <c r="T56" s="1"/>
  <c r="AA56"/>
  <c r="C60"/>
  <c r="T60" s="1"/>
  <c r="AA60"/>
  <c r="P61"/>
  <c r="K61" s="1"/>
  <c r="T61" s="1"/>
  <c r="Y64"/>
  <c r="K65"/>
  <c r="C67"/>
  <c r="T67" s="1"/>
  <c r="AA69"/>
  <c r="C72"/>
  <c r="T72" s="1"/>
  <c r="AA72"/>
  <c r="P73"/>
  <c r="K73" s="1"/>
  <c r="T73" s="1"/>
  <c r="U19"/>
  <c r="AA24"/>
  <c r="C63"/>
  <c r="T63" s="1"/>
  <c r="L63" i="164"/>
  <c r="M63"/>
  <c r="N15"/>
  <c r="O15"/>
  <c r="M16"/>
  <c r="K16" s="1"/>
  <c r="L65"/>
  <c r="V74"/>
  <c r="BA46" i="117"/>
  <c r="AX46"/>
  <c r="AW46"/>
  <c r="AT46"/>
  <c r="AQ46"/>
  <c r="AP46"/>
  <c r="AH46"/>
  <c r="AE46"/>
  <c r="AA46"/>
  <c r="X46"/>
  <c r="U46" s="1"/>
  <c r="R46"/>
  <c r="AZ46" s="1"/>
  <c r="N46"/>
  <c r="K46"/>
  <c r="AS46" s="1"/>
  <c r="G46"/>
  <c r="BA45"/>
  <c r="AX45"/>
  <c r="AW45"/>
  <c r="AT45"/>
  <c r="AQ45"/>
  <c r="AP45"/>
  <c r="AH45"/>
  <c r="AE45"/>
  <c r="AA45"/>
  <c r="X45"/>
  <c r="W45" s="1"/>
  <c r="R45"/>
  <c r="AZ45" s="1"/>
  <c r="N45"/>
  <c r="K45"/>
  <c r="AS45" s="1"/>
  <c r="G45"/>
  <c r="D45" s="1"/>
  <c r="BA44"/>
  <c r="AX44"/>
  <c r="AW44"/>
  <c r="AT44"/>
  <c r="AQ44"/>
  <c r="AP44"/>
  <c r="AH44"/>
  <c r="AE44"/>
  <c r="AD44" s="1"/>
  <c r="AA44"/>
  <c r="X44"/>
  <c r="R44"/>
  <c r="Q44" s="1"/>
  <c r="N44"/>
  <c r="K44"/>
  <c r="J44" s="1"/>
  <c r="G44"/>
  <c r="BA43"/>
  <c r="AX43"/>
  <c r="AW43"/>
  <c r="AT43"/>
  <c r="AQ43"/>
  <c r="AP43"/>
  <c r="AH43"/>
  <c r="AE43"/>
  <c r="AA43"/>
  <c r="X43"/>
  <c r="U43" s="1"/>
  <c r="R43"/>
  <c r="AZ43" s="1"/>
  <c r="N43"/>
  <c r="K43"/>
  <c r="AS43" s="1"/>
  <c r="J43"/>
  <c r="G43"/>
  <c r="BA42"/>
  <c r="AX42"/>
  <c r="AW42"/>
  <c r="AT42"/>
  <c r="AQ42"/>
  <c r="AP42"/>
  <c r="AH42"/>
  <c r="AE42"/>
  <c r="AA42"/>
  <c r="X42"/>
  <c r="W42" s="1"/>
  <c r="R42"/>
  <c r="AZ42" s="1"/>
  <c r="N42"/>
  <c r="K42"/>
  <c r="J42" s="1"/>
  <c r="G42"/>
  <c r="BA41"/>
  <c r="AX41"/>
  <c r="AW41"/>
  <c r="AT41"/>
  <c r="AQ41"/>
  <c r="AP41"/>
  <c r="AH41"/>
  <c r="AE41"/>
  <c r="AA41"/>
  <c r="X41"/>
  <c r="U41" s="1"/>
  <c r="R41"/>
  <c r="AZ41" s="1"/>
  <c r="Q41"/>
  <c r="N41"/>
  <c r="M41" s="1"/>
  <c r="K41"/>
  <c r="J41" s="1"/>
  <c r="G41"/>
  <c r="BA40"/>
  <c r="AX40"/>
  <c r="AW40"/>
  <c r="AT40"/>
  <c r="AQ40"/>
  <c r="AP40"/>
  <c r="AH40"/>
  <c r="AE40"/>
  <c r="AD40" s="1"/>
  <c r="AA40"/>
  <c r="X40"/>
  <c r="R40"/>
  <c r="AZ40" s="1"/>
  <c r="N40"/>
  <c r="K40"/>
  <c r="J40" s="1"/>
  <c r="G40"/>
  <c r="BA39"/>
  <c r="AX39"/>
  <c r="AW39"/>
  <c r="AT39"/>
  <c r="AQ39"/>
  <c r="AP39"/>
  <c r="AO39"/>
  <c r="AH39"/>
  <c r="AE39"/>
  <c r="AD39"/>
  <c r="AA39"/>
  <c r="X39"/>
  <c r="R39"/>
  <c r="AZ39" s="1"/>
  <c r="N39"/>
  <c r="AV39" s="1"/>
  <c r="K39"/>
  <c r="J39" s="1"/>
  <c r="F39" s="1"/>
  <c r="G39"/>
  <c r="A39"/>
  <c r="BA38"/>
  <c r="AX38"/>
  <c r="AW38"/>
  <c r="AT38"/>
  <c r="AQ38"/>
  <c r="AP38"/>
  <c r="AI38"/>
  <c r="AH38" s="1"/>
  <c r="AE38"/>
  <c r="AE37" s="1"/>
  <c r="AB38"/>
  <c r="AB37" s="1"/>
  <c r="X38"/>
  <c r="R38"/>
  <c r="AZ38" s="1"/>
  <c r="N38"/>
  <c r="K38"/>
  <c r="J38" s="1"/>
  <c r="G38"/>
  <c r="AJ37"/>
  <c r="AG37"/>
  <c r="AF37"/>
  <c r="AC37"/>
  <c r="Z37"/>
  <c r="Y37"/>
  <c r="S37"/>
  <c r="P37"/>
  <c r="O37"/>
  <c r="L37"/>
  <c r="I37"/>
  <c r="H37"/>
  <c r="BA36"/>
  <c r="AZ36"/>
  <c r="AX36"/>
  <c r="AW36"/>
  <c r="AT36"/>
  <c r="AS36"/>
  <c r="AQ36"/>
  <c r="AP36"/>
  <c r="AR39" l="1"/>
  <c r="W40"/>
  <c r="W41"/>
  <c r="V41" s="1"/>
  <c r="Y41" i="169"/>
  <c r="Y62"/>
  <c r="Y51"/>
  <c r="T41" i="117"/>
  <c r="Y37" i="169"/>
  <c r="D39" i="117"/>
  <c r="AS40"/>
  <c r="AY41"/>
  <c r="V42"/>
  <c r="M44"/>
  <c r="Q46"/>
  <c r="M46" s="1"/>
  <c r="Y58" i="169"/>
  <c r="Y67"/>
  <c r="Y38"/>
  <c r="Y27"/>
  <c r="Y47"/>
  <c r="Y39"/>
  <c r="U39" i="117"/>
  <c r="D40"/>
  <c r="U40"/>
  <c r="AD41"/>
  <c r="AS41"/>
  <c r="F43"/>
  <c r="Q43"/>
  <c r="E43" s="1"/>
  <c r="C43" s="1"/>
  <c r="AD45"/>
  <c r="D46"/>
  <c r="Y61" i="169"/>
  <c r="Y54"/>
  <c r="Y28"/>
  <c r="E41" i="117"/>
  <c r="AR41"/>
  <c r="AS38"/>
  <c r="U42"/>
  <c r="AO43"/>
  <c r="X37"/>
  <c r="AO38"/>
  <c r="N37"/>
  <c r="AR40"/>
  <c r="AV40"/>
  <c r="AD42"/>
  <c r="AS42"/>
  <c r="W43"/>
  <c r="V43"/>
  <c r="AV45"/>
  <c r="J46"/>
  <c r="AR46" s="1"/>
  <c r="AV46"/>
  <c r="F41"/>
  <c r="AV43"/>
  <c r="AO44"/>
  <c r="AM41"/>
  <c r="AR43"/>
  <c r="AY44"/>
  <c r="AO46"/>
  <c r="AV37"/>
  <c r="D42"/>
  <c r="D43"/>
  <c r="M43"/>
  <c r="W46"/>
  <c r="V46"/>
  <c r="F38"/>
  <c r="T43"/>
  <c r="AL43"/>
  <c r="E44"/>
  <c r="D44" s="1"/>
  <c r="C44" s="1"/>
  <c r="F44"/>
  <c r="AD38"/>
  <c r="AH37"/>
  <c r="F40"/>
  <c r="AU41"/>
  <c r="AR44"/>
  <c r="F42"/>
  <c r="T46"/>
  <c r="AL46"/>
  <c r="AV41"/>
  <c r="G37"/>
  <c r="Q38"/>
  <c r="AY38" s="1"/>
  <c r="Q39"/>
  <c r="M39" s="1"/>
  <c r="AU39" s="1"/>
  <c r="AR42"/>
  <c r="AD43"/>
  <c r="AU43" s="1"/>
  <c r="AS44"/>
  <c r="R37"/>
  <c r="AI37"/>
  <c r="U38"/>
  <c r="AA38"/>
  <c r="AA37" s="1"/>
  <c r="V39"/>
  <c r="Q40"/>
  <c r="M40" s="1"/>
  <c r="AU40" s="1"/>
  <c r="AO40"/>
  <c r="AN40" s="1"/>
  <c r="AO41"/>
  <c r="AN41" s="1"/>
  <c r="Q42"/>
  <c r="AV42"/>
  <c r="V44"/>
  <c r="J45"/>
  <c r="J37" s="1"/>
  <c r="Q45"/>
  <c r="M45" s="1"/>
  <c r="AU45" s="1"/>
  <c r="V45"/>
  <c r="F46"/>
  <c r="E46" s="1"/>
  <c r="AM46" s="1"/>
  <c r="AV38"/>
  <c r="T39"/>
  <c r="AS39"/>
  <c r="V40"/>
  <c r="D41"/>
  <c r="C41" s="1"/>
  <c r="AK41" s="1"/>
  <c r="AO42"/>
  <c r="AN42" s="1"/>
  <c r="AY43"/>
  <c r="U44"/>
  <c r="AV44"/>
  <c r="AU44" s="1"/>
  <c r="U45"/>
  <c r="T42"/>
  <c r="AN43"/>
  <c r="AZ44"/>
  <c r="AY46"/>
  <c r="T40"/>
  <c r="AL40"/>
  <c r="K37"/>
  <c r="AS37" s="1"/>
  <c r="W39"/>
  <c r="AN39" s="1"/>
  <c r="W44"/>
  <c r="AO45"/>
  <c r="AD46"/>
  <c r="Y49" i="169"/>
  <c r="Y53"/>
  <c r="Y31"/>
  <c r="Y22"/>
  <c r="Y73"/>
  <c r="Y26"/>
  <c r="AH36" i="117"/>
  <c r="AE36"/>
  <c r="AA36"/>
  <c r="X36"/>
  <c r="W36"/>
  <c r="Q36"/>
  <c r="N36"/>
  <c r="J36"/>
  <c r="G36"/>
  <c r="D36" s="1"/>
  <c r="BA35"/>
  <c r="AZ35"/>
  <c r="AX35"/>
  <c r="AT35"/>
  <c r="AS35"/>
  <c r="AQ35"/>
  <c r="AH35"/>
  <c r="AF35"/>
  <c r="AE35" s="1"/>
  <c r="AA35"/>
  <c r="V35" s="1"/>
  <c r="R83" i="169" s="1"/>
  <c r="Y35" i="117"/>
  <c r="AP35" s="1"/>
  <c r="Q35"/>
  <c r="O35"/>
  <c r="AW35" s="1"/>
  <c r="J35"/>
  <c r="E35" s="1"/>
  <c r="G35"/>
  <c r="BA34"/>
  <c r="AZ34"/>
  <c r="AX34"/>
  <c r="AT34"/>
  <c r="AS34"/>
  <c r="AQ34"/>
  <c r="AH34"/>
  <c r="AE34"/>
  <c r="AD34" s="1"/>
  <c r="AA34"/>
  <c r="Y34"/>
  <c r="AP34" s="1"/>
  <c r="Q34"/>
  <c r="AY34" s="1"/>
  <c r="O34"/>
  <c r="AW34" s="1"/>
  <c r="J34"/>
  <c r="E34" s="1"/>
  <c r="J82" i="169" s="1"/>
  <c r="G34" i="117"/>
  <c r="BA33"/>
  <c r="AZ33"/>
  <c r="AX33"/>
  <c r="AT33"/>
  <c r="AS33"/>
  <c r="AQ33"/>
  <c r="AH33"/>
  <c r="AE33"/>
  <c r="AA33"/>
  <c r="AR33" s="1"/>
  <c r="X33"/>
  <c r="U33" s="1"/>
  <c r="Q81" i="169" s="1"/>
  <c r="Q33" i="117"/>
  <c r="O33"/>
  <c r="AW33" s="1"/>
  <c r="J33"/>
  <c r="H33"/>
  <c r="AP33" s="1"/>
  <c r="BA32"/>
  <c r="AZ32"/>
  <c r="AX32"/>
  <c r="AW32"/>
  <c r="AV32"/>
  <c r="AT32"/>
  <c r="AS32"/>
  <c r="AQ32"/>
  <c r="AH32"/>
  <c r="AD32" s="1"/>
  <c r="AE32"/>
  <c r="AA32"/>
  <c r="X32"/>
  <c r="W32" s="1"/>
  <c r="Q32"/>
  <c r="N32"/>
  <c r="J32"/>
  <c r="H32"/>
  <c r="G32" s="1"/>
  <c r="BA31"/>
  <c r="AZ31"/>
  <c r="AX31"/>
  <c r="AW31"/>
  <c r="AT31"/>
  <c r="AS31"/>
  <c r="AQ31"/>
  <c r="AH31"/>
  <c r="AE31"/>
  <c r="AA31"/>
  <c r="X31"/>
  <c r="Q31"/>
  <c r="N31"/>
  <c r="AV31" s="1"/>
  <c r="J31"/>
  <c r="E31" s="1"/>
  <c r="H31"/>
  <c r="AP31" s="1"/>
  <c r="G31"/>
  <c r="F31" s="1"/>
  <c r="BA30"/>
  <c r="AZ30"/>
  <c r="AX30"/>
  <c r="AW30"/>
  <c r="AT30"/>
  <c r="AS30"/>
  <c r="AQ30"/>
  <c r="AH30"/>
  <c r="AE30"/>
  <c r="AA30"/>
  <c r="V30" s="1"/>
  <c r="R78" i="169" s="1"/>
  <c r="Y30" i="117"/>
  <c r="X30" s="1"/>
  <c r="W30" s="1"/>
  <c r="Q30"/>
  <c r="N30"/>
  <c r="M30" s="1"/>
  <c r="J30"/>
  <c r="AR30" s="1"/>
  <c r="G30"/>
  <c r="BA29"/>
  <c r="AZ29"/>
  <c r="AX29"/>
  <c r="AW29"/>
  <c r="AT29"/>
  <c r="AS29"/>
  <c r="AQ29"/>
  <c r="AH29"/>
  <c r="AE29"/>
  <c r="AA29"/>
  <c r="V29" s="1"/>
  <c r="R77" i="169" s="1"/>
  <c r="X29" i="117"/>
  <c r="Q29"/>
  <c r="N29"/>
  <c r="M29" s="1"/>
  <c r="J29"/>
  <c r="H29"/>
  <c r="AP29" s="1"/>
  <c r="BA28"/>
  <c r="AZ28"/>
  <c r="AX28"/>
  <c r="AT28"/>
  <c r="AS28"/>
  <c r="AQ28"/>
  <c r="AH28"/>
  <c r="AF28"/>
  <c r="AE28" s="1"/>
  <c r="AA28"/>
  <c r="Y28"/>
  <c r="X28" s="1"/>
  <c r="Q28"/>
  <c r="N28"/>
  <c r="J28"/>
  <c r="H28"/>
  <c r="G28" s="1"/>
  <c r="F28" s="1"/>
  <c r="BA27"/>
  <c r="AZ27"/>
  <c r="AX27"/>
  <c r="AW27"/>
  <c r="AV27"/>
  <c r="AT27"/>
  <c r="AS27"/>
  <c r="AQ27"/>
  <c r="AH27"/>
  <c r="AE27"/>
  <c r="AA27"/>
  <c r="X27"/>
  <c r="W27" s="1"/>
  <c r="Q27"/>
  <c r="N27"/>
  <c r="M27" s="1"/>
  <c r="J27"/>
  <c r="H27"/>
  <c r="G27" s="1"/>
  <c r="BA26"/>
  <c r="AZ26"/>
  <c r="AX26"/>
  <c r="AW26"/>
  <c r="AT26"/>
  <c r="AS26"/>
  <c r="AQ26"/>
  <c r="AP26"/>
  <c r="AH26"/>
  <c r="AY26" s="1"/>
  <c r="AE26"/>
  <c r="AA26"/>
  <c r="V26" s="1"/>
  <c r="R43" i="169" s="1"/>
  <c r="M43" s="1"/>
  <c r="X26" i="117"/>
  <c r="Q26"/>
  <c r="N26"/>
  <c r="M26" s="1"/>
  <c r="J26"/>
  <c r="E26" s="1"/>
  <c r="J43" i="169" s="1"/>
  <c r="G26" i="117"/>
  <c r="D26" s="1"/>
  <c r="I43" i="169" s="1"/>
  <c r="BA25" i="117"/>
  <c r="AZ25"/>
  <c r="AX25"/>
  <c r="AW25"/>
  <c r="AT25"/>
  <c r="AS25"/>
  <c r="AQ25"/>
  <c r="AP25"/>
  <c r="AH25"/>
  <c r="AE25"/>
  <c r="AD25" s="1"/>
  <c r="AA25"/>
  <c r="X25"/>
  <c r="Q25"/>
  <c r="N25"/>
  <c r="J25"/>
  <c r="AR25" s="1"/>
  <c r="G25"/>
  <c r="BA24"/>
  <c r="AZ24"/>
  <c r="AX24"/>
  <c r="AW24"/>
  <c r="AT24"/>
  <c r="AQ24"/>
  <c r="AP24"/>
  <c r="AH24"/>
  <c r="AE24"/>
  <c r="AD24"/>
  <c r="AB24"/>
  <c r="AA24" s="1"/>
  <c r="X24"/>
  <c r="Q24"/>
  <c r="N24"/>
  <c r="D24" s="1"/>
  <c r="I33" i="169" s="1"/>
  <c r="J24" i="117"/>
  <c r="G24"/>
  <c r="BA23"/>
  <c r="AX23"/>
  <c r="AW23"/>
  <c r="AT23"/>
  <c r="AQ23"/>
  <c r="AP23"/>
  <c r="AH23"/>
  <c r="AE23"/>
  <c r="AA23"/>
  <c r="X23"/>
  <c r="R23"/>
  <c r="Q23" s="1"/>
  <c r="N23"/>
  <c r="K23"/>
  <c r="AS23" s="1"/>
  <c r="G23"/>
  <c r="D23" s="1"/>
  <c r="I32" i="169" s="1"/>
  <c r="BA22" i="117"/>
  <c r="AZ22"/>
  <c r="AX22"/>
  <c r="AW22"/>
  <c r="AT22"/>
  <c r="AQ22"/>
  <c r="AP22"/>
  <c r="AH22"/>
  <c r="AE22"/>
  <c r="AD22" s="1"/>
  <c r="AB22"/>
  <c r="AA22" s="1"/>
  <c r="X22"/>
  <c r="Q22"/>
  <c r="N22"/>
  <c r="K22"/>
  <c r="J22" s="1"/>
  <c r="G22"/>
  <c r="BA21"/>
  <c r="AX21"/>
  <c r="AW21"/>
  <c r="AT21"/>
  <c r="AQ21"/>
  <c r="AP21"/>
  <c r="AH21"/>
  <c r="AE21"/>
  <c r="AB21"/>
  <c r="AA21" s="1"/>
  <c r="X21"/>
  <c r="R21"/>
  <c r="AZ21" s="1"/>
  <c r="N21"/>
  <c r="K21"/>
  <c r="G21"/>
  <c r="BA20"/>
  <c r="AZ20"/>
  <c r="AX20"/>
  <c r="AW20"/>
  <c r="AV20"/>
  <c r="AT20"/>
  <c r="AQ20"/>
  <c r="AP20"/>
  <c r="AH20"/>
  <c r="AE20"/>
  <c r="AA20"/>
  <c r="X20"/>
  <c r="Q20"/>
  <c r="N20"/>
  <c r="K20"/>
  <c r="AS20" s="1"/>
  <c r="G20"/>
  <c r="BA19"/>
  <c r="AZ19"/>
  <c r="AX19"/>
  <c r="AW19"/>
  <c r="AT19"/>
  <c r="AQ19"/>
  <c r="AH19"/>
  <c r="AE19"/>
  <c r="AB19"/>
  <c r="AA19" s="1"/>
  <c r="Y19"/>
  <c r="X19" s="1"/>
  <c r="Q19"/>
  <c r="N19"/>
  <c r="K19"/>
  <c r="J19" s="1"/>
  <c r="G19"/>
  <c r="AJ18"/>
  <c r="AI18"/>
  <c r="AG18"/>
  <c r="AX18" s="1"/>
  <c r="AF18"/>
  <c r="AC18"/>
  <c r="Z18"/>
  <c r="S18"/>
  <c r="P18"/>
  <c r="O18"/>
  <c r="O17" s="1"/>
  <c r="L18"/>
  <c r="L17" s="1"/>
  <c r="I18"/>
  <c r="I17" s="1"/>
  <c r="AJ17"/>
  <c r="AI17"/>
  <c r="AC17"/>
  <c r="Z17"/>
  <c r="P17"/>
  <c r="U16"/>
  <c r="D16"/>
  <c r="X21" i="64"/>
  <c r="V21"/>
  <c r="R21"/>
  <c r="Q21"/>
  <c r="L21"/>
  <c r="J21"/>
  <c r="G21" s="1"/>
  <c r="E21" s="1"/>
  <c r="C21" s="1"/>
  <c r="X20"/>
  <c r="V20"/>
  <c r="R20"/>
  <c r="Q20"/>
  <c r="Y20" s="1"/>
  <c r="L20"/>
  <c r="J20"/>
  <c r="G20" s="1"/>
  <c r="E20" s="1"/>
  <c r="C20" s="1"/>
  <c r="X19"/>
  <c r="V19"/>
  <c r="R19"/>
  <c r="Q19" s="1"/>
  <c r="Y19" s="1"/>
  <c r="L19"/>
  <c r="J19"/>
  <c r="X18"/>
  <c r="V18"/>
  <c r="R18"/>
  <c r="Q18"/>
  <c r="L18"/>
  <c r="J18"/>
  <c r="G18" s="1"/>
  <c r="E18" s="1"/>
  <c r="C18" s="1"/>
  <c r="X17"/>
  <c r="V17"/>
  <c r="R17"/>
  <c r="Q17" s="1"/>
  <c r="O17" s="1"/>
  <c r="M17" s="1"/>
  <c r="L17"/>
  <c r="J17"/>
  <c r="G17" s="1"/>
  <c r="E17" s="1"/>
  <c r="C17" s="1"/>
  <c r="X16"/>
  <c r="V16"/>
  <c r="R16"/>
  <c r="Q16"/>
  <c r="Y16" s="1"/>
  <c r="L16"/>
  <c r="J16"/>
  <c r="G16" s="1"/>
  <c r="E16" s="1"/>
  <c r="C16" s="1"/>
  <c r="X15"/>
  <c r="AY19" i="117" l="1"/>
  <c r="AY22"/>
  <c r="AV22"/>
  <c r="AO24"/>
  <c r="U25"/>
  <c r="AY29"/>
  <c r="E30"/>
  <c r="J78" i="169" s="1"/>
  <c r="AR31" i="117"/>
  <c r="AM43"/>
  <c r="AV21"/>
  <c r="AO22"/>
  <c r="W26"/>
  <c r="M28"/>
  <c r="F30"/>
  <c r="AN30" s="1"/>
  <c r="AY30"/>
  <c r="AD31"/>
  <c r="N33"/>
  <c r="M33" s="1"/>
  <c r="V33"/>
  <c r="R81" i="169" s="1"/>
  <c r="AY33" i="117"/>
  <c r="V34"/>
  <c r="R82" i="169" s="1"/>
  <c r="AY35" i="117"/>
  <c r="F36"/>
  <c r="AR19"/>
  <c r="AP27"/>
  <c r="AY31"/>
  <c r="V36"/>
  <c r="O16" i="64"/>
  <c r="M16" s="1"/>
  <c r="U16" s="1"/>
  <c r="T16" s="1"/>
  <c r="AQ18" i="117"/>
  <c r="M19"/>
  <c r="D21"/>
  <c r="I29" i="169" s="1"/>
  <c r="U21" i="117"/>
  <c r="AE18"/>
  <c r="AE17" s="1"/>
  <c r="V25"/>
  <c r="R42" i="169" s="1"/>
  <c r="M42" s="1"/>
  <c r="V42" s="1"/>
  <c r="E33" i="117"/>
  <c r="J81" i="169" s="1"/>
  <c r="AD36" i="117"/>
  <c r="AU46"/>
  <c r="U28"/>
  <c r="W28"/>
  <c r="V28" s="1"/>
  <c r="R76" i="169" s="1"/>
  <c r="AV28" i="117"/>
  <c r="AD28"/>
  <c r="D19"/>
  <c r="I19" i="169" s="1"/>
  <c r="AS19" i="117"/>
  <c r="AG17"/>
  <c r="AF17" s="1"/>
  <c r="R18"/>
  <c r="R17" s="1"/>
  <c r="AZ17" s="1"/>
  <c r="AY20"/>
  <c r="AO23"/>
  <c r="E24"/>
  <c r="J33" i="169" s="1"/>
  <c r="AT18" i="117"/>
  <c r="AZ18"/>
  <c r="AD19"/>
  <c r="AD20"/>
  <c r="AS21"/>
  <c r="M22"/>
  <c r="M23"/>
  <c r="F24"/>
  <c r="U24"/>
  <c r="Q33" i="169" s="1"/>
  <c r="Z33" s="1"/>
  <c r="M25" i="117"/>
  <c r="F26"/>
  <c r="AR27"/>
  <c r="E28"/>
  <c r="J76" i="169" s="1"/>
  <c r="AR28" i="117"/>
  <c r="AY28"/>
  <c r="AW28"/>
  <c r="G29"/>
  <c r="F29" s="1"/>
  <c r="E29" s="1"/>
  <c r="J77" i="169" s="1"/>
  <c r="AD29" i="117"/>
  <c r="AU29" s="1"/>
  <c r="U32"/>
  <c r="Q80" i="169" s="1"/>
  <c r="L80" s="1"/>
  <c r="G33" i="117"/>
  <c r="AM33"/>
  <c r="X34"/>
  <c r="N35"/>
  <c r="X35"/>
  <c r="W35" s="1"/>
  <c r="M36"/>
  <c r="AR36"/>
  <c r="AZ37"/>
  <c r="AO37"/>
  <c r="AU22"/>
  <c r="AR29"/>
  <c r="AP30"/>
  <c r="AO31"/>
  <c r="AV35"/>
  <c r="AR37"/>
  <c r="AQ37" s="1"/>
  <c r="AP37" s="1"/>
  <c r="W20"/>
  <c r="U22"/>
  <c r="Q30" i="169" s="1"/>
  <c r="P30" s="1"/>
  <c r="K30" s="1"/>
  <c r="M24" i="117"/>
  <c r="F25"/>
  <c r="W25"/>
  <c r="F27"/>
  <c r="E27" s="1"/>
  <c r="AY27"/>
  <c r="W29"/>
  <c r="M31"/>
  <c r="AU31" s="1"/>
  <c r="W31"/>
  <c r="AN31" s="1"/>
  <c r="AR32"/>
  <c r="AD33"/>
  <c r="AU33" s="1"/>
  <c r="F34"/>
  <c r="F35"/>
  <c r="J20"/>
  <c r="E20" s="1"/>
  <c r="K18"/>
  <c r="K17" s="1"/>
  <c r="AY24"/>
  <c r="AV24"/>
  <c r="AU24" s="1"/>
  <c r="AV26"/>
  <c r="AP28"/>
  <c r="AD30"/>
  <c r="AU30" s="1"/>
  <c r="U31"/>
  <c r="Q79" i="169" s="1"/>
  <c r="AY32" i="117"/>
  <c r="AO35"/>
  <c r="E36"/>
  <c r="C36" s="1"/>
  <c r="C46"/>
  <c r="AK46" s="1"/>
  <c r="Z19" i="64"/>
  <c r="F22" i="117"/>
  <c r="E22"/>
  <c r="J30" i="169" s="1"/>
  <c r="AA30" s="1"/>
  <c r="D20" i="117"/>
  <c r="J20" i="169"/>
  <c r="AR24" i="117"/>
  <c r="W24"/>
  <c r="V43" i="169"/>
  <c r="Q76"/>
  <c r="T28" i="117"/>
  <c r="F19"/>
  <c r="E19"/>
  <c r="U19"/>
  <c r="W19"/>
  <c r="X18"/>
  <c r="V32"/>
  <c r="AN29"/>
  <c r="AA43" i="169"/>
  <c r="AU28" i="117"/>
  <c r="AA18"/>
  <c r="AA17" s="1"/>
  <c r="AR22"/>
  <c r="W22"/>
  <c r="AO32"/>
  <c r="D32"/>
  <c r="F32"/>
  <c r="E32" s="1"/>
  <c r="J80" i="169" s="1"/>
  <c r="AU19" i="117"/>
  <c r="Q29" i="169"/>
  <c r="P29" s="1"/>
  <c r="K29" s="1"/>
  <c r="Q42"/>
  <c r="P42" s="1"/>
  <c r="K42" s="1"/>
  <c r="T25" i="117"/>
  <c r="J83" i="169"/>
  <c r="AM35" i="117"/>
  <c r="AM34"/>
  <c r="D27"/>
  <c r="J75" i="169"/>
  <c r="AN25" i="117"/>
  <c r="E45"/>
  <c r="C45" s="1"/>
  <c r="F45"/>
  <c r="F37" s="1"/>
  <c r="AR38"/>
  <c r="V38"/>
  <c r="W38"/>
  <c r="M38"/>
  <c r="Q37"/>
  <c r="AR26"/>
  <c r="AO27"/>
  <c r="Y18"/>
  <c r="V20"/>
  <c r="J21"/>
  <c r="Q21"/>
  <c r="M21" s="1"/>
  <c r="W21"/>
  <c r="AD21"/>
  <c r="AO21"/>
  <c r="H18"/>
  <c r="AB18"/>
  <c r="AP19"/>
  <c r="AO19" s="1"/>
  <c r="U20"/>
  <c r="AO20"/>
  <c r="V21"/>
  <c r="T21" s="1"/>
  <c r="AS22"/>
  <c r="U23"/>
  <c r="AD23"/>
  <c r="AU23" s="1"/>
  <c r="AV23"/>
  <c r="AS24"/>
  <c r="E25"/>
  <c r="AV25"/>
  <c r="AD26"/>
  <c r="V27"/>
  <c r="AD27"/>
  <c r="AU27" s="1"/>
  <c r="D29"/>
  <c r="AO29"/>
  <c r="AO30"/>
  <c r="M32"/>
  <c r="AU32" s="1"/>
  <c r="W33"/>
  <c r="AO33"/>
  <c r="N34"/>
  <c r="AO36"/>
  <c r="AN36" s="1"/>
  <c r="AY36"/>
  <c r="AN44"/>
  <c r="AL41"/>
  <c r="AN46"/>
  <c r="T44"/>
  <c r="AR45"/>
  <c r="AY40"/>
  <c r="AY45"/>
  <c r="AK43"/>
  <c r="E38"/>
  <c r="AY42"/>
  <c r="M42"/>
  <c r="AZ23"/>
  <c r="AY23" s="1"/>
  <c r="AO25"/>
  <c r="AY25"/>
  <c r="U26"/>
  <c r="AO26"/>
  <c r="AN26" s="1"/>
  <c r="AM26" s="1"/>
  <c r="U27"/>
  <c r="D28"/>
  <c r="AL28" s="1"/>
  <c r="AV29"/>
  <c r="AV30"/>
  <c r="V31"/>
  <c r="T31" s="1"/>
  <c r="AL32"/>
  <c r="AP32"/>
  <c r="AV33"/>
  <c r="AO34"/>
  <c r="U35"/>
  <c r="AR35"/>
  <c r="AV36"/>
  <c r="AU36" s="1"/>
  <c r="AN45"/>
  <c r="E39"/>
  <c r="C39" s="1"/>
  <c r="L79" i="169"/>
  <c r="L81"/>
  <c r="K81" s="1"/>
  <c r="P81"/>
  <c r="R84"/>
  <c r="AA84" s="1"/>
  <c r="AM36" i="117"/>
  <c r="T45"/>
  <c r="AL45"/>
  <c r="AH18"/>
  <c r="AW18"/>
  <c r="AV19"/>
  <c r="AO28"/>
  <c r="AM30"/>
  <c r="AM45"/>
  <c r="AU42"/>
  <c r="AY37"/>
  <c r="AX37" s="1"/>
  <c r="AW37" s="1"/>
  <c r="AY39"/>
  <c r="E40"/>
  <c r="C40" s="1"/>
  <c r="A40" s="1"/>
  <c r="A41" s="1"/>
  <c r="H33" i="169"/>
  <c r="H43"/>
  <c r="C19" i="117"/>
  <c r="D31"/>
  <c r="J79" i="169"/>
  <c r="T38" i="117"/>
  <c r="U37"/>
  <c r="AU38"/>
  <c r="AD37"/>
  <c r="M20"/>
  <c r="AU20" s="1"/>
  <c r="D22"/>
  <c r="AL22" s="1"/>
  <c r="J23"/>
  <c r="AR23" s="1"/>
  <c r="W23"/>
  <c r="C26"/>
  <c r="AU26"/>
  <c r="AN28"/>
  <c r="U29"/>
  <c r="D30"/>
  <c r="U30"/>
  <c r="T33"/>
  <c r="AR34"/>
  <c r="AD35"/>
  <c r="U36"/>
  <c r="AM44"/>
  <c r="AL44" s="1"/>
  <c r="AK44" s="1"/>
  <c r="E42"/>
  <c r="Z18" i="64"/>
  <c r="O21"/>
  <c r="M21" s="1"/>
  <c r="K21" s="1"/>
  <c r="S21" s="1"/>
  <c r="O18"/>
  <c r="M18" s="1"/>
  <c r="U18" s="1"/>
  <c r="T18" s="1"/>
  <c r="Y18"/>
  <c r="O19"/>
  <c r="M19" s="1"/>
  <c r="K19" s="1"/>
  <c r="Z20"/>
  <c r="Z21"/>
  <c r="Y21"/>
  <c r="K17"/>
  <c r="U17"/>
  <c r="T17" s="1"/>
  <c r="K16"/>
  <c r="S16" s="1"/>
  <c r="Z16"/>
  <c r="W17"/>
  <c r="G19"/>
  <c r="E19" s="1"/>
  <c r="C19" s="1"/>
  <c r="O20"/>
  <c r="M20" s="1"/>
  <c r="W16"/>
  <c r="Z17"/>
  <c r="Y17"/>
  <c r="V15"/>
  <c r="R15"/>
  <c r="K18" l="1"/>
  <c r="AN35" i="117"/>
  <c r="W18" i="64"/>
  <c r="AM39" i="117"/>
  <c r="AL39" s="1"/>
  <c r="AK39" s="1"/>
  <c r="AU21"/>
  <c r="U34"/>
  <c r="W34"/>
  <c r="AN34" s="1"/>
  <c r="M35"/>
  <c r="AU35" s="1"/>
  <c r="D35"/>
  <c r="AL35" s="1"/>
  <c r="AM25"/>
  <c r="AN27"/>
  <c r="C24"/>
  <c r="AM29"/>
  <c r="AM28"/>
  <c r="AU25"/>
  <c r="D33"/>
  <c r="F33"/>
  <c r="AN33" s="1"/>
  <c r="F20"/>
  <c r="AN20" s="1"/>
  <c r="AR20"/>
  <c r="Z29" i="169"/>
  <c r="T37" i="117"/>
  <c r="Q84" i="169"/>
  <c r="AL36" i="117"/>
  <c r="T36"/>
  <c r="AK36" s="1"/>
  <c r="C43" i="169"/>
  <c r="Q78"/>
  <c r="AL30" i="117"/>
  <c r="T30"/>
  <c r="V23"/>
  <c r="R32" i="169" s="1"/>
  <c r="M32" s="1"/>
  <c r="V32" s="1"/>
  <c r="C31" i="117"/>
  <c r="AK31" s="1"/>
  <c r="I79" i="169"/>
  <c r="H79" s="1"/>
  <c r="C79" s="1"/>
  <c r="Q43"/>
  <c r="AL26" i="117"/>
  <c r="T26"/>
  <c r="C33" i="169"/>
  <c r="Q83"/>
  <c r="T35" i="117"/>
  <c r="D34"/>
  <c r="AL34" s="1"/>
  <c r="M34"/>
  <c r="M18" s="1"/>
  <c r="N18"/>
  <c r="N17" s="1"/>
  <c r="D25"/>
  <c r="J42" i="169"/>
  <c r="AA42" s="1"/>
  <c r="Q31" i="164"/>
  <c r="Q32" i="169"/>
  <c r="AL23" i="117"/>
  <c r="T23"/>
  <c r="AS18"/>
  <c r="AB17"/>
  <c r="R20" i="169"/>
  <c r="M20" s="1"/>
  <c r="AM20" i="117"/>
  <c r="AL20" s="1"/>
  <c r="W37"/>
  <c r="AN37" s="1"/>
  <c r="AN38"/>
  <c r="C32"/>
  <c r="I80" i="169"/>
  <c r="H80" s="1"/>
  <c r="C80" s="1"/>
  <c r="X17" i="117"/>
  <c r="L76" i="169"/>
  <c r="P76"/>
  <c r="AK45" i="117"/>
  <c r="AM40"/>
  <c r="AH17"/>
  <c r="AY21"/>
  <c r="AV34"/>
  <c r="AU34" s="1"/>
  <c r="Q18"/>
  <c r="Q17" s="1"/>
  <c r="Q77" i="169"/>
  <c r="AL29" i="117"/>
  <c r="T29"/>
  <c r="R79" i="169"/>
  <c r="P79" s="1"/>
  <c r="K79" s="1"/>
  <c r="AM31" i="117"/>
  <c r="Q75" i="169"/>
  <c r="AL27" i="117"/>
  <c r="T27"/>
  <c r="D38"/>
  <c r="E37"/>
  <c r="E21"/>
  <c r="F21"/>
  <c r="R80" i="169"/>
  <c r="P80" s="1"/>
  <c r="K80" s="1"/>
  <c r="T32" i="117"/>
  <c r="AK32" s="1"/>
  <c r="AM32"/>
  <c r="J19" i="169"/>
  <c r="H19" s="1"/>
  <c r="V24" i="117"/>
  <c r="AN24"/>
  <c r="M37"/>
  <c r="AU37" s="1"/>
  <c r="AT37" s="1"/>
  <c r="I30" i="169"/>
  <c r="C22" i="117"/>
  <c r="C42"/>
  <c r="AM42"/>
  <c r="AL42" s="1"/>
  <c r="C28"/>
  <c r="AK28" s="1"/>
  <c r="I76" i="169"/>
  <c r="H76" s="1"/>
  <c r="C76" s="1"/>
  <c r="I77"/>
  <c r="H77" s="1"/>
  <c r="C77" s="1"/>
  <c r="C29" i="117"/>
  <c r="Q20" i="169"/>
  <c r="P20" s="1"/>
  <c r="T20" i="117"/>
  <c r="I75" i="169"/>
  <c r="C27" i="117"/>
  <c r="V22"/>
  <c r="T22" s="1"/>
  <c r="AK22" s="1"/>
  <c r="AN22"/>
  <c r="Q19" i="169"/>
  <c r="AL19" i="117"/>
  <c r="U18"/>
  <c r="C20"/>
  <c r="I20" i="169"/>
  <c r="D18" i="117"/>
  <c r="AL31"/>
  <c r="AD18"/>
  <c r="AN32"/>
  <c r="C30"/>
  <c r="I78" i="169"/>
  <c r="H78" s="1"/>
  <c r="C78" s="1"/>
  <c r="E23" i="117"/>
  <c r="F23"/>
  <c r="AN23" s="1"/>
  <c r="BA18"/>
  <c r="R75" i="169"/>
  <c r="AA75" s="1"/>
  <c r="AM27" i="117"/>
  <c r="G18"/>
  <c r="G17" s="1"/>
  <c r="H17"/>
  <c r="AP18"/>
  <c r="Y17"/>
  <c r="AM38"/>
  <c r="AL38" s="1"/>
  <c r="V37"/>
  <c r="V19"/>
  <c r="AN19"/>
  <c r="W18"/>
  <c r="AK40"/>
  <c r="AR21"/>
  <c r="J18"/>
  <c r="J17" s="1"/>
  <c r="AA20" i="169"/>
  <c r="W21" i="64"/>
  <c r="U21"/>
  <c r="T21" s="1"/>
  <c r="W20"/>
  <c r="S17"/>
  <c r="Q15"/>
  <c r="Y15" s="1"/>
  <c r="K20"/>
  <c r="U20"/>
  <c r="T20" s="1"/>
  <c r="W19"/>
  <c r="S18"/>
  <c r="U19"/>
  <c r="T19" s="1"/>
  <c r="S19" s="1"/>
  <c r="L15"/>
  <c r="J15"/>
  <c r="Z15" s="1"/>
  <c r="X14"/>
  <c r="V14"/>
  <c r="R14"/>
  <c r="Q14"/>
  <c r="Y14" s="1"/>
  <c r="L14"/>
  <c r="J14"/>
  <c r="Z14" s="1"/>
  <c r="A14"/>
  <c r="X13"/>
  <c r="V13"/>
  <c r="R13"/>
  <c r="Q13"/>
  <c r="Y13" s="1"/>
  <c r="O15" l="1"/>
  <c r="AR18" i="117"/>
  <c r="M17"/>
  <c r="E18"/>
  <c r="E17" s="1"/>
  <c r="AK20"/>
  <c r="AM23"/>
  <c r="C33"/>
  <c r="AK33" s="1"/>
  <c r="I81" i="169"/>
  <c r="H81" s="1"/>
  <c r="C81" s="1"/>
  <c r="AL33" i="117"/>
  <c r="T34"/>
  <c r="Q82" i="169"/>
  <c r="AK29" i="117"/>
  <c r="F18"/>
  <c r="F17" s="1"/>
  <c r="AK27"/>
  <c r="AP17"/>
  <c r="AY17"/>
  <c r="AX17" s="1"/>
  <c r="AW17" s="1"/>
  <c r="AV17" s="1"/>
  <c r="AN21"/>
  <c r="AM21" s="1"/>
  <c r="AL21" s="1"/>
  <c r="AK26"/>
  <c r="I83" i="169"/>
  <c r="H83" s="1"/>
  <c r="C83" s="1"/>
  <c r="C35" i="117"/>
  <c r="AK35" s="1"/>
  <c r="AK30"/>
  <c r="J32" i="169"/>
  <c r="C23" i="117"/>
  <c r="AK23" s="1"/>
  <c r="AL18"/>
  <c r="U17"/>
  <c r="Z30" i="169"/>
  <c r="H30"/>
  <c r="R33"/>
  <c r="T24" i="117"/>
  <c r="AK24" s="1"/>
  <c r="Q15" i="169"/>
  <c r="P32"/>
  <c r="K32" s="1"/>
  <c r="Z32"/>
  <c r="L78"/>
  <c r="P78"/>
  <c r="AD17" i="117"/>
  <c r="AU17" s="1"/>
  <c r="AT17" s="1"/>
  <c r="AS17" s="1"/>
  <c r="AR17" s="1"/>
  <c r="AQ17" s="1"/>
  <c r="AU18"/>
  <c r="Z20" i="169"/>
  <c r="H20"/>
  <c r="D37" i="117"/>
  <c r="AL37" s="1"/>
  <c r="C38"/>
  <c r="L77" i="169"/>
  <c r="P77"/>
  <c r="V20"/>
  <c r="K20"/>
  <c r="C25" i="117"/>
  <c r="AK25" s="1"/>
  <c r="I42" i="169"/>
  <c r="AL25" i="117"/>
  <c r="AO17"/>
  <c r="AM22"/>
  <c r="K76" i="169"/>
  <c r="Z19"/>
  <c r="AM37" i="117"/>
  <c r="AV18"/>
  <c r="AO18"/>
  <c r="I82" i="169"/>
  <c r="H82" s="1"/>
  <c r="C82" s="1"/>
  <c r="C34" i="117"/>
  <c r="AK34" s="1"/>
  <c r="C19" i="169"/>
  <c r="R19"/>
  <c r="P19" s="1"/>
  <c r="Y19" s="1"/>
  <c r="AM19" i="117"/>
  <c r="V18"/>
  <c r="P75" i="169"/>
  <c r="L75"/>
  <c r="J29"/>
  <c r="C21" i="117"/>
  <c r="L83" i="169"/>
  <c r="P83"/>
  <c r="P43"/>
  <c r="Z43"/>
  <c r="Z84"/>
  <c r="P84"/>
  <c r="Y84" s="1"/>
  <c r="AK21" i="117"/>
  <c r="AM24"/>
  <c r="AL24" s="1"/>
  <c r="AY18"/>
  <c r="AN18"/>
  <c r="W17"/>
  <c r="Z75" i="169"/>
  <c r="H75"/>
  <c r="A42" i="117"/>
  <c r="A43" s="1"/>
  <c r="A44" s="1"/>
  <c r="A45" s="1"/>
  <c r="A46" s="1"/>
  <c r="AK42"/>
  <c r="T19"/>
  <c r="O14" i="64"/>
  <c r="M14" s="1"/>
  <c r="K14" s="1"/>
  <c r="G14"/>
  <c r="E14" s="1"/>
  <c r="C14" s="1"/>
  <c r="G15"/>
  <c r="E15" s="1"/>
  <c r="C15" s="1"/>
  <c r="A15" s="1"/>
  <c r="A16" s="1"/>
  <c r="A17" s="1"/>
  <c r="A18" s="1"/>
  <c r="A19" s="1"/>
  <c r="A20" s="1"/>
  <c r="A21" s="1"/>
  <c r="M15"/>
  <c r="S20"/>
  <c r="O13"/>
  <c r="O12" s="1"/>
  <c r="L13"/>
  <c r="L12" s="1"/>
  <c r="J13"/>
  <c r="Z13" s="1"/>
  <c r="R12"/>
  <c r="Q12"/>
  <c r="P12"/>
  <c r="N12"/>
  <c r="I12"/>
  <c r="H12"/>
  <c r="F12"/>
  <c r="D12"/>
  <c r="O11"/>
  <c r="G11"/>
  <c r="R47" i="122"/>
  <c r="N45"/>
  <c r="AI23"/>
  <c r="AG23"/>
  <c r="W15" i="64" l="1"/>
  <c r="P82" i="169"/>
  <c r="L82"/>
  <c r="K82" s="1"/>
  <c r="AN17" i="117"/>
  <c r="C18"/>
  <c r="K77" i="169"/>
  <c r="K78"/>
  <c r="AK19" i="117"/>
  <c r="T18"/>
  <c r="C75" i="169"/>
  <c r="Y75"/>
  <c r="AA32"/>
  <c r="H32"/>
  <c r="U75"/>
  <c r="L84"/>
  <c r="U84" s="1"/>
  <c r="K75"/>
  <c r="M19"/>
  <c r="R15"/>
  <c r="P15" s="1"/>
  <c r="BA37" i="117"/>
  <c r="C37"/>
  <c r="C17" s="1"/>
  <c r="AK38"/>
  <c r="Q14" i="169"/>
  <c r="Y30"/>
  <c r="C30"/>
  <c r="T30" s="1"/>
  <c r="K43"/>
  <c r="T43" s="1"/>
  <c r="Y43"/>
  <c r="AA29"/>
  <c r="H29"/>
  <c r="M33"/>
  <c r="V33" s="1"/>
  <c r="AA33"/>
  <c r="P33"/>
  <c r="V17" i="117"/>
  <c r="AM17" s="1"/>
  <c r="AM18"/>
  <c r="Z42" i="169"/>
  <c r="H42"/>
  <c r="Y20"/>
  <c r="C20"/>
  <c r="T20" s="1"/>
  <c r="AK37" i="117"/>
  <c r="K19" i="169"/>
  <c r="T19" s="1"/>
  <c r="K83"/>
  <c r="I15"/>
  <c r="D17" i="117"/>
  <c r="J15" i="169"/>
  <c r="AA19"/>
  <c r="T17" i="117"/>
  <c r="S17" s="1"/>
  <c r="BA17" s="1"/>
  <c r="T12" i="64"/>
  <c r="Y12"/>
  <c r="X12"/>
  <c r="U15"/>
  <c r="T15" s="1"/>
  <c r="K15"/>
  <c r="M12"/>
  <c r="K12" s="1"/>
  <c r="G13"/>
  <c r="W13" s="1"/>
  <c r="M13"/>
  <c r="K13" s="1"/>
  <c r="W14"/>
  <c r="J12"/>
  <c r="Z12" s="1"/>
  <c r="U14"/>
  <c r="T14" s="1"/>
  <c r="S14" s="1"/>
  <c r="V12"/>
  <c r="AE23" i="122"/>
  <c r="AB23"/>
  <c r="AA23"/>
  <c r="U23"/>
  <c r="S23"/>
  <c r="AD23" s="1"/>
  <c r="R23"/>
  <c r="AC23" s="1"/>
  <c r="O23"/>
  <c r="Z23" s="1"/>
  <c r="L23"/>
  <c r="AH23" s="1"/>
  <c r="AI22"/>
  <c r="AG22"/>
  <c r="AE22"/>
  <c r="AB22"/>
  <c r="AA22"/>
  <c r="U22"/>
  <c r="S22"/>
  <c r="AD22" s="1"/>
  <c r="R22"/>
  <c r="AC22" s="1"/>
  <c r="O22"/>
  <c r="Z22" s="1"/>
  <c r="L22"/>
  <c r="J22" s="1"/>
  <c r="AI21"/>
  <c r="AG21"/>
  <c r="AE21"/>
  <c r="AB21"/>
  <c r="AA21"/>
  <c r="U21"/>
  <c r="S21"/>
  <c r="AD21" s="1"/>
  <c r="R21"/>
  <c r="N21" s="1"/>
  <c r="O21"/>
  <c r="Z21" s="1"/>
  <c r="L21"/>
  <c r="AH21" s="1"/>
  <c r="J21"/>
  <c r="AF21" s="1"/>
  <c r="AI20"/>
  <c r="AG20"/>
  <c r="AE20"/>
  <c r="AB20"/>
  <c r="AA20"/>
  <c r="U20"/>
  <c r="S20"/>
  <c r="R20"/>
  <c r="O20"/>
  <c r="N20" s="1"/>
  <c r="L20"/>
  <c r="AH20" s="1"/>
  <c r="H20"/>
  <c r="AD20" s="1"/>
  <c r="G20"/>
  <c r="AC20" s="1"/>
  <c r="AI19"/>
  <c r="AG19"/>
  <c r="AE19"/>
  <c r="AB19"/>
  <c r="AA19"/>
  <c r="U19"/>
  <c r="S19"/>
  <c r="AD19" s="1"/>
  <c r="L19"/>
  <c r="AH19" s="1"/>
  <c r="G19"/>
  <c r="AC19" s="1"/>
  <c r="D19"/>
  <c r="AI18"/>
  <c r="AG18"/>
  <c r="AE18"/>
  <c r="AD18"/>
  <c r="AA18"/>
  <c r="Z18"/>
  <c r="U18"/>
  <c r="N18" s="1"/>
  <c r="R18"/>
  <c r="AC18" s="1"/>
  <c r="L18"/>
  <c r="AH18" s="1"/>
  <c r="AI17"/>
  <c r="AG17"/>
  <c r="AE17"/>
  <c r="AB17"/>
  <c r="AA17"/>
  <c r="Z17"/>
  <c r="W17"/>
  <c r="S17"/>
  <c r="AD17" s="1"/>
  <c r="L17"/>
  <c r="J17" s="1"/>
  <c r="AI16"/>
  <c r="AG16"/>
  <c r="AE16"/>
  <c r="AC16"/>
  <c r="AB16"/>
  <c r="AA16"/>
  <c r="Z16"/>
  <c r="U16"/>
  <c r="S16"/>
  <c r="AD16" s="1"/>
  <c r="N16"/>
  <c r="L16"/>
  <c r="AH16" s="1"/>
  <c r="A16"/>
  <c r="AI15"/>
  <c r="AG15"/>
  <c r="AE15"/>
  <c r="AB15"/>
  <c r="AA15"/>
  <c r="Z15"/>
  <c r="W15"/>
  <c r="U15" s="1"/>
  <c r="S15"/>
  <c r="AD15" s="1"/>
  <c r="R15"/>
  <c r="AC15" s="1"/>
  <c r="L15"/>
  <c r="J15" s="1"/>
  <c r="C15" s="1"/>
  <c r="X14"/>
  <c r="V14"/>
  <c r="T14"/>
  <c r="Q14"/>
  <c r="P14"/>
  <c r="O14"/>
  <c r="M14"/>
  <c r="K14"/>
  <c r="I14"/>
  <c r="G14"/>
  <c r="F14"/>
  <c r="E14"/>
  <c r="P13"/>
  <c r="Q13" s="1"/>
  <c r="R13" s="1"/>
  <c r="E13"/>
  <c r="F13" s="1"/>
  <c r="AA78" i="167"/>
  <c r="Z78"/>
  <c r="X78"/>
  <c r="W78"/>
  <c r="V78"/>
  <c r="U78"/>
  <c r="P78"/>
  <c r="K78" s="1"/>
  <c r="H78"/>
  <c r="C78"/>
  <c r="AA77"/>
  <c r="Z77"/>
  <c r="X77"/>
  <c r="W77"/>
  <c r="V77"/>
  <c r="U77"/>
  <c r="P77"/>
  <c r="K77" s="1"/>
  <c r="T77" s="1"/>
  <c r="H77"/>
  <c r="C77" s="1"/>
  <c r="AA76"/>
  <c r="Z76"/>
  <c r="X76"/>
  <c r="W76"/>
  <c r="V76"/>
  <c r="U76"/>
  <c r="P76"/>
  <c r="K76" s="1"/>
  <c r="H76"/>
  <c r="C76"/>
  <c r="AA75"/>
  <c r="Z75"/>
  <c r="X75"/>
  <c r="W75"/>
  <c r="V75"/>
  <c r="U75"/>
  <c r="P75"/>
  <c r="K75" s="1"/>
  <c r="H75"/>
  <c r="C75" s="1"/>
  <c r="T75" s="1"/>
  <c r="AA74"/>
  <c r="Z74"/>
  <c r="X74"/>
  <c r="W74"/>
  <c r="V74"/>
  <c r="U74"/>
  <c r="P74"/>
  <c r="K74" s="1"/>
  <c r="H74"/>
  <c r="C74" s="1"/>
  <c r="AA73"/>
  <c r="Z73"/>
  <c r="X73"/>
  <c r="W73"/>
  <c r="V73"/>
  <c r="U73"/>
  <c r="P73"/>
  <c r="K73" s="1"/>
  <c r="H73"/>
  <c r="C73" s="1"/>
  <c r="Z72"/>
  <c r="X72"/>
  <c r="W72"/>
  <c r="V72"/>
  <c r="U72"/>
  <c r="R72"/>
  <c r="P72" s="1"/>
  <c r="K72" s="1"/>
  <c r="H72"/>
  <c r="C72"/>
  <c r="AA71" s="1"/>
  <c r="Z71"/>
  <c r="X71"/>
  <c r="W71"/>
  <c r="V71"/>
  <c r="U71"/>
  <c r="R71"/>
  <c r="P71"/>
  <c r="K71" s="1"/>
  <c r="H71"/>
  <c r="Y71" s="1"/>
  <c r="Z70"/>
  <c r="X70"/>
  <c r="W70"/>
  <c r="V70"/>
  <c r="U70"/>
  <c r="R70"/>
  <c r="P70" s="1"/>
  <c r="H70"/>
  <c r="C70"/>
  <c r="AA69" s="1"/>
  <c r="Z69"/>
  <c r="X69"/>
  <c r="W69"/>
  <c r="V69"/>
  <c r="U69"/>
  <c r="R69"/>
  <c r="P69" s="1"/>
  <c r="K69" s="1"/>
  <c r="H69"/>
  <c r="C69"/>
  <c r="Z68"/>
  <c r="X68"/>
  <c r="W68"/>
  <c r="V68"/>
  <c r="U68"/>
  <c r="R68"/>
  <c r="P68" s="1"/>
  <c r="K68" s="1"/>
  <c r="T68" s="1"/>
  <c r="H68"/>
  <c r="C68" s="1"/>
  <c r="Z67"/>
  <c r="X67"/>
  <c r="W67"/>
  <c r="V67"/>
  <c r="U67"/>
  <c r="R67"/>
  <c r="P67" s="1"/>
  <c r="H67"/>
  <c r="C67" s="1"/>
  <c r="AA66" s="1"/>
  <c r="X66"/>
  <c r="W66"/>
  <c r="V66"/>
  <c r="R66"/>
  <c r="Y72" l="1"/>
  <c r="K70"/>
  <c r="Y70"/>
  <c r="K67"/>
  <c r="T67" s="1"/>
  <c r="Y67"/>
  <c r="C71"/>
  <c r="AA70" s="1"/>
  <c r="Y73"/>
  <c r="T78"/>
  <c r="Y78"/>
  <c r="S14" i="122"/>
  <c r="AC21"/>
  <c r="AA68" i="167"/>
  <c r="T69"/>
  <c r="Y69"/>
  <c r="AA72"/>
  <c r="T76"/>
  <c r="Y76"/>
  <c r="AE14" i="122"/>
  <c r="J19"/>
  <c r="AF19" s="1"/>
  <c r="T70" i="167"/>
  <c r="T72"/>
  <c r="T74"/>
  <c r="Y74"/>
  <c r="Y77"/>
  <c r="AA67"/>
  <c r="Y68"/>
  <c r="T73"/>
  <c r="Y75"/>
  <c r="N15" i="122"/>
  <c r="U17"/>
  <c r="N17" s="1"/>
  <c r="R17"/>
  <c r="AC17" s="1"/>
  <c r="C19"/>
  <c r="AK18" i="117"/>
  <c r="L15" i="169"/>
  <c r="L14" s="1"/>
  <c r="T75"/>
  <c r="I14"/>
  <c r="H15"/>
  <c r="Z15"/>
  <c r="AA15"/>
  <c r="J14"/>
  <c r="C42"/>
  <c r="T42" s="1"/>
  <c r="Y42"/>
  <c r="K33"/>
  <c r="T33" s="1"/>
  <c r="Y33"/>
  <c r="C32"/>
  <c r="T32" s="1"/>
  <c r="Y32"/>
  <c r="C29"/>
  <c r="T29" s="1"/>
  <c r="Y29"/>
  <c r="V19"/>
  <c r="AL17" i="117"/>
  <c r="AK17" s="1"/>
  <c r="R14" i="169"/>
  <c r="P14" s="1"/>
  <c r="M84"/>
  <c r="AF22" i="122"/>
  <c r="C22"/>
  <c r="Y15"/>
  <c r="R14"/>
  <c r="AC14" s="1"/>
  <c r="J16"/>
  <c r="AH17"/>
  <c r="N19"/>
  <c r="Y19" s="1"/>
  <c r="Z19"/>
  <c r="D14"/>
  <c r="H14"/>
  <c r="AD14" s="1"/>
  <c r="L14"/>
  <c r="J18"/>
  <c r="C18" s="1"/>
  <c r="J20"/>
  <c r="AF20" s="1"/>
  <c r="C21"/>
  <c r="N22"/>
  <c r="Y22" s="1"/>
  <c r="AH22"/>
  <c r="N23"/>
  <c r="Z20"/>
  <c r="Z14"/>
  <c r="AH15"/>
  <c r="J23"/>
  <c r="C23" s="1"/>
  <c r="W14"/>
  <c r="AH14" s="1"/>
  <c r="E13" i="64"/>
  <c r="C13" s="1"/>
  <c r="S13" s="1"/>
  <c r="G12"/>
  <c r="S15"/>
  <c r="AB14" i="122"/>
  <c r="AF18"/>
  <c r="AF15"/>
  <c r="U14"/>
  <c r="AI14"/>
  <c r="C16"/>
  <c r="Y16" s="1"/>
  <c r="C17"/>
  <c r="A17" s="1"/>
  <c r="C20"/>
  <c r="Y21"/>
  <c r="Y23"/>
  <c r="AG14"/>
  <c r="AA14"/>
  <c r="N44"/>
  <c r="Q66" i="167"/>
  <c r="Z66" s="1"/>
  <c r="P66"/>
  <c r="T71" l="1"/>
  <c r="A18" i="122"/>
  <c r="A19" s="1"/>
  <c r="AF17"/>
  <c r="U13" i="64"/>
  <c r="T13" s="1"/>
  <c r="AA14" i="169"/>
  <c r="U15"/>
  <c r="K84"/>
  <c r="T84" s="1"/>
  <c r="V84"/>
  <c r="U14"/>
  <c r="Z14"/>
  <c r="H14"/>
  <c r="M15"/>
  <c r="C15"/>
  <c r="Y15"/>
  <c r="AF16" i="122"/>
  <c r="J14"/>
  <c r="C14" s="1"/>
  <c r="R46"/>
  <c r="R48" s="1"/>
  <c r="Y18"/>
  <c r="AF23"/>
  <c r="E12" i="64"/>
  <c r="W12"/>
  <c r="N14" i="122"/>
  <c r="Y17"/>
  <c r="A20"/>
  <c r="A21" s="1"/>
  <c r="A22" s="1"/>
  <c r="A23" s="1"/>
  <c r="Y20"/>
  <c r="L66" i="167"/>
  <c r="K66" s="1"/>
  <c r="H66"/>
  <c r="Y66" s="1"/>
  <c r="D66"/>
  <c r="U66" s="1"/>
  <c r="AA65"/>
  <c r="Z65"/>
  <c r="Y65"/>
  <c r="X65"/>
  <c r="W65"/>
  <c r="V65"/>
  <c r="U65"/>
  <c r="T65" s="1"/>
  <c r="R65"/>
  <c r="P65" s="1"/>
  <c r="K65"/>
  <c r="H65"/>
  <c r="C65" s="1"/>
  <c r="Z64"/>
  <c r="X64"/>
  <c r="W64"/>
  <c r="V64"/>
  <c r="U64"/>
  <c r="R64"/>
  <c r="P64" s="1"/>
  <c r="K64" s="1"/>
  <c r="H64"/>
  <c r="C64" s="1"/>
  <c r="AA63" s="1"/>
  <c r="Z63"/>
  <c r="X63"/>
  <c r="W63"/>
  <c r="U63"/>
  <c r="R63"/>
  <c r="P63"/>
  <c r="K63" s="1"/>
  <c r="H63"/>
  <c r="E63"/>
  <c r="C63" s="1"/>
  <c r="AA62" s="1"/>
  <c r="Z62"/>
  <c r="Y62"/>
  <c r="X62"/>
  <c r="W62"/>
  <c r="U62"/>
  <c r="R62"/>
  <c r="P62"/>
  <c r="K62" s="1"/>
  <c r="H62"/>
  <c r="E62"/>
  <c r="C62" s="1"/>
  <c r="AA61" s="1"/>
  <c r="Z61"/>
  <c r="X61"/>
  <c r="W61"/>
  <c r="V61"/>
  <c r="U61"/>
  <c r="R61"/>
  <c r="P61" s="1"/>
  <c r="K61" s="1"/>
  <c r="H61"/>
  <c r="E61"/>
  <c r="Z60"/>
  <c r="X60"/>
  <c r="W60"/>
  <c r="V60"/>
  <c r="U60"/>
  <c r="R60"/>
  <c r="P60" s="1"/>
  <c r="K60" s="1"/>
  <c r="H60"/>
  <c r="E60"/>
  <c r="Z59"/>
  <c r="X59"/>
  <c r="W59"/>
  <c r="V59"/>
  <c r="U59"/>
  <c r="R59"/>
  <c r="P59" s="1"/>
  <c r="K59" s="1"/>
  <c r="H59"/>
  <c r="C59" s="1"/>
  <c r="AA58" s="1"/>
  <c r="Z58"/>
  <c r="Y58"/>
  <c r="X58"/>
  <c r="W58"/>
  <c r="U58"/>
  <c r="R58"/>
  <c r="P58"/>
  <c r="K58" s="1"/>
  <c r="H58"/>
  <c r="E58"/>
  <c r="C58" s="1"/>
  <c r="AA57"/>
  <c r="Z57"/>
  <c r="Y57"/>
  <c r="X57"/>
  <c r="W57"/>
  <c r="U57"/>
  <c r="T57" s="1"/>
  <c r="R57"/>
  <c r="P57" s="1"/>
  <c r="K57"/>
  <c r="H57"/>
  <c r="E57"/>
  <c r="C57" s="1"/>
  <c r="AA56" s="1"/>
  <c r="Z56"/>
  <c r="X56"/>
  <c r="W56"/>
  <c r="U56"/>
  <c r="R56"/>
  <c r="P56"/>
  <c r="K56" s="1"/>
  <c r="H56"/>
  <c r="E56"/>
  <c r="C56" s="1"/>
  <c r="AA55" s="1"/>
  <c r="Z55"/>
  <c r="Y55"/>
  <c r="X55"/>
  <c r="W55"/>
  <c r="U55"/>
  <c r="R55"/>
  <c r="P55"/>
  <c r="K55" s="1"/>
  <c r="H55"/>
  <c r="E55"/>
  <c r="C55" s="1"/>
  <c r="AA54" s="1"/>
  <c r="Z54"/>
  <c r="X54"/>
  <c r="W54"/>
  <c r="U54"/>
  <c r="R54"/>
  <c r="P54"/>
  <c r="K54" s="1"/>
  <c r="H54"/>
  <c r="E54"/>
  <c r="V54" s="1"/>
  <c r="AA53"/>
  <c r="Z53"/>
  <c r="Y53"/>
  <c r="X53"/>
  <c r="W53"/>
  <c r="U53"/>
  <c r="R53"/>
  <c r="P53" s="1"/>
  <c r="K53"/>
  <c r="H53"/>
  <c r="E53"/>
  <c r="C53" s="1"/>
  <c r="AA52" s="1"/>
  <c r="Z52"/>
  <c r="Y52"/>
  <c r="X52"/>
  <c r="W52"/>
  <c r="U52"/>
  <c r="T52" s="1"/>
  <c r="R52"/>
  <c r="P52"/>
  <c r="K52" s="1"/>
  <c r="H52"/>
  <c r="E52"/>
  <c r="C52" s="1"/>
  <c r="AA51" s="1"/>
  <c r="Z51"/>
  <c r="X51"/>
  <c r="W51"/>
  <c r="U51"/>
  <c r="R51"/>
  <c r="P51"/>
  <c r="K51" s="1"/>
  <c r="H51"/>
  <c r="E51"/>
  <c r="C51" s="1"/>
  <c r="AA50" s="1"/>
  <c r="Z50"/>
  <c r="Y50"/>
  <c r="X50"/>
  <c r="W50"/>
  <c r="U50"/>
  <c r="R50"/>
  <c r="P50"/>
  <c r="K50" s="1"/>
  <c r="H50"/>
  <c r="E50"/>
  <c r="C50" s="1"/>
  <c r="AA49"/>
  <c r="Z49"/>
  <c r="Y49"/>
  <c r="X49"/>
  <c r="W49"/>
  <c r="U49"/>
  <c r="R49"/>
  <c r="P49" s="1"/>
  <c r="K49"/>
  <c r="H49"/>
  <c r="E49"/>
  <c r="C49" s="1"/>
  <c r="AA48" s="1"/>
  <c r="Z48"/>
  <c r="X48"/>
  <c r="W48"/>
  <c r="U48"/>
  <c r="R48"/>
  <c r="P48" s="1"/>
  <c r="K48" s="1"/>
  <c r="H48"/>
  <c r="E48"/>
  <c r="V48" s="1"/>
  <c r="C48"/>
  <c r="AA47" s="1"/>
  <c r="Z47"/>
  <c r="X47"/>
  <c r="W47"/>
  <c r="U47"/>
  <c r="R47"/>
  <c r="P47"/>
  <c r="K47" s="1"/>
  <c r="H47"/>
  <c r="E47"/>
  <c r="V47" s="1"/>
  <c r="Z46"/>
  <c r="X46"/>
  <c r="W46"/>
  <c r="V46"/>
  <c r="U46"/>
  <c r="R46"/>
  <c r="P46" s="1"/>
  <c r="K46" s="1"/>
  <c r="H46"/>
  <c r="E46"/>
  <c r="AA45"/>
  <c r="Z45"/>
  <c r="X45"/>
  <c r="W45"/>
  <c r="U45"/>
  <c r="T45" s="1"/>
  <c r="R45"/>
  <c r="P45" s="1"/>
  <c r="K45"/>
  <c r="H45"/>
  <c r="Y45" s="1"/>
  <c r="E45"/>
  <c r="C45" s="1"/>
  <c r="Z44"/>
  <c r="X44"/>
  <c r="W44"/>
  <c r="U44"/>
  <c r="R44"/>
  <c r="P44" s="1"/>
  <c r="K44" s="1"/>
  <c r="H44"/>
  <c r="E44"/>
  <c r="Z43"/>
  <c r="X43"/>
  <c r="W43"/>
  <c r="V43"/>
  <c r="U43"/>
  <c r="R43"/>
  <c r="P43" s="1"/>
  <c r="K43" s="1"/>
  <c r="H43"/>
  <c r="E43"/>
  <c r="Z42"/>
  <c r="X42"/>
  <c r="W42"/>
  <c r="V42"/>
  <c r="U42"/>
  <c r="R42"/>
  <c r="P42" s="1"/>
  <c r="K42" s="1"/>
  <c r="H42"/>
  <c r="E42"/>
  <c r="C42"/>
  <c r="Z41"/>
  <c r="X41"/>
  <c r="W41"/>
  <c r="U41"/>
  <c r="R41"/>
  <c r="P41" s="1"/>
  <c r="H41"/>
  <c r="E41"/>
  <c r="C41" s="1"/>
  <c r="Z40"/>
  <c r="X40"/>
  <c r="W40"/>
  <c r="U40"/>
  <c r="R40"/>
  <c r="P40" s="1"/>
  <c r="H40"/>
  <c r="E40"/>
  <c r="AA39"/>
  <c r="Z39"/>
  <c r="Y39"/>
  <c r="X39"/>
  <c r="W39"/>
  <c r="U39"/>
  <c r="T39" s="1"/>
  <c r="R39"/>
  <c r="P39" s="1"/>
  <c r="K39"/>
  <c r="H39"/>
  <c r="E39"/>
  <c r="C39" s="1"/>
  <c r="AA38" s="1"/>
  <c r="Z38"/>
  <c r="X38"/>
  <c r="W38"/>
  <c r="R38"/>
  <c r="P38"/>
  <c r="L38"/>
  <c r="H38"/>
  <c r="Y38" s="1"/>
  <c r="E38"/>
  <c r="V38" s="1"/>
  <c r="D38"/>
  <c r="C38" s="1"/>
  <c r="AA37" s="1"/>
  <c r="Z37"/>
  <c r="X37"/>
  <c r="W37"/>
  <c r="U37"/>
  <c r="R37"/>
  <c r="P37"/>
  <c r="K37" s="1"/>
  <c r="H37"/>
  <c r="E37"/>
  <c r="V37" s="1"/>
  <c r="Z36"/>
  <c r="X36"/>
  <c r="W36"/>
  <c r="V36"/>
  <c r="R36"/>
  <c r="P36"/>
  <c r="L36"/>
  <c r="H36"/>
  <c r="Y36" s="1"/>
  <c r="E36"/>
  <c r="D36"/>
  <c r="U36" s="1"/>
  <c r="AA35"/>
  <c r="Z35"/>
  <c r="Y35"/>
  <c r="X35"/>
  <c r="W35"/>
  <c r="U35"/>
  <c r="T35" s="1"/>
  <c r="R35"/>
  <c r="P35" s="1"/>
  <c r="K35"/>
  <c r="H35"/>
  <c r="E35"/>
  <c r="C35" s="1"/>
  <c r="Z34"/>
  <c r="X34"/>
  <c r="W34"/>
  <c r="U34"/>
  <c r="R34"/>
  <c r="P34" s="1"/>
  <c r="K34" s="1"/>
  <c r="H34"/>
  <c r="Y34" s="1"/>
  <c r="E34"/>
  <c r="Z33"/>
  <c r="X33"/>
  <c r="W33"/>
  <c r="V33"/>
  <c r="U33"/>
  <c r="R33"/>
  <c r="P33" s="1"/>
  <c r="K33" s="1"/>
  <c r="H33"/>
  <c r="Y33" s="1"/>
  <c r="E33"/>
  <c r="Z32"/>
  <c r="X32"/>
  <c r="W32"/>
  <c r="U32"/>
  <c r="R32"/>
  <c r="P32"/>
  <c r="K32" s="1"/>
  <c r="H32"/>
  <c r="Y32" s="1"/>
  <c r="E32"/>
  <c r="C32" s="1"/>
  <c r="T32" s="1"/>
  <c r="Z31"/>
  <c r="X31"/>
  <c r="W31"/>
  <c r="R31"/>
  <c r="P31" s="1"/>
  <c r="L31"/>
  <c r="U31" s="1"/>
  <c r="H31"/>
  <c r="Y31" s="1"/>
  <c r="E31"/>
  <c r="AB30"/>
  <c r="Z30"/>
  <c r="X30"/>
  <c r="W30"/>
  <c r="U30"/>
  <c r="S30"/>
  <c r="H30"/>
  <c r="E30"/>
  <c r="Z29"/>
  <c r="X29"/>
  <c r="W29"/>
  <c r="V29"/>
  <c r="U29"/>
  <c r="R29"/>
  <c r="P29" s="1"/>
  <c r="K29" s="1"/>
  <c r="H29"/>
  <c r="E29"/>
  <c r="AB28"/>
  <c r="Z28"/>
  <c r="X28"/>
  <c r="W28"/>
  <c r="U28"/>
  <c r="R28"/>
  <c r="P28" s="1"/>
  <c r="J28"/>
  <c r="H28" s="1"/>
  <c r="D28"/>
  <c r="AB27"/>
  <c r="Z27"/>
  <c r="X27"/>
  <c r="W27"/>
  <c r="U27"/>
  <c r="R27"/>
  <c r="P27" s="1"/>
  <c r="M27"/>
  <c r="K27" s="1"/>
  <c r="J27"/>
  <c r="H27" s="1"/>
  <c r="Y27" s="1"/>
  <c r="D27"/>
  <c r="Z26"/>
  <c r="X26"/>
  <c r="W26"/>
  <c r="V26" s="1"/>
  <c r="R26"/>
  <c r="P26"/>
  <c r="L26"/>
  <c r="H26"/>
  <c r="Y26" s="1"/>
  <c r="E26"/>
  <c r="D26"/>
  <c r="C26" s="1"/>
  <c r="Z25"/>
  <c r="X25"/>
  <c r="W25"/>
  <c r="V25"/>
  <c r="R25"/>
  <c r="P25" s="1"/>
  <c r="K25" s="1"/>
  <c r="H25"/>
  <c r="Y25" s="1"/>
  <c r="E25"/>
  <c r="D25"/>
  <c r="C25" s="1"/>
  <c r="Z24"/>
  <c r="X24"/>
  <c r="W24"/>
  <c r="V24"/>
  <c r="R24"/>
  <c r="P24"/>
  <c r="L24"/>
  <c r="H24"/>
  <c r="Y24" s="1"/>
  <c r="E24"/>
  <c r="D24"/>
  <c r="U24" s="1"/>
  <c r="Z23"/>
  <c r="X23"/>
  <c r="W23"/>
  <c r="R23"/>
  <c r="P23" s="1"/>
  <c r="Y23" s="1"/>
  <c r="L23"/>
  <c r="H23"/>
  <c r="E23"/>
  <c r="V23" s="1"/>
  <c r="D23"/>
  <c r="Z22"/>
  <c r="Y22"/>
  <c r="X22"/>
  <c r="W22"/>
  <c r="U22"/>
  <c r="R22"/>
  <c r="P22"/>
  <c r="K22" s="1"/>
  <c r="H22"/>
  <c r="E22"/>
  <c r="C22" s="1"/>
  <c r="D22"/>
  <c r="Z21"/>
  <c r="X21"/>
  <c r="W21"/>
  <c r="V21"/>
  <c r="U21"/>
  <c r="R21"/>
  <c r="P21" s="1"/>
  <c r="L21"/>
  <c r="K21"/>
  <c r="H21"/>
  <c r="Y21" s="1"/>
  <c r="E21"/>
  <c r="C21" s="1"/>
  <c r="AA20" s="1"/>
  <c r="Z20"/>
  <c r="X20"/>
  <c r="W20"/>
  <c r="U20"/>
  <c r="R20"/>
  <c r="P20"/>
  <c r="L20"/>
  <c r="H20"/>
  <c r="Y20" s="1"/>
  <c r="E20"/>
  <c r="V20" s="1"/>
  <c r="D20"/>
  <c r="Z19"/>
  <c r="Y19"/>
  <c r="X19"/>
  <c r="W19"/>
  <c r="U19"/>
  <c r="R19"/>
  <c r="P19"/>
  <c r="K19" s="1"/>
  <c r="H19"/>
  <c r="E19"/>
  <c r="V19" s="1"/>
  <c r="Z18"/>
  <c r="X18"/>
  <c r="W18"/>
  <c r="V18"/>
  <c r="U18"/>
  <c r="R18"/>
  <c r="P18" s="1"/>
  <c r="K18" s="1"/>
  <c r="H18"/>
  <c r="E18"/>
  <c r="C18"/>
  <c r="AB17"/>
  <c r="X17"/>
  <c r="W17"/>
  <c r="Q17"/>
  <c r="Z17" s="1"/>
  <c r="M17"/>
  <c r="L17"/>
  <c r="J17"/>
  <c r="E17"/>
  <c r="AA16"/>
  <c r="Z16"/>
  <c r="Y16"/>
  <c r="X16"/>
  <c r="W16"/>
  <c r="U16"/>
  <c r="R16"/>
  <c r="P16" s="1"/>
  <c r="K16"/>
  <c r="H16"/>
  <c r="E16"/>
  <c r="V16" s="1"/>
  <c r="D16"/>
  <c r="Z15"/>
  <c r="X15"/>
  <c r="W15"/>
  <c r="U15"/>
  <c r="R15"/>
  <c r="P15"/>
  <c r="K15" s="1"/>
  <c r="H15"/>
  <c r="Y15" s="1"/>
  <c r="E15"/>
  <c r="X14"/>
  <c r="W14" s="1"/>
  <c r="S14"/>
  <c r="Q14"/>
  <c r="O14"/>
  <c r="N14"/>
  <c r="I14"/>
  <c r="G14"/>
  <c r="G13" s="1"/>
  <c r="F14"/>
  <c r="Q13"/>
  <c r="N13"/>
  <c r="F13"/>
  <c r="M12"/>
  <c r="E12"/>
  <c r="AA91" i="164"/>
  <c r="Z91"/>
  <c r="X91"/>
  <c r="W91"/>
  <c r="V91"/>
  <c r="U91"/>
  <c r="P91"/>
  <c r="K91" s="1"/>
  <c r="H91"/>
  <c r="C91" s="1"/>
  <c r="AA90"/>
  <c r="Z90"/>
  <c r="X90"/>
  <c r="W90"/>
  <c r="V90"/>
  <c r="U90"/>
  <c r="P90"/>
  <c r="K90" s="1"/>
  <c r="H90"/>
  <c r="C90" s="1"/>
  <c r="AA89"/>
  <c r="Z89"/>
  <c r="X89"/>
  <c r="W89"/>
  <c r="V89"/>
  <c r="U89"/>
  <c r="P89"/>
  <c r="K89" s="1"/>
  <c r="H89"/>
  <c r="C89" s="1"/>
  <c r="AA88"/>
  <c r="Z88"/>
  <c r="X88"/>
  <c r="W88"/>
  <c r="V88"/>
  <c r="U88"/>
  <c r="P88"/>
  <c r="K88" s="1"/>
  <c r="H88"/>
  <c r="C88" s="1"/>
  <c r="AA87"/>
  <c r="Z87"/>
  <c r="X87"/>
  <c r="W87"/>
  <c r="V87"/>
  <c r="U87"/>
  <c r="P87"/>
  <c r="K87" s="1"/>
  <c r="H87"/>
  <c r="C87" s="1"/>
  <c r="AA86"/>
  <c r="Z86"/>
  <c r="X86"/>
  <c r="W86"/>
  <c r="V86"/>
  <c r="U86"/>
  <c r="P86"/>
  <c r="K86" s="1"/>
  <c r="H86"/>
  <c r="Z85"/>
  <c r="X85"/>
  <c r="W85"/>
  <c r="V85"/>
  <c r="U85"/>
  <c r="R85"/>
  <c r="P85" s="1"/>
  <c r="K85" s="1"/>
  <c r="H85"/>
  <c r="C85" s="1"/>
  <c r="X84"/>
  <c r="W84"/>
  <c r="R84"/>
  <c r="AA84" s="1"/>
  <c r="Q84"/>
  <c r="H84"/>
  <c r="C84" s="1"/>
  <c r="R83"/>
  <c r="Q83"/>
  <c r="L83" s="1"/>
  <c r="J83"/>
  <c r="I83" s="1"/>
  <c r="H83" s="1"/>
  <c r="R82"/>
  <c r="Q82"/>
  <c r="J82"/>
  <c r="I82"/>
  <c r="D82"/>
  <c r="R81"/>
  <c r="Q81"/>
  <c r="L81" s="1"/>
  <c r="J81"/>
  <c r="I81"/>
  <c r="R80"/>
  <c r="Q80"/>
  <c r="L80" s="1"/>
  <c r="J80"/>
  <c r="I80"/>
  <c r="R79"/>
  <c r="Q79"/>
  <c r="L79" s="1"/>
  <c r="J79"/>
  <c r="I79"/>
  <c r="D79"/>
  <c r="R78"/>
  <c r="Q78"/>
  <c r="L78" s="1"/>
  <c r="J78"/>
  <c r="I78"/>
  <c r="R77"/>
  <c r="Q77"/>
  <c r="L77" s="1"/>
  <c r="J77"/>
  <c r="I77"/>
  <c r="R76"/>
  <c r="Q76"/>
  <c r="L76" s="1"/>
  <c r="J76"/>
  <c r="I76"/>
  <c r="X75"/>
  <c r="W75"/>
  <c r="V75"/>
  <c r="R75"/>
  <c r="Q75"/>
  <c r="J75"/>
  <c r="I75"/>
  <c r="W13" i="167" l="1"/>
  <c r="H14"/>
  <c r="I13"/>
  <c r="Z14"/>
  <c r="C15"/>
  <c r="T15" s="1"/>
  <c r="V15"/>
  <c r="V17"/>
  <c r="Y18"/>
  <c r="Y29"/>
  <c r="Y42"/>
  <c r="Y43"/>
  <c r="Y44"/>
  <c r="Y46"/>
  <c r="L14"/>
  <c r="U17"/>
  <c r="AA24"/>
  <c r="T25"/>
  <c r="T26"/>
  <c r="Y48"/>
  <c r="Y60"/>
  <c r="Y61"/>
  <c r="T49"/>
  <c r="T58"/>
  <c r="T62"/>
  <c r="T66"/>
  <c r="J14"/>
  <c r="H17"/>
  <c r="T18"/>
  <c r="K20"/>
  <c r="T20" s="1"/>
  <c r="AA21"/>
  <c r="V22"/>
  <c r="C24"/>
  <c r="K24"/>
  <c r="U25"/>
  <c r="M28"/>
  <c r="AA28"/>
  <c r="C30"/>
  <c r="AA29" s="1"/>
  <c r="C34"/>
  <c r="V35"/>
  <c r="C37"/>
  <c r="AA36" s="1"/>
  <c r="V39"/>
  <c r="Y40"/>
  <c r="M41"/>
  <c r="K41" s="1"/>
  <c r="T41" s="1"/>
  <c r="T42"/>
  <c r="C44"/>
  <c r="V45"/>
  <c r="C47"/>
  <c r="AA46" s="1"/>
  <c r="T48"/>
  <c r="V49"/>
  <c r="V50"/>
  <c r="V52"/>
  <c r="C54"/>
  <c r="V55"/>
  <c r="V57"/>
  <c r="V58"/>
  <c r="T59"/>
  <c r="Y59"/>
  <c r="C61"/>
  <c r="AA60" s="1"/>
  <c r="T61"/>
  <c r="V62"/>
  <c r="AA64"/>
  <c r="Y28"/>
  <c r="AA34"/>
  <c r="AA44"/>
  <c r="T50"/>
  <c r="T55"/>
  <c r="C20"/>
  <c r="AA19" s="1"/>
  <c r="C23"/>
  <c r="K23"/>
  <c r="U23"/>
  <c r="E27"/>
  <c r="AA27"/>
  <c r="E28"/>
  <c r="C29"/>
  <c r="AA31"/>
  <c r="V32"/>
  <c r="Y37"/>
  <c r="U38"/>
  <c r="T38" s="1"/>
  <c r="M40"/>
  <c r="AA40"/>
  <c r="Y41"/>
  <c r="C46"/>
  <c r="Y47"/>
  <c r="T51"/>
  <c r="Y51"/>
  <c r="T53"/>
  <c r="T54"/>
  <c r="Y54"/>
  <c r="T56"/>
  <c r="Y56"/>
  <c r="T63"/>
  <c r="Y63"/>
  <c r="T22"/>
  <c r="AA23"/>
  <c r="D14"/>
  <c r="C16"/>
  <c r="AA15" s="1"/>
  <c r="C19"/>
  <c r="AA18" s="1"/>
  <c r="T21"/>
  <c r="AA25"/>
  <c r="K26"/>
  <c r="U26"/>
  <c r="T29"/>
  <c r="R30"/>
  <c r="C31"/>
  <c r="M31"/>
  <c r="K31" s="1"/>
  <c r="C33"/>
  <c r="AA32" s="1"/>
  <c r="V34"/>
  <c r="C36"/>
  <c r="K36"/>
  <c r="K38"/>
  <c r="C40"/>
  <c r="AA41"/>
  <c r="C43"/>
  <c r="AA42" s="1"/>
  <c r="T43"/>
  <c r="V44"/>
  <c r="T46"/>
  <c r="V51"/>
  <c r="V53"/>
  <c r="V56"/>
  <c r="C60"/>
  <c r="AA59" s="1"/>
  <c r="V63"/>
  <c r="T64"/>
  <c r="Y64"/>
  <c r="C66"/>
  <c r="Y14" i="169"/>
  <c r="C14"/>
  <c r="K15"/>
  <c r="T15" s="1"/>
  <c r="V15"/>
  <c r="M14"/>
  <c r="Y14" i="122"/>
  <c r="AF14"/>
  <c r="C12" i="64"/>
  <c r="U12"/>
  <c r="T88" i="164"/>
  <c r="T89"/>
  <c r="T90"/>
  <c r="Y90"/>
  <c r="Y86"/>
  <c r="H79"/>
  <c r="C79" s="1"/>
  <c r="H80"/>
  <c r="C80" s="1"/>
  <c r="T91"/>
  <c r="P78"/>
  <c r="K78" s="1"/>
  <c r="P84"/>
  <c r="Y84" s="1"/>
  <c r="AA75"/>
  <c r="H82"/>
  <c r="C82" s="1"/>
  <c r="H81"/>
  <c r="C81" s="1"/>
  <c r="P75"/>
  <c r="L75"/>
  <c r="Z84"/>
  <c r="P82"/>
  <c r="L82"/>
  <c r="H76"/>
  <c r="C76" s="1"/>
  <c r="H78"/>
  <c r="C78" s="1"/>
  <c r="H77"/>
  <c r="C77" s="1"/>
  <c r="P80"/>
  <c r="K80" s="1"/>
  <c r="Z75"/>
  <c r="P76"/>
  <c r="K76" s="1"/>
  <c r="P83"/>
  <c r="K83" s="1"/>
  <c r="T85"/>
  <c r="P81"/>
  <c r="K81" s="1"/>
  <c r="C86"/>
  <c r="T86" s="1"/>
  <c r="C83"/>
  <c r="AA85"/>
  <c r="Y88"/>
  <c r="P77"/>
  <c r="K77" s="1"/>
  <c r="P79"/>
  <c r="K79" s="1"/>
  <c r="Y85"/>
  <c r="T87"/>
  <c r="Y87"/>
  <c r="Y89"/>
  <c r="Y91"/>
  <c r="H75"/>
  <c r="Z73"/>
  <c r="X73"/>
  <c r="W73"/>
  <c r="V73"/>
  <c r="U73"/>
  <c r="R73"/>
  <c r="AA73" s="1"/>
  <c r="H73"/>
  <c r="C73" s="1"/>
  <c r="Z72"/>
  <c r="X72"/>
  <c r="W72"/>
  <c r="V72"/>
  <c r="U72"/>
  <c r="R72"/>
  <c r="P72" s="1"/>
  <c r="K72" s="1"/>
  <c r="H72"/>
  <c r="C72" s="1"/>
  <c r="Z71"/>
  <c r="X71"/>
  <c r="W71"/>
  <c r="V71"/>
  <c r="U71"/>
  <c r="R71"/>
  <c r="AA71" s="1"/>
  <c r="P71"/>
  <c r="K71" s="1"/>
  <c r="H71"/>
  <c r="C71" s="1"/>
  <c r="Z70"/>
  <c r="X70"/>
  <c r="W70"/>
  <c r="V70"/>
  <c r="U70"/>
  <c r="R70"/>
  <c r="AA70" s="1"/>
  <c r="P70"/>
  <c r="K70" s="1"/>
  <c r="H70"/>
  <c r="C70" s="1"/>
  <c r="Z69"/>
  <c r="X69"/>
  <c r="W69"/>
  <c r="V69"/>
  <c r="U69"/>
  <c r="R69"/>
  <c r="AA69" s="1"/>
  <c r="H69"/>
  <c r="C69" s="1"/>
  <c r="Z68"/>
  <c r="X68"/>
  <c r="W68"/>
  <c r="U68"/>
  <c r="R68"/>
  <c r="P68" s="1"/>
  <c r="H68"/>
  <c r="C68" s="1"/>
  <c r="Z67"/>
  <c r="X67"/>
  <c r="W67"/>
  <c r="U67"/>
  <c r="R67"/>
  <c r="P67" s="1"/>
  <c r="H67"/>
  <c r="C67" s="1"/>
  <c r="C66"/>
  <c r="C65"/>
  <c r="Z64"/>
  <c r="X64"/>
  <c r="W64"/>
  <c r="U64"/>
  <c r="R64"/>
  <c r="P64" s="1"/>
  <c r="H64"/>
  <c r="C64" s="1"/>
  <c r="Z63"/>
  <c r="X63"/>
  <c r="W63"/>
  <c r="U63"/>
  <c r="R63"/>
  <c r="P63" s="1"/>
  <c r="H63"/>
  <c r="C63" s="1"/>
  <c r="Z62"/>
  <c r="X62"/>
  <c r="W62"/>
  <c r="U62"/>
  <c r="R62"/>
  <c r="P62" s="1"/>
  <c r="H62"/>
  <c r="C62" s="1"/>
  <c r="Z61"/>
  <c r="X61"/>
  <c r="W61"/>
  <c r="U61"/>
  <c r="R61"/>
  <c r="P61" s="1"/>
  <c r="H61"/>
  <c r="C61" s="1"/>
  <c r="Z60"/>
  <c r="X60"/>
  <c r="W60"/>
  <c r="U60"/>
  <c r="R60"/>
  <c r="AA60" s="1"/>
  <c r="H60"/>
  <c r="C60" s="1"/>
  <c r="Z59"/>
  <c r="X59"/>
  <c r="W59"/>
  <c r="U59"/>
  <c r="R59"/>
  <c r="AA59" s="1"/>
  <c r="H59"/>
  <c r="C59" s="1"/>
  <c r="Z58"/>
  <c r="X58"/>
  <c r="W58"/>
  <c r="U58"/>
  <c r="R58"/>
  <c r="P58" s="1"/>
  <c r="H58"/>
  <c r="C58" s="1"/>
  <c r="Z57"/>
  <c r="X57"/>
  <c r="W57"/>
  <c r="U57"/>
  <c r="R57"/>
  <c r="AA57" s="1"/>
  <c r="H57"/>
  <c r="C57" s="1"/>
  <c r="Z56"/>
  <c r="X56"/>
  <c r="W56"/>
  <c r="U56"/>
  <c r="R56"/>
  <c r="AA56" s="1"/>
  <c r="H56"/>
  <c r="C56" s="1"/>
  <c r="Z55"/>
  <c r="X55"/>
  <c r="W55"/>
  <c r="U55"/>
  <c r="R55"/>
  <c r="P55" s="1"/>
  <c r="H55"/>
  <c r="C55" s="1"/>
  <c r="Z54"/>
  <c r="X54"/>
  <c r="W54"/>
  <c r="U54"/>
  <c r="R54"/>
  <c r="P54" s="1"/>
  <c r="H54"/>
  <c r="C54" s="1"/>
  <c r="Z53"/>
  <c r="X53"/>
  <c r="W53"/>
  <c r="U53"/>
  <c r="R53"/>
  <c r="AA53" s="1"/>
  <c r="H53"/>
  <c r="C53" s="1"/>
  <c r="Z52"/>
  <c r="X52"/>
  <c r="W52"/>
  <c r="U52"/>
  <c r="R52"/>
  <c r="P52" s="1"/>
  <c r="H52"/>
  <c r="C52" s="1"/>
  <c r="Z51"/>
  <c r="X51"/>
  <c r="W51"/>
  <c r="U51"/>
  <c r="R51"/>
  <c r="P51" s="1"/>
  <c r="H51"/>
  <c r="C51" s="1"/>
  <c r="Z50"/>
  <c r="X50"/>
  <c r="W50"/>
  <c r="U50"/>
  <c r="R50"/>
  <c r="P50" s="1"/>
  <c r="T31" i="167" l="1"/>
  <c r="U14"/>
  <c r="AA22"/>
  <c r="T23"/>
  <c r="T36"/>
  <c r="V31"/>
  <c r="C27"/>
  <c r="V27"/>
  <c r="T24"/>
  <c r="E14"/>
  <c r="C14" s="1"/>
  <c r="T16"/>
  <c r="T37"/>
  <c r="V41"/>
  <c r="AA43"/>
  <c r="T44"/>
  <c r="AA33"/>
  <c r="T34"/>
  <c r="K28"/>
  <c r="T60"/>
  <c r="T33"/>
  <c r="P30"/>
  <c r="Y30" s="1"/>
  <c r="AA30"/>
  <c r="M30"/>
  <c r="M14" s="1"/>
  <c r="T47"/>
  <c r="V40"/>
  <c r="K40"/>
  <c r="T40" s="1"/>
  <c r="C28"/>
  <c r="T28" s="1"/>
  <c r="V28"/>
  <c r="C17"/>
  <c r="Z13"/>
  <c r="T19"/>
  <c r="V14" i="169"/>
  <c r="K14"/>
  <c r="T14" s="1"/>
  <c r="P59" i="164"/>
  <c r="S12" i="64"/>
  <c r="AA64" i="164"/>
  <c r="P69"/>
  <c r="K69" s="1"/>
  <c r="T69" s="1"/>
  <c r="T72"/>
  <c r="P60"/>
  <c r="Y60" s="1"/>
  <c r="K82"/>
  <c r="T70"/>
  <c r="T71"/>
  <c r="AA54"/>
  <c r="P53"/>
  <c r="Y75"/>
  <c r="U75"/>
  <c r="C75"/>
  <c r="K75"/>
  <c r="AA68"/>
  <c r="AA58"/>
  <c r="Y55"/>
  <c r="Y58"/>
  <c r="AA51"/>
  <c r="AA55"/>
  <c r="AA52"/>
  <c r="Y54"/>
  <c r="P56"/>
  <c r="AA50"/>
  <c r="Y51"/>
  <c r="P57"/>
  <c r="Y57" s="1"/>
  <c r="Y61"/>
  <c r="AA63"/>
  <c r="Y67"/>
  <c r="Y72"/>
  <c r="Y52"/>
  <c r="Y62"/>
  <c r="Y63"/>
  <c r="Y68"/>
  <c r="Y59"/>
  <c r="AA61"/>
  <c r="Y64"/>
  <c r="AA67"/>
  <c r="Y69"/>
  <c r="Y70"/>
  <c r="AA72"/>
  <c r="Y53"/>
  <c r="AA62"/>
  <c r="Y71"/>
  <c r="P73"/>
  <c r="K73" s="1"/>
  <c r="T73" s="1"/>
  <c r="H50"/>
  <c r="Z49"/>
  <c r="X49"/>
  <c r="W49"/>
  <c r="U49"/>
  <c r="R49"/>
  <c r="AA49" s="1"/>
  <c r="H49"/>
  <c r="C49" s="1"/>
  <c r="Z48"/>
  <c r="X48"/>
  <c r="W48"/>
  <c r="U48"/>
  <c r="R48"/>
  <c r="AA48" s="1"/>
  <c r="H48"/>
  <c r="C48" s="1"/>
  <c r="Z47"/>
  <c r="X47"/>
  <c r="W47"/>
  <c r="U47"/>
  <c r="R47"/>
  <c r="P47" s="1"/>
  <c r="H47"/>
  <c r="Z46"/>
  <c r="X46"/>
  <c r="W46"/>
  <c r="U46"/>
  <c r="R46"/>
  <c r="P46" s="1"/>
  <c r="H46"/>
  <c r="C46" s="1"/>
  <c r="Z45"/>
  <c r="X45"/>
  <c r="W45"/>
  <c r="U45"/>
  <c r="R45"/>
  <c r="AA45" s="1"/>
  <c r="H45"/>
  <c r="C45" s="1"/>
  <c r="Z44"/>
  <c r="X44"/>
  <c r="W44"/>
  <c r="U44"/>
  <c r="R44"/>
  <c r="AA44" s="1"/>
  <c r="H44"/>
  <c r="C44" s="1"/>
  <c r="X43"/>
  <c r="W43"/>
  <c r="U43"/>
  <c r="R43"/>
  <c r="M43" s="1"/>
  <c r="Q43"/>
  <c r="J43"/>
  <c r="I43"/>
  <c r="X42"/>
  <c r="W42"/>
  <c r="U42"/>
  <c r="R42"/>
  <c r="M42" s="1"/>
  <c r="Q42"/>
  <c r="J42"/>
  <c r="I42"/>
  <c r="Z41"/>
  <c r="X41"/>
  <c r="W41"/>
  <c r="U41"/>
  <c r="R41"/>
  <c r="P41" s="1"/>
  <c r="H41"/>
  <c r="C41" s="1"/>
  <c r="Z40"/>
  <c r="X40"/>
  <c r="W40"/>
  <c r="U40"/>
  <c r="R40"/>
  <c r="AA40" s="1"/>
  <c r="H40"/>
  <c r="Z39"/>
  <c r="X39"/>
  <c r="W39"/>
  <c r="U39"/>
  <c r="R39"/>
  <c r="AA39" s="1"/>
  <c r="H39"/>
  <c r="Z38"/>
  <c r="X38"/>
  <c r="W38"/>
  <c r="U38"/>
  <c r="R38"/>
  <c r="AA38" s="1"/>
  <c r="H38"/>
  <c r="C38" s="1"/>
  <c r="Z37"/>
  <c r="X37"/>
  <c r="W37"/>
  <c r="U37"/>
  <c r="R37"/>
  <c r="P37" s="1"/>
  <c r="H37"/>
  <c r="C37" s="1"/>
  <c r="Z36"/>
  <c r="X36"/>
  <c r="W36"/>
  <c r="U36"/>
  <c r="R36"/>
  <c r="P36" s="1"/>
  <c r="H36"/>
  <c r="C36" s="1"/>
  <c r="Z35"/>
  <c r="X35"/>
  <c r="W35"/>
  <c r="U35"/>
  <c r="R35"/>
  <c r="P35" s="1"/>
  <c r="H35"/>
  <c r="C35" s="1"/>
  <c r="Z34"/>
  <c r="X34"/>
  <c r="W34"/>
  <c r="U34"/>
  <c r="R34"/>
  <c r="AA34" s="1"/>
  <c r="H34"/>
  <c r="C34" s="1"/>
  <c r="X33"/>
  <c r="W33"/>
  <c r="U33"/>
  <c r="R33"/>
  <c r="M33" s="1"/>
  <c r="Q33"/>
  <c r="J33"/>
  <c r="AB32"/>
  <c r="X32"/>
  <c r="W32"/>
  <c r="U32"/>
  <c r="R32"/>
  <c r="M32" s="1"/>
  <c r="Q32"/>
  <c r="J32"/>
  <c r="I32"/>
  <c r="Z31"/>
  <c r="X31"/>
  <c r="W31"/>
  <c r="U31"/>
  <c r="R31"/>
  <c r="P31" s="1"/>
  <c r="H31"/>
  <c r="C31" s="1"/>
  <c r="AB30"/>
  <c r="X30"/>
  <c r="W30"/>
  <c r="U30"/>
  <c r="R30"/>
  <c r="M30" s="1"/>
  <c r="Q30"/>
  <c r="J30"/>
  <c r="I30"/>
  <c r="AB29"/>
  <c r="X29"/>
  <c r="W29"/>
  <c r="U29"/>
  <c r="Q29"/>
  <c r="J29"/>
  <c r="I29"/>
  <c r="Z28"/>
  <c r="X28"/>
  <c r="W28"/>
  <c r="U28"/>
  <c r="R28"/>
  <c r="AA28" s="1"/>
  <c r="H28"/>
  <c r="C28" s="1"/>
  <c r="Z27"/>
  <c r="X27"/>
  <c r="W27"/>
  <c r="U27"/>
  <c r="M13" i="167" l="1"/>
  <c r="L13" s="1"/>
  <c r="AA26"/>
  <c r="T27"/>
  <c r="K30"/>
  <c r="T30" s="1"/>
  <c r="V30"/>
  <c r="V14"/>
  <c r="E13"/>
  <c r="P39" i="164"/>
  <c r="AA47"/>
  <c r="Z42"/>
  <c r="T75"/>
  <c r="P34"/>
  <c r="P44"/>
  <c r="Y44" s="1"/>
  <c r="P38"/>
  <c r="Y38" s="1"/>
  <c r="P40"/>
  <c r="Y40" s="1"/>
  <c r="AA43"/>
  <c r="Y39"/>
  <c r="P45"/>
  <c r="Y45" s="1"/>
  <c r="C39"/>
  <c r="C40"/>
  <c r="P48"/>
  <c r="Y48" s="1"/>
  <c r="AA35"/>
  <c r="Y47"/>
  <c r="Z30"/>
  <c r="AA33"/>
  <c r="P30"/>
  <c r="H43"/>
  <c r="C43" s="1"/>
  <c r="Z29"/>
  <c r="P32"/>
  <c r="P43"/>
  <c r="Z33"/>
  <c r="Y73"/>
  <c r="AA32"/>
  <c r="H32"/>
  <c r="H30"/>
  <c r="C30" s="1"/>
  <c r="AA30"/>
  <c r="H33"/>
  <c r="C33" s="1"/>
  <c r="P33"/>
  <c r="H42"/>
  <c r="C42" s="1"/>
  <c r="Z43"/>
  <c r="Y36"/>
  <c r="AA31"/>
  <c r="H29"/>
  <c r="Z32"/>
  <c r="Y37"/>
  <c r="AA42"/>
  <c r="C47"/>
  <c r="AA46" s="1"/>
  <c r="P49"/>
  <c r="Y49" s="1"/>
  <c r="Y31"/>
  <c r="AA36"/>
  <c r="P42"/>
  <c r="C50"/>
  <c r="Y50"/>
  <c r="P28"/>
  <c r="Y34"/>
  <c r="Y35"/>
  <c r="AA37"/>
  <c r="Y46"/>
  <c r="Y56"/>
  <c r="Y41"/>
  <c r="R27"/>
  <c r="H27"/>
  <c r="C27" s="1"/>
  <c r="Z26"/>
  <c r="X26"/>
  <c r="W26"/>
  <c r="U26"/>
  <c r="R26"/>
  <c r="P26" s="1"/>
  <c r="H26"/>
  <c r="Z25"/>
  <c r="X25"/>
  <c r="W25"/>
  <c r="U25"/>
  <c r="R25"/>
  <c r="AA25" s="1"/>
  <c r="H25"/>
  <c r="C25" s="1"/>
  <c r="Z24"/>
  <c r="X24"/>
  <c r="W24"/>
  <c r="U24"/>
  <c r="R24"/>
  <c r="P24" s="1"/>
  <c r="H24"/>
  <c r="C24" s="1"/>
  <c r="Z23"/>
  <c r="X23"/>
  <c r="W23"/>
  <c r="U23"/>
  <c r="R23"/>
  <c r="P23" s="1"/>
  <c r="H23"/>
  <c r="C23" s="1"/>
  <c r="Z22"/>
  <c r="X22"/>
  <c r="W22"/>
  <c r="U22"/>
  <c r="R22"/>
  <c r="AA22" s="1"/>
  <c r="H22"/>
  <c r="C22" s="1"/>
  <c r="Z21"/>
  <c r="X21"/>
  <c r="W21"/>
  <c r="U21"/>
  <c r="R21"/>
  <c r="AA21" s="1"/>
  <c r="H21"/>
  <c r="C21" s="1"/>
  <c r="X20"/>
  <c r="W20"/>
  <c r="U20"/>
  <c r="R20"/>
  <c r="M20" s="1"/>
  <c r="Q20"/>
  <c r="J20"/>
  <c r="I20"/>
  <c r="AB19"/>
  <c r="X19"/>
  <c r="W19"/>
  <c r="U19"/>
  <c r="R19"/>
  <c r="M19" s="1"/>
  <c r="Q19"/>
  <c r="J19"/>
  <c r="I19"/>
  <c r="D19"/>
  <c r="Z18"/>
  <c r="X18"/>
  <c r="W18"/>
  <c r="U18"/>
  <c r="R18"/>
  <c r="P18" s="1"/>
  <c r="H18"/>
  <c r="Z17"/>
  <c r="X17"/>
  <c r="W17"/>
  <c r="U17"/>
  <c r="R17"/>
  <c r="AA17" s="1"/>
  <c r="H17"/>
  <c r="C17" s="1"/>
  <c r="C16"/>
  <c r="D13" i="167" l="1"/>
  <c r="V13"/>
  <c r="P25" i="164"/>
  <c r="Y18"/>
  <c r="Y30"/>
  <c r="Y32"/>
  <c r="Y43"/>
  <c r="H19"/>
  <c r="Y42"/>
  <c r="P20"/>
  <c r="AA20"/>
  <c r="Y33"/>
  <c r="C32"/>
  <c r="Z19"/>
  <c r="H20"/>
  <c r="Y24"/>
  <c r="Y26"/>
  <c r="AA41"/>
  <c r="P19"/>
  <c r="Y23"/>
  <c r="C18"/>
  <c r="Z20"/>
  <c r="P17"/>
  <c r="Y17" s="1"/>
  <c r="C19"/>
  <c r="AA19"/>
  <c r="P22"/>
  <c r="AA23"/>
  <c r="C26"/>
  <c r="C29"/>
  <c r="AA26"/>
  <c r="P27"/>
  <c r="Y27" s="1"/>
  <c r="AA27"/>
  <c r="P21"/>
  <c r="AA24"/>
  <c r="Y25"/>
  <c r="Y28"/>
  <c r="S15"/>
  <c r="U13" i="167" l="1"/>
  <c r="Y20" i="164"/>
  <c r="C20"/>
  <c r="Y19"/>
  <c r="Y22"/>
  <c r="Y21"/>
  <c r="AA18"/>
  <c r="J15"/>
  <c r="G15"/>
  <c r="X15" s="1"/>
  <c r="F15"/>
  <c r="W15" s="1"/>
  <c r="E15"/>
  <c r="D15"/>
  <c r="I15" l="1"/>
  <c r="H15" l="1"/>
  <c r="S14"/>
  <c r="O14"/>
  <c r="N14"/>
  <c r="C15" l="1"/>
  <c r="J14"/>
  <c r="I14"/>
  <c r="H14" l="1"/>
  <c r="G14"/>
  <c r="X14" s="1"/>
  <c r="F14"/>
  <c r="W14" s="1"/>
  <c r="E14"/>
  <c r="D14"/>
  <c r="M13"/>
  <c r="N13" s="1"/>
  <c r="E13"/>
  <c r="K61" i="168" s="1"/>
  <c r="J61"/>
  <c r="H61"/>
  <c r="F61"/>
  <c r="C61"/>
  <c r="K60"/>
  <c r="J60"/>
  <c r="F60"/>
  <c r="C60"/>
  <c r="K59"/>
  <c r="J59"/>
  <c r="F59"/>
  <c r="C59"/>
  <c r="I59" s="1"/>
  <c r="K58"/>
  <c r="J58"/>
  <c r="F58"/>
  <c r="I58" s="1"/>
  <c r="C58"/>
  <c r="K57"/>
  <c r="G57"/>
  <c r="F57" s="1"/>
  <c r="C57"/>
  <c r="K56"/>
  <c r="J56"/>
  <c r="F56"/>
  <c r="C56"/>
  <c r="I56" s="1"/>
  <c r="K55"/>
  <c r="J55"/>
  <c r="F55"/>
  <c r="C55"/>
  <c r="I55" s="1"/>
  <c r="K54"/>
  <c r="J54"/>
  <c r="F54"/>
  <c r="C54"/>
  <c r="K53"/>
  <c r="J53"/>
  <c r="F53"/>
  <c r="C53"/>
  <c r="K52"/>
  <c r="J52"/>
  <c r="F52"/>
  <c r="I52" s="1"/>
  <c r="C52"/>
  <c r="K51"/>
  <c r="J51"/>
  <c r="F51"/>
  <c r="C51"/>
  <c r="I51" s="1"/>
  <c r="K50"/>
  <c r="J50"/>
  <c r="F50"/>
  <c r="C50"/>
  <c r="K49"/>
  <c r="J49"/>
  <c r="F49"/>
  <c r="C49"/>
  <c r="K48"/>
  <c r="J48"/>
  <c r="F48"/>
  <c r="C48"/>
  <c r="I48" s="1"/>
  <c r="K47"/>
  <c r="J47"/>
  <c r="F47"/>
  <c r="C47"/>
  <c r="I47" s="1"/>
  <c r="K46"/>
  <c r="J46"/>
  <c r="F46"/>
  <c r="C46"/>
  <c r="K45"/>
  <c r="J45"/>
  <c r="I45" s="1"/>
  <c r="F45"/>
  <c r="C45"/>
  <c r="K44"/>
  <c r="J44"/>
  <c r="F44"/>
  <c r="C44"/>
  <c r="I44" s="1"/>
  <c r="K43"/>
  <c r="J43"/>
  <c r="F43"/>
  <c r="C43"/>
  <c r="I43" s="1"/>
  <c r="K42"/>
  <c r="J42"/>
  <c r="F42"/>
  <c r="C42"/>
  <c r="K41"/>
  <c r="J41"/>
  <c r="F41"/>
  <c r="C41"/>
  <c r="K40"/>
  <c r="J40"/>
  <c r="F40"/>
  <c r="C40"/>
  <c r="I40" s="1"/>
  <c r="K39"/>
  <c r="J39"/>
  <c r="F39"/>
  <c r="C39"/>
  <c r="I39" s="1"/>
  <c r="H38"/>
  <c r="G38"/>
  <c r="F38"/>
  <c r="E38"/>
  <c r="K38" s="1"/>
  <c r="J38" s="1"/>
  <c r="I38" s="1"/>
  <c r="D38"/>
  <c r="D37" s="1"/>
  <c r="J37" s="1"/>
  <c r="C38"/>
  <c r="C37" s="1"/>
  <c r="H37"/>
  <c r="G37"/>
  <c r="K36"/>
  <c r="J36"/>
  <c r="G36"/>
  <c r="F36" s="1"/>
  <c r="C36"/>
  <c r="F37" l="1"/>
  <c r="E37" s="1"/>
  <c r="K37" s="1"/>
  <c r="I41"/>
  <c r="I42"/>
  <c r="I49"/>
  <c r="I50"/>
  <c r="I61"/>
  <c r="J57"/>
  <c r="I57" s="1"/>
  <c r="I46"/>
  <c r="I53"/>
  <c r="I54"/>
  <c r="I36"/>
  <c r="I60"/>
  <c r="C14" i="164"/>
  <c r="F13"/>
  <c r="G35" i="168"/>
  <c r="F35"/>
  <c r="E35"/>
  <c r="D35"/>
  <c r="J35" l="1"/>
  <c r="I37"/>
  <c r="C35"/>
  <c r="I35" s="1"/>
  <c r="H35" s="1"/>
  <c r="K35" s="1"/>
  <c r="K34"/>
  <c r="J34"/>
  <c r="I34" s="1"/>
  <c r="F34"/>
  <c r="C34"/>
  <c r="K33"/>
  <c r="J33"/>
  <c r="F33"/>
  <c r="C33"/>
  <c r="I33" s="1"/>
  <c r="K32"/>
  <c r="H32"/>
  <c r="G32"/>
  <c r="F32"/>
  <c r="E32"/>
  <c r="D32"/>
  <c r="C32" s="1"/>
  <c r="I32" s="1"/>
  <c r="H31"/>
  <c r="G31" s="1"/>
  <c r="F31"/>
  <c r="E31"/>
  <c r="D31"/>
  <c r="C31"/>
  <c r="K30"/>
  <c r="J30"/>
  <c r="F30"/>
  <c r="C30"/>
  <c r="K29"/>
  <c r="J29" s="1"/>
  <c r="I29" s="1"/>
  <c r="F29"/>
  <c r="D29"/>
  <c r="C29"/>
  <c r="K28"/>
  <c r="J28"/>
  <c r="F28"/>
  <c r="C28"/>
  <c r="K27"/>
  <c r="J27"/>
  <c r="I27" s="1"/>
  <c r="F27"/>
  <c r="C27"/>
  <c r="K26"/>
  <c r="J26"/>
  <c r="F26"/>
  <c r="C26"/>
  <c r="I26" s="1"/>
  <c r="A26"/>
  <c r="H25"/>
  <c r="K25" s="1"/>
  <c r="J25" s="1"/>
  <c r="I25" s="1"/>
  <c r="G25"/>
  <c r="F25"/>
  <c r="C25"/>
  <c r="K24"/>
  <c r="J24"/>
  <c r="I24" s="1"/>
  <c r="F24"/>
  <c r="C24"/>
  <c r="I28" l="1"/>
  <c r="I30"/>
  <c r="J32"/>
  <c r="K31"/>
  <c r="J31" s="1"/>
  <c r="I31" s="1"/>
  <c r="H23"/>
  <c r="K23" s="1"/>
  <c r="G23"/>
  <c r="J23" s="1"/>
  <c r="F23"/>
  <c r="C23"/>
  <c r="I23" s="1"/>
  <c r="K22"/>
  <c r="J22"/>
  <c r="I22" s="1"/>
  <c r="F22"/>
  <c r="C22"/>
  <c r="K21"/>
  <c r="J21"/>
  <c r="I21" s="1"/>
  <c r="F21"/>
  <c r="C21"/>
  <c r="K20"/>
  <c r="J20"/>
  <c r="I20" s="1"/>
  <c r="F20"/>
  <c r="C20"/>
  <c r="K19"/>
  <c r="J19"/>
  <c r="F19"/>
  <c r="C19"/>
  <c r="I19" s="1"/>
  <c r="K18"/>
  <c r="J18"/>
  <c r="F18"/>
  <c r="C18"/>
  <c r="I18" s="1"/>
  <c r="K17"/>
  <c r="J17"/>
  <c r="F17"/>
  <c r="C17"/>
  <c r="K16" s="1"/>
  <c r="J16" s="1"/>
  <c r="I16" s="1"/>
  <c r="H16"/>
  <c r="G16"/>
  <c r="F16"/>
  <c r="C16"/>
  <c r="K15"/>
  <c r="J15"/>
  <c r="F15"/>
  <c r="C15"/>
  <c r="K14" s="1"/>
  <c r="H14"/>
  <c r="G14"/>
  <c r="G13" s="1"/>
  <c r="D14"/>
  <c r="C14"/>
  <c r="K13" s="1"/>
  <c r="H13"/>
  <c r="E13"/>
  <c r="D13"/>
  <c r="K12"/>
  <c r="H12"/>
  <c r="E12"/>
  <c r="D12"/>
  <c r="C13" l="1"/>
  <c r="C12" s="1"/>
  <c r="I15"/>
  <c r="I17"/>
  <c r="G12"/>
  <c r="J13"/>
  <c r="F14"/>
  <c r="I14" s="1"/>
  <c r="J14"/>
  <c r="E11"/>
  <c r="D11"/>
  <c r="C11"/>
  <c r="H10"/>
  <c r="E10"/>
  <c r="K61" i="63"/>
  <c r="J61"/>
  <c r="H61"/>
  <c r="F61"/>
  <c r="C61"/>
  <c r="I61" s="1"/>
  <c r="K60"/>
  <c r="J60"/>
  <c r="F60"/>
  <c r="C60"/>
  <c r="K59"/>
  <c r="J59"/>
  <c r="F59"/>
  <c r="C59"/>
  <c r="K58"/>
  <c r="J58"/>
  <c r="F58"/>
  <c r="C58"/>
  <c r="K57"/>
  <c r="J57"/>
  <c r="G57"/>
  <c r="F57"/>
  <c r="C57"/>
  <c r="K56"/>
  <c r="J56"/>
  <c r="F56"/>
  <c r="C56"/>
  <c r="K55"/>
  <c r="J55"/>
  <c r="F55"/>
  <c r="C55"/>
  <c r="K54"/>
  <c r="J54"/>
  <c r="F54"/>
  <c r="C54"/>
  <c r="K53"/>
  <c r="J53"/>
  <c r="F53"/>
  <c r="C53"/>
  <c r="K52"/>
  <c r="J52"/>
  <c r="F52"/>
  <c r="C52"/>
  <c r="K51"/>
  <c r="J51"/>
  <c r="F51"/>
  <c r="C51"/>
  <c r="K50"/>
  <c r="J50"/>
  <c r="F50"/>
  <c r="C50"/>
  <c r="K49"/>
  <c r="J49"/>
  <c r="F49"/>
  <c r="C49"/>
  <c r="I49" s="1"/>
  <c r="K48"/>
  <c r="J48"/>
  <c r="F48"/>
  <c r="C48"/>
  <c r="I48" s="1"/>
  <c r="K47"/>
  <c r="J47"/>
  <c r="F47"/>
  <c r="C47"/>
  <c r="K46"/>
  <c r="J46"/>
  <c r="F46"/>
  <c r="C46"/>
  <c r="K45"/>
  <c r="J45"/>
  <c r="F45"/>
  <c r="C45"/>
  <c r="I45" s="1"/>
  <c r="K44"/>
  <c r="J44"/>
  <c r="F44"/>
  <c r="C44"/>
  <c r="I44" s="1"/>
  <c r="K43"/>
  <c r="J43"/>
  <c r="F43"/>
  <c r="C43"/>
  <c r="K42"/>
  <c r="J42"/>
  <c r="F42"/>
  <c r="C42"/>
  <c r="K41"/>
  <c r="J41"/>
  <c r="F41"/>
  <c r="C41"/>
  <c r="K40"/>
  <c r="J40"/>
  <c r="F40"/>
  <c r="C40"/>
  <c r="K39"/>
  <c r="J39"/>
  <c r="F39"/>
  <c r="F38" s="1"/>
  <c r="C39"/>
  <c r="C38" s="1"/>
  <c r="H38"/>
  <c r="G38"/>
  <c r="E38"/>
  <c r="D38"/>
  <c r="H37"/>
  <c r="G37"/>
  <c r="K36"/>
  <c r="J36"/>
  <c r="F36"/>
  <c r="I36" s="1"/>
  <c r="C36"/>
  <c r="K34"/>
  <c r="J34"/>
  <c r="F34"/>
  <c r="C34"/>
  <c r="I34" s="1"/>
  <c r="K33"/>
  <c r="J33"/>
  <c r="F33"/>
  <c r="C33"/>
  <c r="C32" s="1"/>
  <c r="H32"/>
  <c r="H23" s="1"/>
  <c r="G32"/>
  <c r="F32"/>
  <c r="E32"/>
  <c r="D32"/>
  <c r="J32" s="1"/>
  <c r="K30"/>
  <c r="J30"/>
  <c r="F30"/>
  <c r="C30"/>
  <c r="K29"/>
  <c r="F29"/>
  <c r="D29"/>
  <c r="J29" s="1"/>
  <c r="K28"/>
  <c r="J28"/>
  <c r="I28"/>
  <c r="F28"/>
  <c r="C28"/>
  <c r="K27"/>
  <c r="J27"/>
  <c r="F27"/>
  <c r="C27"/>
  <c r="K26"/>
  <c r="J26"/>
  <c r="F26"/>
  <c r="C26"/>
  <c r="A26"/>
  <c r="K25"/>
  <c r="G25"/>
  <c r="J25" s="1"/>
  <c r="C25"/>
  <c r="K24"/>
  <c r="J24"/>
  <c r="F24"/>
  <c r="C24"/>
  <c r="C23"/>
  <c r="K22"/>
  <c r="J22"/>
  <c r="F22"/>
  <c r="C22"/>
  <c r="I22" s="1"/>
  <c r="K21"/>
  <c r="J21"/>
  <c r="F21"/>
  <c r="F13" s="1"/>
  <c r="D25" i="140" s="1"/>
  <c r="C21" i="63"/>
  <c r="I21" s="1"/>
  <c r="K20"/>
  <c r="J20"/>
  <c r="F20"/>
  <c r="C20"/>
  <c r="K19"/>
  <c r="J19"/>
  <c r="F19"/>
  <c r="C19"/>
  <c r="I19" s="1"/>
  <c r="K18"/>
  <c r="J18"/>
  <c r="F18"/>
  <c r="C18"/>
  <c r="I18" s="1"/>
  <c r="K17"/>
  <c r="J17"/>
  <c r="F17"/>
  <c r="C17"/>
  <c r="I17" s="1"/>
  <c r="H16"/>
  <c r="K16" s="1"/>
  <c r="G16"/>
  <c r="J16" s="1"/>
  <c r="C16"/>
  <c r="K15"/>
  <c r="J15"/>
  <c r="F15"/>
  <c r="C15"/>
  <c r="I15" s="1"/>
  <c r="K14"/>
  <c r="D14"/>
  <c r="C14" s="1"/>
  <c r="C13" s="1"/>
  <c r="E13"/>
  <c r="E12" s="1"/>
  <c r="D13"/>
  <c r="D12" s="1"/>
  <c r="H10"/>
  <c r="E10"/>
  <c r="D48" i="166"/>
  <c r="F48" s="1"/>
  <c r="F47"/>
  <c r="E47"/>
  <c r="F46"/>
  <c r="E46"/>
  <c r="F45"/>
  <c r="E45"/>
  <c r="F44"/>
  <c r="E44"/>
  <c r="F43"/>
  <c r="E43"/>
  <c r="F42"/>
  <c r="E42"/>
  <c r="F41"/>
  <c r="E41"/>
  <c r="F40"/>
  <c r="E40"/>
  <c r="F39"/>
  <c r="E39"/>
  <c r="F38"/>
  <c r="E38"/>
  <c r="F37"/>
  <c r="E37"/>
  <c r="F36"/>
  <c r="E36"/>
  <c r="F35"/>
  <c r="E35"/>
  <c r="F34"/>
  <c r="E34"/>
  <c r="F33"/>
  <c r="E33"/>
  <c r="F32"/>
  <c r="E32"/>
  <c r="F31"/>
  <c r="E31"/>
  <c r="D30"/>
  <c r="F30" s="1"/>
  <c r="C30"/>
  <c r="F29"/>
  <c r="E29"/>
  <c r="F28"/>
  <c r="E28"/>
  <c r="F27"/>
  <c r="E27"/>
  <c r="F26"/>
  <c r="E26"/>
  <c r="F25"/>
  <c r="E25"/>
  <c r="F24"/>
  <c r="E24"/>
  <c r="F23"/>
  <c r="E23"/>
  <c r="F22"/>
  <c r="E22"/>
  <c r="F21"/>
  <c r="E21"/>
  <c r="F20"/>
  <c r="E20"/>
  <c r="F19"/>
  <c r="E19"/>
  <c r="F18"/>
  <c r="E18"/>
  <c r="F17"/>
  <c r="E17"/>
  <c r="F16"/>
  <c r="E16"/>
  <c r="F15"/>
  <c r="E15"/>
  <c r="E14"/>
  <c r="D14"/>
  <c r="C14"/>
  <c r="F11"/>
  <c r="E11"/>
  <c r="D9"/>
  <c r="D58" i="53"/>
  <c r="D37"/>
  <c r="A23"/>
  <c r="D7"/>
  <c r="G76" i="52"/>
  <c r="F76"/>
  <c r="H76" s="1"/>
  <c r="G75"/>
  <c r="F75"/>
  <c r="H74"/>
  <c r="G74"/>
  <c r="G73"/>
  <c r="F73"/>
  <c r="H73" s="1"/>
  <c r="J72"/>
  <c r="I72"/>
  <c r="G72"/>
  <c r="F72"/>
  <c r="H72" s="1"/>
  <c r="H71"/>
  <c r="G71"/>
  <c r="H70"/>
  <c r="G70"/>
  <c r="H69"/>
  <c r="G69"/>
  <c r="H68"/>
  <c r="G68"/>
  <c r="H67"/>
  <c r="G67"/>
  <c r="A67"/>
  <c r="H66"/>
  <c r="G66"/>
  <c r="J65"/>
  <c r="I65"/>
  <c r="F65"/>
  <c r="H65" s="1"/>
  <c r="E65"/>
  <c r="G65" s="1"/>
  <c r="D65"/>
  <c r="C65"/>
  <c r="J64"/>
  <c r="I64"/>
  <c r="H64"/>
  <c r="G64"/>
  <c r="J63"/>
  <c r="I63"/>
  <c r="H63"/>
  <c r="G63"/>
  <c r="H62"/>
  <c r="G62"/>
  <c r="J61"/>
  <c r="I61"/>
  <c r="G61"/>
  <c r="F61"/>
  <c r="H61" s="1"/>
  <c r="G60"/>
  <c r="F60"/>
  <c r="J59"/>
  <c r="I59"/>
  <c r="H59"/>
  <c r="G59"/>
  <c r="G58"/>
  <c r="F58"/>
  <c r="G57"/>
  <c r="F57"/>
  <c r="H57" s="1"/>
  <c r="H56"/>
  <c r="G56"/>
  <c r="F56"/>
  <c r="G55"/>
  <c r="F55"/>
  <c r="H55" s="1"/>
  <c r="G54"/>
  <c r="F54"/>
  <c r="H54" s="1"/>
  <c r="H53"/>
  <c r="G53"/>
  <c r="F53"/>
  <c r="E52"/>
  <c r="J51"/>
  <c r="I51"/>
  <c r="G51"/>
  <c r="F51"/>
  <c r="H51" s="1"/>
  <c r="J50"/>
  <c r="I50"/>
  <c r="G50"/>
  <c r="F50"/>
  <c r="H50" s="1"/>
  <c r="J49"/>
  <c r="I49"/>
  <c r="G49"/>
  <c r="F49"/>
  <c r="J48"/>
  <c r="I48"/>
  <c r="G48"/>
  <c r="F48"/>
  <c r="J47"/>
  <c r="I47"/>
  <c r="H47"/>
  <c r="G47"/>
  <c r="F47"/>
  <c r="J46"/>
  <c r="I46"/>
  <c r="H46"/>
  <c r="G46"/>
  <c r="F46"/>
  <c r="J45"/>
  <c r="I45"/>
  <c r="G45"/>
  <c r="F45"/>
  <c r="H45" s="1"/>
  <c r="J44"/>
  <c r="I44"/>
  <c r="G44"/>
  <c r="F44"/>
  <c r="D44"/>
  <c r="J43"/>
  <c r="I43"/>
  <c r="H43"/>
  <c r="G43"/>
  <c r="J42"/>
  <c r="I42"/>
  <c r="E42"/>
  <c r="D42"/>
  <c r="C42"/>
  <c r="J41"/>
  <c r="I41"/>
  <c r="G41"/>
  <c r="F41"/>
  <c r="D41"/>
  <c r="H41" s="1"/>
  <c r="H40"/>
  <c r="G40"/>
  <c r="G39"/>
  <c r="F39"/>
  <c r="F38" s="1"/>
  <c r="D39"/>
  <c r="D38" s="1"/>
  <c r="E38"/>
  <c r="G38" s="1"/>
  <c r="C38"/>
  <c r="J37"/>
  <c r="I37"/>
  <c r="G37"/>
  <c r="F37"/>
  <c r="H37" s="1"/>
  <c r="D37"/>
  <c r="H36"/>
  <c r="G36"/>
  <c r="G35"/>
  <c r="F35"/>
  <c r="H35" s="1"/>
  <c r="D35"/>
  <c r="G34"/>
  <c r="F34"/>
  <c r="D34"/>
  <c r="G33"/>
  <c r="F33"/>
  <c r="H33" s="1"/>
  <c r="D33"/>
  <c r="J32"/>
  <c r="I32"/>
  <c r="G32"/>
  <c r="F32"/>
  <c r="H32" s="1"/>
  <c r="D32"/>
  <c r="J31"/>
  <c r="I31"/>
  <c r="E31"/>
  <c r="G31" s="1"/>
  <c r="F31" s="1"/>
  <c r="C31"/>
  <c r="H30"/>
  <c r="G30"/>
  <c r="G29"/>
  <c r="F29"/>
  <c r="D29"/>
  <c r="G28"/>
  <c r="F28"/>
  <c r="H28" s="1"/>
  <c r="D28"/>
  <c r="G27"/>
  <c r="F27"/>
  <c r="D27"/>
  <c r="D25" s="1"/>
  <c r="J26"/>
  <c r="I26"/>
  <c r="G26"/>
  <c r="F26"/>
  <c r="D26"/>
  <c r="H26" s="1"/>
  <c r="J25"/>
  <c r="I25"/>
  <c r="E25"/>
  <c r="G25" s="1"/>
  <c r="C25"/>
  <c r="H24"/>
  <c r="G24"/>
  <c r="F24"/>
  <c r="D24"/>
  <c r="H23"/>
  <c r="G23"/>
  <c r="F23"/>
  <c r="D23"/>
  <c r="H22"/>
  <c r="G22"/>
  <c r="F22"/>
  <c r="D22"/>
  <c r="H21"/>
  <c r="G21"/>
  <c r="F21"/>
  <c r="D21"/>
  <c r="J20"/>
  <c r="I20"/>
  <c r="G20"/>
  <c r="F20"/>
  <c r="D20"/>
  <c r="D19" s="1"/>
  <c r="J19"/>
  <c r="I19"/>
  <c r="E19"/>
  <c r="C19"/>
  <c r="G19" s="1"/>
  <c r="A19"/>
  <c r="H18"/>
  <c r="G18"/>
  <c r="H17"/>
  <c r="G17"/>
  <c r="G16"/>
  <c r="F16"/>
  <c r="H16" s="1"/>
  <c r="G15"/>
  <c r="F15"/>
  <c r="D15"/>
  <c r="J14"/>
  <c r="I14"/>
  <c r="G14"/>
  <c r="F14"/>
  <c r="D15" i="140" s="1"/>
  <c r="D14" i="52"/>
  <c r="J13"/>
  <c r="I13"/>
  <c r="F13"/>
  <c r="E13"/>
  <c r="G13" s="1"/>
  <c r="C13"/>
  <c r="J12"/>
  <c r="I12"/>
  <c r="C12"/>
  <c r="C11" s="1"/>
  <c r="J11"/>
  <c r="I11"/>
  <c r="J10"/>
  <c r="I10"/>
  <c r="D9"/>
  <c r="E9" s="1"/>
  <c r="F42" i="140"/>
  <c r="F41"/>
  <c r="F40"/>
  <c r="D39"/>
  <c r="C39"/>
  <c r="F38"/>
  <c r="F37"/>
  <c r="E36"/>
  <c r="D36"/>
  <c r="C36"/>
  <c r="D34"/>
  <c r="A33"/>
  <c r="D32"/>
  <c r="E32" s="1"/>
  <c r="C31"/>
  <c r="D30"/>
  <c r="D29"/>
  <c r="D28"/>
  <c r="D27"/>
  <c r="A26"/>
  <c r="C24"/>
  <c r="G23" i="63" l="1"/>
  <c r="F23" s="1"/>
  <c r="D26" i="140" s="1"/>
  <c r="F36"/>
  <c r="H20" i="52"/>
  <c r="H27"/>
  <c r="H34"/>
  <c r="D13"/>
  <c r="H44"/>
  <c r="G35" i="63"/>
  <c r="J38"/>
  <c r="H14" i="52"/>
  <c r="H15"/>
  <c r="F25"/>
  <c r="H29"/>
  <c r="D31"/>
  <c r="H31" s="1"/>
  <c r="F14" i="166"/>
  <c r="I20" i="63"/>
  <c r="K23"/>
  <c r="I26"/>
  <c r="I27"/>
  <c r="I30"/>
  <c r="D37"/>
  <c r="K38"/>
  <c r="J23"/>
  <c r="E30" i="166"/>
  <c r="H25" i="52"/>
  <c r="H38"/>
  <c r="H13"/>
  <c r="F19"/>
  <c r="H19" s="1"/>
  <c r="H39"/>
  <c r="G42"/>
  <c r="F42" s="1"/>
  <c r="H42" s="1"/>
  <c r="H49"/>
  <c r="H58"/>
  <c r="A68"/>
  <c r="A69" s="1"/>
  <c r="A70" s="1"/>
  <c r="A71" s="1"/>
  <c r="H75"/>
  <c r="E12"/>
  <c r="E11" s="1"/>
  <c r="A25"/>
  <c r="A31" s="1"/>
  <c r="A37" s="1"/>
  <c r="A38" s="1"/>
  <c r="A41" s="1"/>
  <c r="A42" s="1"/>
  <c r="A47" s="1"/>
  <c r="A48" s="1"/>
  <c r="A49" s="1"/>
  <c r="A50" s="1"/>
  <c r="A51" s="1"/>
  <c r="A52" s="1"/>
  <c r="A58" s="1"/>
  <c r="A59" s="1"/>
  <c r="A60" s="1"/>
  <c r="A61" s="1"/>
  <c r="A62" s="1"/>
  <c r="A63" s="1"/>
  <c r="H48"/>
  <c r="H60"/>
  <c r="A27" i="140"/>
  <c r="A28" s="1"/>
  <c r="A29" s="1"/>
  <c r="A30" s="1"/>
  <c r="E39"/>
  <c r="I23" i="63"/>
  <c r="I24"/>
  <c r="F25"/>
  <c r="I25" s="1"/>
  <c r="C29"/>
  <c r="C12" s="1"/>
  <c r="K32"/>
  <c r="F16"/>
  <c r="I16" s="1"/>
  <c r="I47"/>
  <c r="I50"/>
  <c r="F12"/>
  <c r="F13" i="168"/>
  <c r="I13" s="1"/>
  <c r="F37" i="63"/>
  <c r="F35" s="1"/>
  <c r="I60"/>
  <c r="I59"/>
  <c r="I58"/>
  <c r="I57"/>
  <c r="I56"/>
  <c r="I55"/>
  <c r="I54"/>
  <c r="I53"/>
  <c r="I52"/>
  <c r="I51"/>
  <c r="I46"/>
  <c r="I43"/>
  <c r="I42"/>
  <c r="I41"/>
  <c r="I40"/>
  <c r="D34" i="53"/>
  <c r="C58"/>
  <c r="E58" s="1"/>
  <c r="E37" i="63"/>
  <c r="E35" s="1"/>
  <c r="C37" i="53"/>
  <c r="E37" s="1"/>
  <c r="C37" i="63"/>
  <c r="I38"/>
  <c r="I39"/>
  <c r="I32"/>
  <c r="I33"/>
  <c r="F39" i="140"/>
  <c r="D20" i="53"/>
  <c r="C20" s="1"/>
  <c r="F34" i="140"/>
  <c r="E34"/>
  <c r="E27"/>
  <c r="E48" i="166"/>
  <c r="G12" i="63"/>
  <c r="J13"/>
  <c r="F28" i="140"/>
  <c r="F32"/>
  <c r="J14" i="63"/>
  <c r="J12" i="168"/>
  <c r="G11"/>
  <c r="J11" s="1"/>
  <c r="E28" i="140"/>
  <c r="F29"/>
  <c r="E29"/>
  <c r="F30"/>
  <c r="F27"/>
  <c r="E30"/>
  <c r="F21"/>
  <c r="F20"/>
  <c r="F19"/>
  <c r="F18"/>
  <c r="E18"/>
  <c r="A18"/>
  <c r="F17"/>
  <c r="E17"/>
  <c r="E12" s="1"/>
  <c r="D16"/>
  <c r="C16"/>
  <c r="E15"/>
  <c r="D8"/>
  <c r="A36" i="151"/>
  <c r="A32"/>
  <c r="A29"/>
  <c r="A24" s="1"/>
  <c r="A21"/>
  <c r="A13"/>
  <c r="A39" i="147"/>
  <c r="A36"/>
  <c r="A28"/>
  <c r="A21"/>
  <c r="A22" s="1"/>
  <c r="A14"/>
  <c r="D15" i="146"/>
  <c r="D9" i="145"/>
  <c r="DW24" i="144"/>
  <c r="DV24"/>
  <c r="DU24"/>
  <c r="DT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C16"/>
  <c r="F13"/>
  <c r="D12" i="71"/>
  <c r="A21" i="76"/>
  <c r="D14"/>
  <c r="E26" i="140" l="1"/>
  <c r="F26"/>
  <c r="A33" i="151"/>
  <c r="C17" i="144"/>
  <c r="E15" i="146"/>
  <c r="A39" i="151"/>
  <c r="J37" i="63"/>
  <c r="D35"/>
  <c r="G13" i="144"/>
  <c r="E9" i="145"/>
  <c r="D12" i="52"/>
  <c r="D11" s="1"/>
  <c r="D10" s="1"/>
  <c r="C10" s="1"/>
  <c r="F9" s="1"/>
  <c r="E10"/>
  <c r="G11"/>
  <c r="C9" i="140"/>
  <c r="C12" s="1"/>
  <c r="I29" i="63"/>
  <c r="E16" i="140"/>
  <c r="F16"/>
  <c r="F12" i="168"/>
  <c r="F11" s="1"/>
  <c r="I11" s="1"/>
  <c r="H11" s="1"/>
  <c r="K11" s="1"/>
  <c r="F31" i="63"/>
  <c r="D33" i="140"/>
  <c r="K37" i="63"/>
  <c r="E31"/>
  <c r="I37"/>
  <c r="C35"/>
  <c r="E20" i="53"/>
  <c r="J12" i="63"/>
  <c r="F15" i="140"/>
  <c r="I12" i="168"/>
  <c r="I14" i="63"/>
  <c r="J35" l="1"/>
  <c r="D31"/>
  <c r="D11" s="1"/>
  <c r="E33" i="140"/>
  <c r="F33"/>
  <c r="D31"/>
  <c r="F31" s="1"/>
  <c r="E11" i="63"/>
  <c r="I35"/>
  <c r="H35" s="1"/>
  <c r="C31"/>
  <c r="D24" i="140"/>
  <c r="I13" i="63"/>
  <c r="H13" s="1"/>
  <c r="I12"/>
  <c r="K13" l="1"/>
  <c r="H12"/>
  <c r="K12" s="1"/>
  <c r="H31"/>
  <c r="K35"/>
  <c r="E31" i="140"/>
  <c r="I31" i="63"/>
  <c r="C11"/>
  <c r="F11"/>
  <c r="E25" i="140"/>
  <c r="J24"/>
  <c r="F25"/>
  <c r="G31" i="63" l="1"/>
  <c r="G11" s="1"/>
  <c r="J11" s="1"/>
  <c r="H11"/>
  <c r="K11" s="1"/>
  <c r="K31"/>
  <c r="J31" s="1"/>
  <c r="I11"/>
  <c r="D23" i="140"/>
  <c r="F24"/>
  <c r="E24" s="1"/>
  <c r="C23" l="1"/>
  <c r="C35" s="1"/>
  <c r="Q15" i="164"/>
  <c r="L84" s="1"/>
  <c r="R29"/>
  <c r="M29" s="1"/>
  <c r="G13"/>
  <c r="H13" s="1"/>
  <c r="I13" s="1"/>
  <c r="J13" s="1"/>
  <c r="O13"/>
  <c r="P13" s="1"/>
  <c r="Q13" s="1"/>
  <c r="R13" s="1"/>
  <c r="S13" s="1"/>
  <c r="P29"/>
  <c r="Y29" s="1"/>
  <c r="F23" i="140" l="1"/>
  <c r="E23" s="1"/>
  <c r="E35" s="1"/>
  <c r="AA29" i="164"/>
  <c r="R15"/>
  <c r="M84" s="1"/>
  <c r="K84" s="1"/>
  <c r="Z15"/>
  <c r="L15"/>
  <c r="Q14"/>
  <c r="AA15" l="1"/>
  <c r="P15"/>
  <c r="Y15" s="1"/>
  <c r="R14"/>
  <c r="AA14" s="1"/>
  <c r="U84"/>
  <c r="Z14"/>
  <c r="P14" l="1"/>
  <c r="Y14" s="1"/>
  <c r="U15"/>
  <c r="L14"/>
  <c r="U14" s="1"/>
  <c r="D19" i="53" l="1"/>
  <c r="C19"/>
  <c r="D18"/>
  <c r="C18"/>
  <c r="D17"/>
  <c r="C17"/>
  <c r="D16"/>
  <c r="C16"/>
  <c r="D15"/>
  <c r="C15"/>
  <c r="D14"/>
  <c r="C14"/>
  <c r="D13"/>
  <c r="C13"/>
  <c r="D12"/>
  <c r="C12"/>
  <c r="D22"/>
  <c r="C22"/>
  <c r="D11"/>
  <c r="D24"/>
  <c r="D25"/>
  <c r="D26"/>
  <c r="D27"/>
  <c r="C11"/>
  <c r="D21"/>
  <c r="C21"/>
  <c r="D30"/>
  <c r="D31"/>
  <c r="D33"/>
  <c r="D32" s="1"/>
  <c r="C30"/>
  <c r="C31"/>
  <c r="C33"/>
  <c r="C35"/>
  <c r="C39"/>
  <c r="C40"/>
  <c r="C41"/>
  <c r="C42"/>
  <c r="C43"/>
  <c r="C44"/>
  <c r="C45"/>
  <c r="C46"/>
  <c r="C47"/>
  <c r="C48"/>
  <c r="C49"/>
  <c r="C50"/>
  <c r="C51"/>
  <c r="C52"/>
  <c r="C53"/>
  <c r="C54"/>
  <c r="C55"/>
  <c r="C56"/>
  <c r="C57"/>
  <c r="C27"/>
  <c r="C26"/>
  <c r="D40"/>
  <c r="D44"/>
  <c r="D48"/>
  <c r="D52"/>
  <c r="D56"/>
  <c r="C24"/>
  <c r="C25"/>
  <c r="D36"/>
  <c r="C36"/>
  <c r="D39"/>
  <c r="D43"/>
  <c r="E43" s="1"/>
  <c r="D47"/>
  <c r="D51"/>
  <c r="D55"/>
  <c r="E25"/>
  <c r="D23"/>
  <c r="C23"/>
  <c r="D35"/>
  <c r="D38"/>
  <c r="C38"/>
  <c r="D42"/>
  <c r="D46"/>
  <c r="D50"/>
  <c r="D54"/>
  <c r="D41"/>
  <c r="E41" s="1"/>
  <c r="D45"/>
  <c r="D49"/>
  <c r="D53"/>
  <c r="D57"/>
  <c r="E57" s="1"/>
  <c r="V47" i="164"/>
  <c r="V55"/>
  <c r="V50"/>
  <c r="V53"/>
  <c r="V61"/>
  <c r="V68"/>
  <c r="K53"/>
  <c r="T53" s="1"/>
  <c r="K55"/>
  <c r="T55" s="1"/>
  <c r="K47"/>
  <c r="T47" s="1"/>
  <c r="V64"/>
  <c r="K64"/>
  <c r="T64" s="1"/>
  <c r="V60"/>
  <c r="V56"/>
  <c r="K56"/>
  <c r="T56" s="1"/>
  <c r="V52"/>
  <c r="V48"/>
  <c r="K48"/>
  <c r="T48" s="1"/>
  <c r="V51"/>
  <c r="V67"/>
  <c r="K67"/>
  <c r="T67" s="1"/>
  <c r="V46"/>
  <c r="V49"/>
  <c r="V57"/>
  <c r="K65"/>
  <c r="V62"/>
  <c r="K62"/>
  <c r="T62" s="1"/>
  <c r="K51"/>
  <c r="T51" s="1"/>
  <c r="V63"/>
  <c r="V58"/>
  <c r="K58"/>
  <c r="T58" s="1"/>
  <c r="K66"/>
  <c r="K49"/>
  <c r="T49" s="1"/>
  <c r="K57"/>
  <c r="T57" s="1"/>
  <c r="K60"/>
  <c r="T60" s="1"/>
  <c r="K52"/>
  <c r="T52" s="1"/>
  <c r="K63"/>
  <c r="T63" s="1"/>
  <c r="K46"/>
  <c r="T46" s="1"/>
  <c r="K50"/>
  <c r="T50" s="1"/>
  <c r="V54"/>
  <c r="K54"/>
  <c r="T54" s="1"/>
  <c r="V59"/>
  <c r="K59"/>
  <c r="T59" s="1"/>
  <c r="K61"/>
  <c r="T61" s="1"/>
  <c r="K68"/>
  <c r="T68" s="1"/>
  <c r="V24"/>
  <c r="V33"/>
  <c r="V30"/>
  <c r="V44"/>
  <c r="V21"/>
  <c r="V25"/>
  <c r="V38"/>
  <c r="V26"/>
  <c r="K26"/>
  <c r="T26" s="1"/>
  <c r="V20"/>
  <c r="V28"/>
  <c r="V36"/>
  <c r="V23"/>
  <c r="V31"/>
  <c r="V18"/>
  <c r="V22"/>
  <c r="K21"/>
  <c r="T21" s="1"/>
  <c r="K44"/>
  <c r="T44" s="1"/>
  <c r="K23"/>
  <c r="T23" s="1"/>
  <c r="K20"/>
  <c r="T20" s="1"/>
  <c r="V40"/>
  <c r="V19"/>
  <c r="V27"/>
  <c r="V35"/>
  <c r="V43"/>
  <c r="K18"/>
  <c r="T18" s="1"/>
  <c r="V42"/>
  <c r="V17"/>
  <c r="K25"/>
  <c r="T25" s="1"/>
  <c r="V41"/>
  <c r="V37"/>
  <c r="V32"/>
  <c r="K45"/>
  <c r="T45" s="1"/>
  <c r="V45"/>
  <c r="V39"/>
  <c r="K39"/>
  <c r="T39" s="1"/>
  <c r="K24"/>
  <c r="T24" s="1"/>
  <c r="K36"/>
  <c r="T36" s="1"/>
  <c r="K40"/>
  <c r="T40" s="1"/>
  <c r="K19"/>
  <c r="T19" s="1"/>
  <c r="K27"/>
  <c r="T27" s="1"/>
  <c r="K22"/>
  <c r="T22" s="1"/>
  <c r="K38"/>
  <c r="T38" s="1"/>
  <c r="K17"/>
  <c r="T17" s="1"/>
  <c r="V29"/>
  <c r="K29"/>
  <c r="T29" s="1"/>
  <c r="K33"/>
  <c r="T33" s="1"/>
  <c r="K41"/>
  <c r="T41" s="1"/>
  <c r="K35"/>
  <c r="T35" s="1"/>
  <c r="K30"/>
  <c r="T30" s="1"/>
  <c r="K28"/>
  <c r="T28" s="1"/>
  <c r="K31"/>
  <c r="T31" s="1"/>
  <c r="V34"/>
  <c r="K34"/>
  <c r="T34" s="1"/>
  <c r="K42"/>
  <c r="T42" s="1"/>
  <c r="K37"/>
  <c r="T37" s="1"/>
  <c r="K32"/>
  <c r="T32" s="1"/>
  <c r="T84"/>
  <c r="K43"/>
  <c r="T43" s="1"/>
  <c r="E18" i="53" l="1"/>
  <c r="E27"/>
  <c r="E52"/>
  <c r="E26"/>
  <c r="E46"/>
  <c r="E35"/>
  <c r="E44"/>
  <c r="C10"/>
  <c r="E14"/>
  <c r="E51"/>
  <c r="E55"/>
  <c r="E39"/>
  <c r="E21"/>
  <c r="E13"/>
  <c r="E17"/>
  <c r="E47"/>
  <c r="E53"/>
  <c r="E49"/>
  <c r="E45"/>
  <c r="E54"/>
  <c r="E30"/>
  <c r="E50"/>
  <c r="E23"/>
  <c r="D10"/>
  <c r="D9" s="1"/>
  <c r="E12"/>
  <c r="E38"/>
  <c r="E36"/>
  <c r="E56"/>
  <c r="E40"/>
  <c r="C34"/>
  <c r="E34" s="1"/>
  <c r="D29"/>
  <c r="D28" s="1"/>
  <c r="C9"/>
  <c r="E24"/>
  <c r="E19"/>
  <c r="E15"/>
  <c r="E42"/>
  <c r="E48"/>
  <c r="C29"/>
  <c r="E22"/>
  <c r="E16"/>
  <c r="E11"/>
  <c r="E31"/>
  <c r="E33"/>
  <c r="M15" i="164"/>
  <c r="V84"/>
  <c r="E10" i="53" l="1"/>
  <c r="E9"/>
  <c r="E29"/>
  <c r="C32"/>
  <c r="C28" s="1"/>
  <c r="C8" s="1"/>
  <c r="K15" i="164"/>
  <c r="T15" s="1"/>
  <c r="M14"/>
  <c r="V15"/>
  <c r="D8" i="53" l="1"/>
  <c r="E8" s="1"/>
  <c r="E32"/>
  <c r="E28"/>
  <c r="V14" i="164"/>
  <c r="K14"/>
  <c r="T14" s="1"/>
  <c r="P11" i="64" l="1"/>
  <c r="Q11" s="1"/>
  <c r="R11" s="1"/>
  <c r="H11"/>
  <c r="I11" s="1"/>
  <c r="J11" s="1"/>
  <c r="F52" i="52"/>
  <c r="D14" i="140" s="1"/>
  <c r="D13" s="1"/>
  <c r="F13" s="1"/>
  <c r="F12" i="52"/>
  <c r="H12" s="1"/>
  <c r="G10"/>
  <c r="H52"/>
  <c r="G52"/>
  <c r="G12"/>
  <c r="D13" i="166"/>
  <c r="D12" s="1"/>
  <c r="C13"/>
  <c r="C12"/>
  <c r="C10" s="1"/>
  <c r="E13"/>
  <c r="E12" s="1"/>
  <c r="E10" s="1"/>
  <c r="S13" i="122"/>
  <c r="T13"/>
  <c r="U13" s="1"/>
  <c r="V13" s="1"/>
  <c r="W13" s="1"/>
  <c r="X13" s="1"/>
  <c r="A24"/>
  <c r="A25" s="1"/>
  <c r="A26" s="1"/>
  <c r="A27" s="1"/>
  <c r="A28" s="1"/>
  <c r="A29" s="1"/>
  <c r="A30" s="1"/>
  <c r="A31" s="1"/>
  <c r="A32" s="1"/>
  <c r="A33" s="1"/>
  <c r="A34" s="1"/>
  <c r="A35" s="1"/>
  <c r="A36" s="1"/>
  <c r="A37" s="1"/>
  <c r="A38" s="1"/>
  <c r="A39" s="1"/>
  <c r="A40" s="1"/>
  <c r="A41" s="1"/>
  <c r="G13"/>
  <c r="H13"/>
  <c r="I13" s="1"/>
  <c r="J13" s="1"/>
  <c r="K13" s="1"/>
  <c r="L13" s="1"/>
  <c r="M13" s="1"/>
  <c r="V16" i="117"/>
  <c r="W16" s="1"/>
  <c r="X16" s="1"/>
  <c r="Y16" s="1"/>
  <c r="Z16" s="1"/>
  <c r="AA16" s="1"/>
  <c r="AB16" s="1"/>
  <c r="AC16" s="1"/>
  <c r="AD16" s="1"/>
  <c r="AE16" s="1"/>
  <c r="AF16" s="1"/>
  <c r="AG16" s="1"/>
  <c r="AH16" s="1"/>
  <c r="AI16" s="1"/>
  <c r="AJ16" s="1"/>
  <c r="E16"/>
  <c r="F16" s="1"/>
  <c r="G16" s="1"/>
  <c r="H16" s="1"/>
  <c r="I16" s="1"/>
  <c r="J16" s="1"/>
  <c r="K16" s="1"/>
  <c r="L16" s="1"/>
  <c r="M16" s="1"/>
  <c r="N16" s="1"/>
  <c r="O16" s="1"/>
  <c r="P16" s="1"/>
  <c r="Q16" s="1"/>
  <c r="R16" s="1"/>
  <c r="S16" s="1"/>
  <c r="F11" i="52" l="1"/>
  <c r="D9" i="140"/>
  <c r="F14"/>
  <c r="E14"/>
  <c r="F13" i="166"/>
  <c r="D10"/>
  <c r="F12"/>
  <c r="E13" i="140"/>
  <c r="E9" s="1"/>
  <c r="F9" l="1"/>
  <c r="D12"/>
  <c r="D35" s="1"/>
  <c r="F10" i="52"/>
  <c r="H10" s="1"/>
  <c r="H11"/>
  <c r="H10" i="166"/>
  <c r="F10"/>
  <c r="F12" i="140"/>
  <c r="J27" l="1"/>
  <c r="F35"/>
  <c r="F15" i="146"/>
  <c r="G15"/>
  <c r="H15"/>
  <c r="I15"/>
  <c r="J15"/>
  <c r="K15"/>
  <c r="L15"/>
  <c r="M15"/>
  <c r="N15"/>
  <c r="O15"/>
  <c r="P15"/>
  <c r="Q15"/>
  <c r="R15"/>
  <c r="S15"/>
  <c r="T15"/>
  <c r="U15"/>
  <c r="H13" i="144"/>
  <c r="I13"/>
  <c r="J13"/>
  <c r="K13"/>
  <c r="L13"/>
  <c r="M13"/>
  <c r="C18"/>
  <c r="C19"/>
  <c r="C20"/>
  <c r="C21"/>
  <c r="C22"/>
  <c r="C23"/>
  <c r="C24"/>
  <c r="C25"/>
  <c r="C26"/>
  <c r="A16" i="151"/>
  <c r="A17"/>
  <c r="A18"/>
  <c r="A22" i="76"/>
  <c r="A28"/>
  <c r="A30"/>
  <c r="A32"/>
  <c r="A33"/>
  <c r="A34"/>
  <c r="A35"/>
  <c r="A36"/>
  <c r="A37"/>
  <c r="A38"/>
  <c r="A39"/>
  <c r="A40"/>
  <c r="E14"/>
  <c r="F14"/>
  <c r="G14"/>
  <c r="H14"/>
  <c r="I14"/>
  <c r="J14"/>
  <c r="K14"/>
  <c r="A23" i="147"/>
  <c r="A24"/>
  <c r="A25"/>
  <c r="E12" i="71"/>
  <c r="F12"/>
  <c r="G12"/>
  <c r="H12"/>
  <c r="I12"/>
  <c r="J12"/>
  <c r="F9" i="145"/>
  <c r="G9"/>
  <c r="H9"/>
  <c r="I9"/>
  <c r="J9"/>
  <c r="K9"/>
  <c r="L9"/>
  <c r="M9"/>
  <c r="J13" i="167"/>
  <c r="H13"/>
  <c r="C13"/>
  <c r="O13"/>
  <c r="R17"/>
  <c r="R14"/>
  <c r="R13"/>
  <c r="P13"/>
  <c r="S13"/>
  <c r="K13"/>
  <c r="T13"/>
  <c r="N12"/>
  <c r="O12"/>
  <c r="P12"/>
  <c r="Q12"/>
  <c r="R12"/>
  <c r="S12"/>
  <c r="P17"/>
  <c r="K17"/>
  <c r="T17"/>
  <c r="P14"/>
  <c r="K14"/>
  <c r="T14"/>
  <c r="Y13"/>
  <c r="X13"/>
  <c r="Y14"/>
  <c r="AA13"/>
  <c r="F12"/>
  <c r="G12"/>
  <c r="H12"/>
  <c r="I12"/>
  <c r="J12"/>
  <c r="Y17"/>
  <c r="AA14"/>
  <c r="AA17"/>
</calcChain>
</file>

<file path=xl/sharedStrings.xml><?xml version="1.0" encoding="utf-8"?>
<sst xmlns="http://schemas.openxmlformats.org/spreadsheetml/2006/main" count="2112" uniqueCount="686">
  <si>
    <t xml:space="preserve">Thu </t>
  </si>
  <si>
    <t>Tæng Thu C§+ §T sau khi trõ GTGC</t>
  </si>
  <si>
    <t>- Thu cè ®Þnh</t>
  </si>
  <si>
    <t>- Thu ®iÒu tiÕt</t>
  </si>
  <si>
    <t>Nguån ®Ó l¹i</t>
  </si>
  <si>
    <t>- ThuÕ CQSD ®Êt vµ thuª ®Êt</t>
  </si>
  <si>
    <t>- B¸n nhµ</t>
  </si>
  <si>
    <t>- Xæ sè</t>
  </si>
  <si>
    <t>- ThuÕ SD §Êt n«ng nghiÖp</t>
  </si>
  <si>
    <t>- Tµi nguyªn rõng vµ b¸n c©y ®øng</t>
  </si>
  <si>
    <t>- Thu Qu¶ng c¸o truyÒn h×nh</t>
  </si>
  <si>
    <t>Nội dung</t>
  </si>
  <si>
    <t>Dự toán</t>
  </si>
  <si>
    <t>S</t>
  </si>
  <si>
    <t>T</t>
  </si>
  <si>
    <t>A</t>
  </si>
  <si>
    <t>B</t>
  </si>
  <si>
    <t>Thu nội địa</t>
  </si>
  <si>
    <t>Lệ phí trước bạ</t>
  </si>
  <si>
    <t>Thuế sử dụng đất nông nghiệp</t>
  </si>
  <si>
    <t>Thuế sử dụng đất phi nông nghiệp</t>
  </si>
  <si>
    <t>Thuế thu nhập cá nhân</t>
  </si>
  <si>
    <t>Thuế bảo vệ môi trường</t>
  </si>
  <si>
    <t xml:space="preserve">Thu phí, lệ phí </t>
  </si>
  <si>
    <t>-</t>
  </si>
  <si>
    <t xml:space="preserve"> Phí và lệ phí trung ương</t>
  </si>
  <si>
    <t xml:space="preserve"> Phí và lệ phí xã, phường</t>
  </si>
  <si>
    <t>Thu tiền sử dụng đất</t>
  </si>
  <si>
    <t>Thu từ dầu thô</t>
  </si>
  <si>
    <t>Thu từ hoạt động xuất nhập khẩu</t>
  </si>
  <si>
    <t>Thu khác ngân sách</t>
  </si>
  <si>
    <t>Thu từ hoạt động xổ số kiến thiết</t>
  </si>
  <si>
    <t>I</t>
  </si>
  <si>
    <t>II</t>
  </si>
  <si>
    <t>III</t>
  </si>
  <si>
    <t>IV</t>
  </si>
  <si>
    <t>V</t>
  </si>
  <si>
    <t>C</t>
  </si>
  <si>
    <t>Chi đầu tư phát triển</t>
  </si>
  <si>
    <t>Vốn ngoài nước</t>
  </si>
  <si>
    <t>Chi đầu tư từ nguồn thu tiền sử dụng đất</t>
  </si>
  <si>
    <t>Chi đầu tư từ nguồn thu xổ số kiến thiết</t>
  </si>
  <si>
    <t>Chi thường xuyên</t>
  </si>
  <si>
    <t>Chi bổ sung quỹ dự trữ tài chính</t>
  </si>
  <si>
    <t>Dự phòng ngân sách</t>
  </si>
  <si>
    <t>TỔNG SỐ</t>
  </si>
  <si>
    <t>Huyện A</t>
  </si>
  <si>
    <t>Quận B</t>
  </si>
  <si>
    <t>Thành phố C</t>
  </si>
  <si>
    <t>Thị xã D</t>
  </si>
  <si>
    <t>Tên đơn vị</t>
  </si>
  <si>
    <t>Tổng</t>
  </si>
  <si>
    <t>………</t>
  </si>
  <si>
    <t>Xã A</t>
  </si>
  <si>
    <t>Phường B</t>
  </si>
  <si>
    <t>Thị trấn C</t>
  </si>
  <si>
    <t>Trong đó</t>
  </si>
  <si>
    <t>trước</t>
  </si>
  <si>
    <t>tư</t>
  </si>
  <si>
    <t>Tiền cho thuê đất, thuê mặt nước</t>
  </si>
  <si>
    <t>Tiền cho thuê và tiền bán nhà ở thuộc sở hữu nhà nước</t>
  </si>
  <si>
    <t>VI</t>
  </si>
  <si>
    <t>Trong đó:</t>
  </si>
  <si>
    <t>D</t>
  </si>
  <si>
    <t xml:space="preserve">Chi đầu tư phát triển </t>
  </si>
  <si>
    <t>Thu kết dư</t>
  </si>
  <si>
    <t>Tổng chi cân đối ngân sách địa phương</t>
  </si>
  <si>
    <t>(Dùng cho ngân sách các cấp chính quyền địa phương)</t>
  </si>
  <si>
    <t>Thu bổ sung từ ngân sách cấp trên</t>
  </si>
  <si>
    <t>hoạch</t>
  </si>
  <si>
    <t>Bao gồm</t>
  </si>
  <si>
    <t>năm</t>
  </si>
  <si>
    <t>1=2+3</t>
  </si>
  <si>
    <t>4=5+6</t>
  </si>
  <si>
    <t xml:space="preserve"> Chi khoa học và công nghệ</t>
  </si>
  <si>
    <t>Cơ quan A</t>
  </si>
  <si>
    <t>Tổ chức B</t>
  </si>
  <si>
    <t>Thu viện trợ</t>
  </si>
  <si>
    <t>Chi ngân sách</t>
  </si>
  <si>
    <t>Thu ngân sách được hưởng theo phân cấp</t>
  </si>
  <si>
    <t>7=4/1</t>
  </si>
  <si>
    <t>8=5/2</t>
  </si>
  <si>
    <t>9=6/3</t>
  </si>
  <si>
    <t>Chia ra</t>
  </si>
  <si>
    <t>3=2/1</t>
  </si>
  <si>
    <t>Kế hoạch vay trong năm</t>
  </si>
  <si>
    <t>tiêu</t>
  </si>
  <si>
    <t xml:space="preserve">Dự toán </t>
  </si>
  <si>
    <t>Dự án A</t>
  </si>
  <si>
    <t>Dự án B</t>
  </si>
  <si>
    <t>………..</t>
  </si>
  <si>
    <t>Thu NSĐP được hưởng theo phân cấp</t>
  </si>
  <si>
    <t>Thu NSĐP hưởng 100%</t>
  </si>
  <si>
    <t>Tổng chi cân đối NSĐP</t>
  </si>
  <si>
    <t>CHI CÂN ĐỐI NGÂN SÁCH ĐỊA PHƯƠNG</t>
  </si>
  <si>
    <t>giai</t>
  </si>
  <si>
    <t>đoạn</t>
  </si>
  <si>
    <t>Năm</t>
  </si>
  <si>
    <t>thứ</t>
  </si>
  <si>
    <t>nhất</t>
  </si>
  <si>
    <t>hai</t>
  </si>
  <si>
    <t>ba</t>
  </si>
  <si>
    <t>Nông, lâm, ngư nghiệp</t>
  </si>
  <si>
    <t xml:space="preserve">Công nghiệp, xây dựng </t>
  </si>
  <si>
    <t>Dịch vụ</t>
  </si>
  <si>
    <t>Vốn tín dụng</t>
  </si>
  <si>
    <t>Vốn doanh nghiệp và dân cư</t>
  </si>
  <si>
    <t>Vốn đầu tư trực tiếp nước ngoài</t>
  </si>
  <si>
    <t xml:space="preserve">Số xã đạt tiêu chuẩn nông thôn mới (lũy kế) </t>
  </si>
  <si>
    <t>Quyết toán</t>
  </si>
  <si>
    <t>STT</t>
  </si>
  <si>
    <t>So sánh</t>
  </si>
  <si>
    <t>Chi đầu tư và hỗ trợ vốn cho các doanh nghiệp cung cấp sản phẩm, dịch vụ công ích do Nhà nước đặt hàng, các tổ chức kinh tế, các tổ chức tài chính của địa phương theo quy định của pháp luật</t>
  </si>
  <si>
    <t>…</t>
  </si>
  <si>
    <t>Chi chương trình mục tiêu</t>
  </si>
  <si>
    <t>5=3/1</t>
  </si>
  <si>
    <t>6=4/2</t>
  </si>
  <si>
    <t xml:space="preserve"> Chi giáo dục - đào tạo và dạy nghề</t>
  </si>
  <si>
    <t>…………………………………………</t>
  </si>
  <si>
    <t>Chi chuyển nguồn sang năm sau</t>
  </si>
  <si>
    <t>Vốn  trong  nước</t>
  </si>
  <si>
    <t>Vốn  ngoài  nước</t>
  </si>
  <si>
    <t xml:space="preserve">Thu nội địa </t>
  </si>
  <si>
    <t>Thu từ dầu thô (nếu có)</t>
  </si>
  <si>
    <t>Hạn mức dư nợ vay tối đa của NSĐP</t>
  </si>
  <si>
    <t>a</t>
  </si>
  <si>
    <t>b</t>
  </si>
  <si>
    <t>Thực hiện giai đoạn trước</t>
  </si>
  <si>
    <t>Thuế nhập khẩu</t>
  </si>
  <si>
    <t>Thuế xuất khẩu</t>
  </si>
  <si>
    <t>Thuế tiêu thụ đặc biệt thu từ hàng hóa nhập khẩu</t>
  </si>
  <si>
    <t>Thuế giá trị gia tăng thu từ hàng hóa nhập khẩu</t>
  </si>
  <si>
    <t>Thuế  bảo vệ môi trường thu từ hàng hóa nhập khẩu</t>
  </si>
  <si>
    <t>Đơn vị tính</t>
  </si>
  <si>
    <t>%</t>
  </si>
  <si>
    <t>Triệu USD</t>
  </si>
  <si>
    <t>Tổng sản phẩm trong nước (GRDP) theo giá hiện hành</t>
  </si>
  <si>
    <t>Tốc độ tăng trưởng GRDP</t>
  </si>
  <si>
    <t>Cơ cấu kinh tế</t>
  </si>
  <si>
    <t>Chỉ số giá tiêu dùng (CPI)</t>
  </si>
  <si>
    <t>Tốc độ tăng</t>
  </si>
  <si>
    <t xml:space="preserve">Kim ngạch xuất khẩu </t>
  </si>
  <si>
    <t>Kim ngạch nhập khẩu</t>
  </si>
  <si>
    <t>Dân số</t>
  </si>
  <si>
    <t>Triệu đồng</t>
  </si>
  <si>
    <t>1.000 lao động</t>
  </si>
  <si>
    <t>Thu nhập bình quân đầu người</t>
  </si>
  <si>
    <t>Giải quyết việc làm mới</t>
  </si>
  <si>
    <t>%/năm</t>
  </si>
  <si>
    <t>Tỷ lệ giảm hộ nghèo</t>
  </si>
  <si>
    <t xml:space="preserve">Tỷ lệ hộ nghèo </t>
  </si>
  <si>
    <t>Tỷ lệ lao động qua đào tạo</t>
  </si>
  <si>
    <t>Xã</t>
  </si>
  <si>
    <t>Tỷ lệ xã đạt tiêu chuẩn nông thôn mới</t>
  </si>
  <si>
    <t>TỔNG SẢN PHẨM TRONG NƯỚC (GRDP) THEO GIÁ HIỆN HÀNH</t>
  </si>
  <si>
    <t>Thu chuyển nguồn từ năm trước chuyển sang</t>
  </si>
  <si>
    <t>1.000 người</t>
  </si>
  <si>
    <t>Chi trả nợ lãi các khoản do chính quyền địa phương vay</t>
  </si>
  <si>
    <t>Thu từ quỹ đất công ích, hoa lợi công sản khác</t>
  </si>
  <si>
    <t>Chi đầu tư cho các dự án</t>
  </si>
  <si>
    <t>Chi tạo nguồn, điều chỉnh tiền lương</t>
  </si>
  <si>
    <t>Dự án C</t>
  </si>
  <si>
    <t>Biểu mẫu số 01</t>
  </si>
  <si>
    <t>Biểu mẫu số 02</t>
  </si>
  <si>
    <t>Biểu mẫu số 03</t>
  </si>
  <si>
    <t>Biểu mẫu số 04</t>
  </si>
  <si>
    <t>Biểu mẫu số 05</t>
  </si>
  <si>
    <t>Biểu mẫu số 06</t>
  </si>
  <si>
    <t>Biểu mẫu số 07</t>
  </si>
  <si>
    <t>Biểu mẫu số 09</t>
  </si>
  <si>
    <t>Biểu mẫu số 10</t>
  </si>
  <si>
    <t>Biểu mẫu số 11</t>
  </si>
  <si>
    <t>E</t>
  </si>
  <si>
    <t xml:space="preserve"> Phí và lệ phí tỉnh</t>
  </si>
  <si>
    <t xml:space="preserve"> Phí và lệ phí huyện</t>
  </si>
  <si>
    <t>Vốn trong nước</t>
  </si>
  <si>
    <t>Chi bổ sung cho ngân sách cấp dưới</t>
  </si>
  <si>
    <t>Thu bổ sung cân đối ngân sách</t>
  </si>
  <si>
    <t xml:space="preserve">TỔNG CHI NGÂN SÁCH ĐỊA PHƯƠNG </t>
  </si>
  <si>
    <t>Chi CTMTQG</t>
  </si>
  <si>
    <t>Tổng số</t>
  </si>
  <si>
    <t xml:space="preserve">Mục </t>
  </si>
  <si>
    <t>Kế</t>
  </si>
  <si>
    <t>Chi khoa học và công nghệ</t>
  </si>
  <si>
    <t>Thu bổ sung có mục tiêu</t>
  </si>
  <si>
    <t>Chi bổ sung có mục tiêu</t>
  </si>
  <si>
    <t>Thu khác</t>
  </si>
  <si>
    <t>Đơn vị: Triệu đồng</t>
  </si>
  <si>
    <t>THU CHUYỂN NGUỒN TỪ NĂM TRƯỚC CHUYỂN SANG</t>
  </si>
  <si>
    <t>THU TỪ QUỸ DỰ TRỮ TÀI CHÍNH</t>
  </si>
  <si>
    <t>THU KẾT DƯ NĂM TRƯỚC</t>
  </si>
  <si>
    <t>Mức dư nợ đầu kỳ (năm)</t>
  </si>
  <si>
    <t>Tổng mức vay trong kỳ (năm)</t>
  </si>
  <si>
    <t>Trả nợ gốc vay trong kỳ (năm)</t>
  </si>
  <si>
    <t>Mức dư nợ cuối kỳ (năm)</t>
  </si>
  <si>
    <t>Thu ngân sách địa phương được hưởng theo phân cấp</t>
  </si>
  <si>
    <t>Tuyệt đối</t>
  </si>
  <si>
    <t>Tương đối</t>
  </si>
  <si>
    <t>3=2-1</t>
  </si>
  <si>
    <t>4=2/1</t>
  </si>
  <si>
    <t>So sánh (%)</t>
  </si>
  <si>
    <t>Vốn ngân sách nhà nước</t>
  </si>
  <si>
    <t>Thu từ quỹ dự trữ tài chính</t>
  </si>
  <si>
    <t xml:space="preserve">  Chi giáo dục - đào tạo và dạy nghề</t>
  </si>
  <si>
    <t>Chi chuyển nguồn sang ngân sách năm sau</t>
  </si>
  <si>
    <t>S T T</t>
  </si>
  <si>
    <t>Bổ sung có mục tiêu</t>
  </si>
  <si>
    <t>Chi chương trình mục tiêu quốc gia</t>
  </si>
  <si>
    <t xml:space="preserve">CHI CHUYỂN NGUỒN SANG NĂM SAU </t>
  </si>
  <si>
    <t>Trong đó: Thu tiền sử dụng đất</t>
  </si>
  <si>
    <t xml:space="preserve">                 Thu xổ số kiến thiết</t>
  </si>
  <si>
    <t>Thu từ hoạt động xuất, nhập khẩu (nếu có)</t>
  </si>
  <si>
    <t>Tổng vốn đầu tư phát triển toàn xã hội trên địa bàn</t>
  </si>
  <si>
    <t>Gồm</t>
  </si>
  <si>
    <t>3=4+5</t>
  </si>
  <si>
    <t>17=9/1</t>
  </si>
  <si>
    <t>18=10/2</t>
  </si>
  <si>
    <t>19=11/3</t>
  </si>
  <si>
    <t>20=12/4</t>
  </si>
  <si>
    <t>21=13/5</t>
  </si>
  <si>
    <t>22=14/6</t>
  </si>
  <si>
    <t>23=15/7</t>
  </si>
  <si>
    <t>24=16/8</t>
  </si>
  <si>
    <t>11=12+13</t>
  </si>
  <si>
    <t>c</t>
  </si>
  <si>
    <t>Ngân sách cấp tỉnh (huyện)</t>
  </si>
  <si>
    <t>Ngân sách trung ương</t>
  </si>
  <si>
    <t>Vay để bù đắp bội chi</t>
  </si>
  <si>
    <t>Vay để trả nợ gốc</t>
  </si>
  <si>
    <t xml:space="preserve">TỔNG SỐ </t>
  </si>
  <si>
    <t>- Vốn trong nước</t>
  </si>
  <si>
    <t>- Vốn nước ngoài</t>
  </si>
  <si>
    <t>1</t>
  </si>
  <si>
    <t>2</t>
  </si>
  <si>
    <t>Chương trình mục tiêu quốc gia …</t>
  </si>
  <si>
    <t>Phân loại như trên</t>
  </si>
  <si>
    <t xml:space="preserve"> …</t>
  </si>
  <si>
    <t>Các chương trình mục tiêu</t>
  </si>
  <si>
    <t>Chương trình mục tiêu …</t>
  </si>
  <si>
    <t>MẪU BIỂU SỐ 02</t>
  </si>
  <si>
    <t>I1</t>
  </si>
  <si>
    <t>I8</t>
  </si>
  <si>
    <t>NGÀNH, LĨNH VỰC, CHƯƠNG TRÌNH…</t>
  </si>
  <si>
    <t>Chuẩn bị đầu tư</t>
  </si>
  <si>
    <t>Thực hiện dự án</t>
  </si>
  <si>
    <t>Dự án chuyển tiếp từ giai đoạn 5 năm ... sang giai đoạn 5 năm ...</t>
  </si>
  <si>
    <t>Dự án khởi công mới trong giai đoạn 5 năm ...</t>
  </si>
  <si>
    <t>Phân loại như mục A nêu trên</t>
  </si>
  <si>
    <t>Ghi chú</t>
  </si>
  <si>
    <t xml:space="preserve">CHI ĐẦU TƯ PHÁT TRIỂN </t>
  </si>
  <si>
    <t>3</t>
  </si>
  <si>
    <t>4</t>
  </si>
  <si>
    <t xml:space="preserve">  Đầu tư từ nguồn thu sử dụng đất </t>
  </si>
  <si>
    <t xml:space="preserve">  Vốn cân đối địa phương theo tiêu chí, định mức</t>
  </si>
  <si>
    <t xml:space="preserve">  Đầu tư từ nguồn thu xổ số kiến thiết</t>
  </si>
  <si>
    <t xml:space="preserve">  Vốn trong nước </t>
  </si>
  <si>
    <t xml:space="preserve">  Vốn nước ngoài</t>
  </si>
  <si>
    <t xml:space="preserve">DỰ BÁO MỘT SỐ CHỈ TIÊU KINH TẾ - XÃ HỘI CHỦ YẾU GIAI ĐOẠN ... </t>
  </si>
  <si>
    <t>Từ nguồn vay để trả nợ gốc</t>
  </si>
  <si>
    <t>TỔNG THU NSNN TRÊN ĐỊA BÀN</t>
  </si>
  <si>
    <t>TỔNG THU NSĐP</t>
  </si>
  <si>
    <t>TỔNG CHI NSĐP</t>
  </si>
  <si>
    <t>BỘI CHI/BỘI THU NSĐP</t>
  </si>
  <si>
    <t>TỔNG MỨC VAY CỦA NSĐP</t>
  </si>
  <si>
    <t>Từ nguồn bội thu NSĐP; tăng thu, tiết kiệm chi; kết dư ngân sách cấp tỉnh</t>
  </si>
  <si>
    <t xml:space="preserve">CHI ĐẦU TƯ CÁC CHƯƠNG TRÌNH MỤC TIÊU </t>
  </si>
  <si>
    <t>DỰ PHÒNG THEO LUẬT ĐẦU TƯ CÔNG</t>
  </si>
  <si>
    <t>Vốn nước ngoài</t>
  </si>
  <si>
    <t>Chương trình mục tiêu</t>
  </si>
  <si>
    <t>Ghi chú:  (1) Đối với NSĐP cấp tỉnh tăng tương ứng với số bội chi (nếu có); giảm tương ứng với số bội thu (nếu có).</t>
  </si>
  <si>
    <t>Địa điểm xây dựng</t>
  </si>
  <si>
    <t>Năng lực thiết kế</t>
  </si>
  <si>
    <t>Thời gian khởi công - hoàn thành</t>
  </si>
  <si>
    <t>Quyết định đầu tư</t>
  </si>
  <si>
    <t>Số Quyết định, ngày, tháng, năm ban hành</t>
  </si>
  <si>
    <t>Tổng mức đầu tư</t>
  </si>
  <si>
    <t>Trong đó:  NSTW</t>
  </si>
  <si>
    <t>Danh mục dự án</t>
  </si>
  <si>
    <t>S TT</t>
  </si>
  <si>
    <t>Vốn đối ứng</t>
  </si>
  <si>
    <r>
      <t xml:space="preserve">Vốn nước ngoài </t>
    </r>
    <r>
      <rPr>
        <sz val="14"/>
        <rFont val="Times New Roman"/>
        <family val="1"/>
      </rPr>
      <t>(theo Hiệp định)</t>
    </r>
  </si>
  <si>
    <t>Nguồn vốn  khác</t>
  </si>
  <si>
    <t>Tính bằng ngoại tệ</t>
  </si>
  <si>
    <t>Quy đổi ra đồng Việt Nam</t>
  </si>
  <si>
    <t>Nhu cầu kế hoạch đầu tư công  trung hạn vốn trong nước</t>
  </si>
  <si>
    <t>Dự kiến kế hoạch đầu tư công  trung hạn vốn trong nước</t>
  </si>
  <si>
    <r>
      <t xml:space="preserve">Vốn nước ngoài </t>
    </r>
    <r>
      <rPr>
        <sz val="14"/>
        <rFont val="Times New Roman"/>
        <family val="1"/>
      </rPr>
      <t xml:space="preserve">(tính theo đồng Việt Nam) </t>
    </r>
  </si>
  <si>
    <t>S  T T</t>
  </si>
  <si>
    <t>NỘI DUNG (cũ)</t>
  </si>
  <si>
    <t xml:space="preserve">Chi bổ sung quỹ dự trữ tài chính </t>
  </si>
  <si>
    <t>VII</t>
  </si>
  <si>
    <t>Kế hoạch năm N-1</t>
  </si>
  <si>
    <t>Dự toán toán năm N-1</t>
  </si>
  <si>
    <t>Ước thực hiện năm N-1</t>
  </si>
  <si>
    <t>Dự kiến ngân sách năm N+1</t>
  </si>
  <si>
    <t>Dự kiến ngân sách năm N+2</t>
  </si>
  <si>
    <t xml:space="preserve"> - Vốn trong nước </t>
  </si>
  <si>
    <t xml:space="preserve"> - Vốn nước ngoài</t>
  </si>
  <si>
    <t xml:space="preserve">Dự toán năm N-1 </t>
  </si>
  <si>
    <t>DỰ KIẾN CÂN ĐỐI NGÂN SÁCH ĐỊA PHƯƠNG GIAI ĐOẠN 03 NĂM …</t>
  </si>
  <si>
    <t>TỔNG NGUỒN THU NSĐP</t>
  </si>
  <si>
    <t>Chi các chương trình mục tiêu</t>
  </si>
  <si>
    <t>Chi các chương trình mục tiêu quốc gia</t>
  </si>
  <si>
    <t>Chi các chương trình mục tiêu, nhiệm vụ</t>
  </si>
  <si>
    <t>BỘI CHI NSĐP/BỘI THU NSĐP</t>
  </si>
  <si>
    <t>Từ nguồn bội thu, tăng thu, tiết kiệm chi, kết dư ngân sách cấp tỉnh</t>
  </si>
  <si>
    <t>Tỷ lệ thu NSNN so với GRDP (%)</t>
  </si>
  <si>
    <t>Tỷ lệ thu từ thuế, phí so với GRDP (%)</t>
  </si>
  <si>
    <t>NGÂN SÁCH CẤP TỈNH</t>
  </si>
  <si>
    <t xml:space="preserve">Chi thuộc nhiệm vụ của ngân sách cấp tỉnh </t>
  </si>
  <si>
    <t>Bội chi NSĐP/Bội thu NSĐP</t>
  </si>
  <si>
    <t>NGÂN SÁCH HUYỆN</t>
  </si>
  <si>
    <t>Chi thuộc nhiệm vụ của ngân sách huyện</t>
  </si>
  <si>
    <t>DỰ KIẾN CHI NGÂN SÁCH CẤP TỈNH THEO CƠ CẤU CHI GIAI ĐOẠN 03 NĂM …</t>
  </si>
  <si>
    <t>TỔNG CHI NGÂN SÁCH CẤP TỈNH</t>
  </si>
  <si>
    <t>Chi đầu tư và hỗ trợ vốn cho các doanh nghiệp cung cấp sản phẩm, dịch vụ công ích do Nhà nước đặt hàng, các tổ chức kinh tế, các tổ chức tài chính của địa phương theo quy định của pháp luật.</t>
  </si>
  <si>
    <t>DỰ KIẾN KẾ HOẠCH ĐẦU TƯ VỐN NGÂN SÁCH ĐỊA PHƯƠNG GIAI ĐOẠN 03 NĂM …</t>
  </si>
  <si>
    <t xml:space="preserve"> Vốn trong nước</t>
  </si>
  <si>
    <t xml:space="preserve">  Bội chi/ bội thu NSĐP</t>
  </si>
  <si>
    <t>Ngân sách huyện</t>
  </si>
  <si>
    <t>CHI ĐẦU TƯ CỦA NGÂN SÁCH CẤP TỈNH  VÀ NGÂN SÁCH HUYỆN (1)</t>
  </si>
  <si>
    <t>Ngân sách cấp tỉnh (2)</t>
  </si>
  <si>
    <t>CHI NGÂN SÁCH CẤP TỈNH THEO LĨNH VỰC</t>
  </si>
  <si>
    <t>TỔNG MỨC VAY, TRẢ NỢ  CỦA NSĐP</t>
  </si>
  <si>
    <t>TỔNG MỨC VAY, TRẢ NỢ CỦA NSĐP</t>
  </si>
  <si>
    <t>Trả nợ gốc vay của NSĐP</t>
  </si>
  <si>
    <t>Tổng mức vay của NSĐP</t>
  </si>
  <si>
    <t>Thuế  BVMT thu từ hàng hóa sản xuất, kinh doanh trong nước</t>
  </si>
  <si>
    <t>Thuế  BVMT thu từ hàng hóa nhập khẩu</t>
  </si>
  <si>
    <t>CHI CÂN ĐỐI NSĐP</t>
  </si>
  <si>
    <t>CHI CÁC CHƯƠNG TRÌNH MỤC TIÊU</t>
  </si>
  <si>
    <t xml:space="preserve">Chi quốc phòng </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</si>
  <si>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</si>
  <si>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</si>
  <si>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</si>
  <si>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</si>
  <si>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</si>
  <si>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</si>
  <si>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</si>
  <si>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</si>
  <si>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</si>
  <si>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</si>
  <si>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</si>
  <si>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</si>
  <si>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CÁC CƠ QUAN, TỔ CHỨC</t>
  </si>
  <si>
    <t>CHI CHUYỂN NGUỒN SANG NGÂN SÁCH NĂM SAU</t>
  </si>
  <si>
    <t>DỰ KIẾN CÂN ĐỐI NGUỒN THU, CHI NGÂN SÁCH CẤP TỈNH VÀ NGÂN SÁCH HUYỆN GIAI ĐOẠN 03 NĂM …</t>
  </si>
  <si>
    <t>CHI TẠO NGUỒN, ĐIỀU CHỈNH TIỀN LƯƠNG</t>
  </si>
  <si>
    <t xml:space="preserve">  Đầu tư từ nguồn thu xổ số kiến thiết (nếu có)</t>
  </si>
  <si>
    <t>Đầu tư phát triển</t>
  </si>
  <si>
    <t>TỔNG NGUỒN THU NSNN (A+B+C+D)</t>
  </si>
  <si>
    <t>TỔNG THU CÂN ĐỐI NSNN</t>
  </si>
  <si>
    <r>
      <t>Chi đầu tư phát triển</t>
    </r>
    <r>
      <rPr>
        <sz val="14"/>
        <rFont val="Times New Roman"/>
        <family val="1"/>
      </rPr>
      <t xml:space="preserve"> (Không kể chương trình MTQG)</t>
    </r>
  </si>
  <si>
    <r>
      <t>Chi thường xuyên</t>
    </r>
    <r>
      <rPr>
        <sz val="14"/>
        <rFont val="Times New Roman"/>
        <family val="1"/>
      </rPr>
      <t xml:space="preserve"> (Không kể chương trình MTQG)</t>
    </r>
  </si>
  <si>
    <t>DỰ PHÒNG NGÂN SÁCH</t>
  </si>
  <si>
    <t>Biểu mẫu số 53</t>
  </si>
  <si>
    <t>Vốn đầu tư để thực hiện các CTMT, nhiệm vụ</t>
  </si>
  <si>
    <t>Vốn sự nghiệp thực hiện các chế độ, chính sách</t>
  </si>
  <si>
    <t>Vốn thực hiện các CTMT quốc gia</t>
  </si>
  <si>
    <t>Kinh phí sự nghiệp</t>
  </si>
  <si>
    <t>TỔNG MỨC DƯ NỢ VAY  CUỐI NĂM CỦA NSĐP</t>
  </si>
  <si>
    <t>Tốc độ tăng thu NSNN trên địa bàn (%)</t>
  </si>
  <si>
    <t>Tốc độ tăng thu  (%)</t>
  </si>
  <si>
    <t>Tỷ trọng trong tổng thu NSNN trên địa bàn (%)</t>
  </si>
  <si>
    <t>Tốc độ tăng thu NSĐP (%)</t>
  </si>
  <si>
    <t>Tỷ lệ thu NSĐP so với GRDP  (%)</t>
  </si>
  <si>
    <t>Tốc độ tăng  (%)</t>
  </si>
  <si>
    <t>Tỷ trọng trong tổng thu NSĐP (%)</t>
  </si>
  <si>
    <t>Tỷ lệ chi NSĐP so với GRDP  (%)</t>
  </si>
  <si>
    <t>Tỷ trọng trong tổng chi NSĐP (%)</t>
  </si>
  <si>
    <t>Tỷ lệ mức dư nợ đầu kỳ (năm) so với mức dư nợ vay tối đa của NSĐP (%)</t>
  </si>
  <si>
    <t>Tỷ lệ mức dư nợ cuối kỳ (năm) so với mức dư nợ vay tối đa của NSĐP (%)</t>
  </si>
  <si>
    <t xml:space="preserve">KẾ HOẠCH TÀI CHÍNH - NGÂN SÁCH GIAI ĐOẠN 05 NĂM... </t>
  </si>
  <si>
    <t xml:space="preserve"> CỦA CÁC CƠ QUAN, ĐƠN VỊ VÀ ĐỊA PHƯƠNG GIAI ĐOẠN 05 NĂM…</t>
  </si>
  <si>
    <t xml:space="preserve"> TỔNG HỢP DỰ KIẾN KẾ HOẠCH ĐẦU TƯ CÔNG TRUNG HẠN VỐN NSNN </t>
  </si>
  <si>
    <t xml:space="preserve">DANH MỤC CHƯƠNG TRÌNH, DỰ ÁN DỰ KIẾN BỐ TRÍ KẾ HOẠCH ĐẦU TƯ CÔNG TRUNG HẠN </t>
  </si>
  <si>
    <t xml:space="preserve"> VỐN TRONG NƯỚC GIAI ĐOẠN 05 NĂM…</t>
  </si>
  <si>
    <t>Tỷ lệ so với GRDP</t>
  </si>
  <si>
    <t>Ghi chú:  (1) Đối với NSĐP cấp tỉnh tăng tương ứng với số bội chi NSĐP (nếu có); giảm tương ứng với số bội Thu NSĐP (nếu có)</t>
  </si>
  <si>
    <t>Cột 9 không chi tiết từng năm</t>
  </si>
  <si>
    <t>Chi đầu tư phát triển (1)</t>
  </si>
  <si>
    <t>Kế hoạch giai đoạn   …. (2)</t>
  </si>
  <si>
    <t>DANH MỤC CHƯƠNG TRÌNH, DỰ ÁN DỰ KIẾN BỐ TRÍ KẾ HOẠCH ĐẦU TƯ CÔNG TRUNG HẠN VỐN NƯỚC NGOÀI</t>
  </si>
  <si>
    <r>
      <rPr>
        <i/>
        <sz val="14"/>
        <rFont val="Times New Roman"/>
        <family val="1"/>
      </rPr>
      <t>Ghi chú:</t>
    </r>
    <r>
      <rPr>
        <i/>
        <sz val="12"/>
        <rFont val="Times New Roman"/>
        <family val="1"/>
      </rPr>
      <t xml:space="preserve"> (1) Chi đầu tư phát triển ngân sách cấp tỉnh tăng tương ứng với số bội chi (nếu có); giảm tương ứng với số bội thu và chi trả nợ lãi (nếu có).</t>
    </r>
  </si>
  <si>
    <r>
      <rPr>
        <i/>
        <sz val="14"/>
        <rFont val="Times New Roman"/>
        <family val="1"/>
      </rPr>
      <t>Ghi chú:</t>
    </r>
    <r>
      <rPr>
        <i/>
        <sz val="12"/>
        <rFont val="Times New Roman"/>
        <family val="1"/>
      </rPr>
      <t>(1) Chi đầu tư phát triển ngân sách cấp tỉnh tăng tương ứng với số bội chi (nếu có); giảm tương ứng với số bội thu và chi trả nợ lãi (nếu có).</t>
    </r>
  </si>
  <si>
    <t>Chi giáo dục - đào tạo và dạy nghề</t>
  </si>
  <si>
    <t xml:space="preserve">    (2) Theo quy định tại Điều 7 Luật NSNN, Ngân sách huyện, xã không có bội chi ngân sách địa phương;</t>
  </si>
  <si>
    <t>DỰ KIẾN PHƯƠNG ÁN PHÂN BỔ KẾ HOẠCH ĐẦU TƯ CÔNG TRUNG HẠN VỐN NSNN GIAI ĐOẠN 05 NĂM…</t>
  </si>
  <si>
    <t xml:space="preserve">    (3)  Ngân sách xấp xã không phải lập chỉ tiêu cột 2, 3, 5, 6.</t>
  </si>
  <si>
    <r>
      <rPr>
        <b/>
        <i/>
        <sz val="14"/>
        <rFont val="Times New Roman"/>
        <family val="1"/>
      </rPr>
      <t>Ghi chú</t>
    </r>
    <r>
      <rPr>
        <i/>
        <sz val="14"/>
        <rFont val="Times New Roman"/>
        <family val="1"/>
      </rPr>
      <t>:</t>
    </r>
    <r>
      <rPr>
        <i/>
        <sz val="12"/>
        <rFont val="Times New Roman"/>
        <family val="1"/>
      </rPr>
      <t>(1) Chưa bao gồm chi đầu tư cho các chương trình mục tiêu quốc gia và các chương trình mục tiêu tại mục II.</t>
    </r>
  </si>
  <si>
    <t>Dự toán ngân sách năm N (2)</t>
  </si>
  <si>
    <t xml:space="preserve">            (2) Năm N là năm dự toán ngân sách; theo đó, các năm N-1, N+1 và N+2 là năm trước, năm sau và năm sau nữa của năm dự toán ngân sách.</t>
  </si>
  <si>
    <t>Thu NSĐP hưởng từ các khoản thu phân chia</t>
  </si>
  <si>
    <t>Chi bổ sung quỹ dự trữ tài chính (2)</t>
  </si>
  <si>
    <t>Thu viện trợ (nếu có)</t>
  </si>
  <si>
    <t xml:space="preserve">  Bội chi/ bội thu NSĐP (1)</t>
  </si>
  <si>
    <t xml:space="preserve">Nhu cầu kế hoạch đầu tư công trung hạn </t>
  </si>
  <si>
    <t xml:space="preserve">Dự kiến kế hoạch đầu tư công trung hạn </t>
  </si>
  <si>
    <t>Dự toán ngân sách năm N          (1)</t>
  </si>
  <si>
    <t>Dự toán ngân sách năm N    (2)</t>
  </si>
  <si>
    <t>Chi đầu tư phát triển khác</t>
  </si>
  <si>
    <t>Trong đó: Chia theo lĩnh vực</t>
  </si>
  <si>
    <t>Trong đó: Chia theo nguồn vốn</t>
  </si>
  <si>
    <t>Nhu cầu kế hoạch đầu tư công  trung hạn vốn NSNN giai đoạn 05 năm…(2)</t>
  </si>
  <si>
    <t>Dự kiến kế hoạch đầu tư công trung hạn vốn NSNN giai đoạn 05 năm…(2)</t>
  </si>
  <si>
    <t xml:space="preserve">Ngân sách huyện (xã)    </t>
  </si>
  <si>
    <t>Đầu tư theo ngành, lĩnh vực của các cơ quan, đơn vị và cân đối NSĐP</t>
  </si>
  <si>
    <t>CƠ QUAN, ĐƠN VỊ, HUYỆN (XÃ) …</t>
  </si>
  <si>
    <r>
      <t>Tổng số</t>
    </r>
    <r>
      <rPr>
        <sz val="14"/>
        <rFont val="Times New Roman"/>
        <family val="1"/>
      </rPr>
      <t xml:space="preserve">       (</t>
    </r>
    <r>
      <rPr>
        <sz val="12"/>
        <rFont val="Times New Roman"/>
        <family val="1"/>
      </rPr>
      <t>tất cả các nguồn vốn)</t>
    </r>
  </si>
  <si>
    <r>
      <t>Tổng số</t>
    </r>
    <r>
      <rPr>
        <sz val="14"/>
        <rFont val="Times New Roman"/>
        <family val="1"/>
      </rPr>
      <t xml:space="preserve">      (tất cả các nguồn vốn)</t>
    </r>
  </si>
  <si>
    <r>
      <t xml:space="preserve">Tổng số      </t>
    </r>
    <r>
      <rPr>
        <sz val="14"/>
        <rFont val="Times New Roman"/>
        <family val="1"/>
      </rPr>
      <t xml:space="preserve"> (tất cả các nguồn vốn)</t>
    </r>
  </si>
  <si>
    <t>Nguồn thu ngân sách</t>
  </si>
  <si>
    <t>Chi bổ sung cân đối ngân sách</t>
  </si>
  <si>
    <t>CHI BỔ SUNG CHO NGÂN SÁCH HUYỆN</t>
  </si>
  <si>
    <t xml:space="preserve">Chi trả nợ lãi các khoản do chính quyền địa phương vay </t>
  </si>
  <si>
    <t xml:space="preserve">CHI TRẢ NỢ GỐC CỦA NSĐP </t>
  </si>
  <si>
    <t xml:space="preserve">TỔNG MỨC VAY CỦA NSĐP </t>
  </si>
  <si>
    <t xml:space="preserve">  Chi khoa học và công nghệ </t>
  </si>
  <si>
    <t>Dự toán ngân sách năm N (3)</t>
  </si>
  <si>
    <t>BỘI CHI NSĐP/BỘI THU NSĐP/KẾT DƯ NSĐP</t>
  </si>
  <si>
    <t>Tên đơn vị (1)</t>
  </si>
  <si>
    <t>Bổ  sung cân đối ngân sách</t>
  </si>
  <si>
    <t>Dự kiến kế hoạch đầu tư giai đoạn...
giai đoạn …</t>
  </si>
  <si>
    <t>Kế hoạch giai đoạn…</t>
  </si>
  <si>
    <t>Ước thực hiện năm 
N-1</t>
  </si>
  <si>
    <t>S
T
T</t>
  </si>
  <si>
    <t>(Dùng cho ngân sách tỉnh, thành phố trực thuộc trung ương - năm đầu thời kỳ ổn định ngân sách)</t>
  </si>
  <si>
    <r>
      <rPr>
        <b/>
        <i/>
        <sz val="14"/>
        <rFont val="Times New Roman"/>
        <family val="1"/>
      </rPr>
      <t xml:space="preserve">Ghi chú: </t>
    </r>
    <r>
      <rPr>
        <i/>
        <sz val="12"/>
        <rFont val="Times New Roman"/>
        <family val="1"/>
      </rPr>
      <t>Cột 9 không chi tiết từng năm.</t>
    </r>
  </si>
  <si>
    <t xml:space="preserve">Các chương trình mục tiêu quốc gia </t>
  </si>
  <si>
    <r>
      <rPr>
        <b/>
        <i/>
        <sz val="14"/>
        <rFont val="Times New Roman"/>
        <family val="1"/>
      </rPr>
      <t>Ghi chú</t>
    </r>
    <r>
      <rPr>
        <i/>
        <sz val="14"/>
        <rFont val="Times New Roman"/>
        <family val="1"/>
      </rPr>
      <t>:</t>
    </r>
    <r>
      <rPr>
        <i/>
        <sz val="12"/>
        <rFont val="Times New Roman"/>
        <family val="1"/>
      </rPr>
      <t>(1) Theo quy định tại Điều 7 Luật NSNN, ngân sách huyện, xã không có bội chi ngân sách địa phương;</t>
    </r>
  </si>
  <si>
    <t xml:space="preserve">    (2) Ngân sách cấp xã không phải lập chỉ tiêu cột 2, 3, 5, 6.</t>
  </si>
  <si>
    <t>Chương trình mục tiêu quốc gia</t>
  </si>
  <si>
    <r>
      <t xml:space="preserve">Tổng số 
</t>
    </r>
    <r>
      <rPr>
        <sz val="14"/>
        <rFont val="Times New Roman"/>
        <family val="1"/>
      </rPr>
      <t>(</t>
    </r>
    <r>
      <rPr>
        <sz val="12"/>
        <rFont val="Times New Roman"/>
        <family val="1"/>
      </rPr>
      <t>tất cả các nguồn vốn)</t>
    </r>
  </si>
  <si>
    <t>Trong đó: Ngân sách trung ương</t>
  </si>
  <si>
    <t>(VỐN ODA VÀ VỐN VAY ƯU ĐÃI CỦA CÁC NHÀ TÀI TRỢ NƯỚC NGOÀI) GIAI ĐOẠN 05 NĂM…</t>
  </si>
  <si>
    <t>(Dùng cho ngân sách tỉnh, thành phố trực thuộc trung ương)</t>
  </si>
  <si>
    <r>
      <rPr>
        <b/>
        <i/>
        <sz val="11"/>
        <rFont val="Times New Roman"/>
        <family val="1"/>
      </rPr>
      <t>Ghi chú</t>
    </r>
    <r>
      <rPr>
        <i/>
        <sz val="11"/>
        <rFont val="Times New Roman"/>
        <family val="1"/>
      </rPr>
      <t>: (1) Năm N là năm dự toán ngân sách; theo đó, các năm N-1, N+1 và N+2 là năm trước, năm sau và năm sau nữa của năm dự toán ngân sách.</t>
    </r>
  </si>
  <si>
    <t xml:space="preserve">         (3) Năm N là năm dự toán ngân sách; theo đó, các năm N-1, N+1 và N+2 là năm trước, năm sau và năm sau nữa của năm dự toán ngân sách.</t>
  </si>
  <si>
    <t>Chi trả nợ lãi do chính quyền địa phương vay (2)</t>
  </si>
  <si>
    <t>S 
T T</t>
  </si>
  <si>
    <t>S  
T
 T</t>
  </si>
  <si>
    <t>G</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</si>
  <si>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Ủy ban thường vụ Quốc hội </t>
    </r>
  </si>
  <si>
    <t xml:space="preserve">      (2) Cột 8 không chi tiết từng năm</t>
  </si>
  <si>
    <t xml:space="preserve">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</si>
  <si>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 xml:space="preserve">(1) Năm đầu thời kỳ ổn định ngân sách, dự toán chi đầu tư phát triển ngân sách địa phương được xác định bằng định mức phân bổ chi đầu tư phát triển do </t>
    </r>
  </si>
  <si>
    <t xml:space="preserve">             Ủy ban thường vụ Quốc hội quyết định cộng với (+) số bội chi ngân sách địa phương (nếu có) hoặc trừ đi (-) số bội thu ngân sách địa phương và chi trả nợ lãi (nếu có).</t>
  </si>
  <si>
    <t xml:space="preserve">        (2) Năm N là năm dự toán ngân sách; theo đó, các năm N-1, N+1 và N+2 là năm trước, năm sau và năm sau nữa của năm dự toán ngân sách.</t>
  </si>
  <si>
    <t xml:space="preserve">                   (2) Năm đầu thời kỳ ổn định ngân sách, dự toán chi đầu tư phát triển ngân sách địa phương được xác định bằng định mức phân bổ chi đầu tư phát triển do </t>
  </si>
  <si>
    <t xml:space="preserve">                        Ủy ban thường vụ Quốc hội quyết định cộng với (+) số bội chi ngân sách địa phương (nếu có) hoặc trừ đi (-) số bội thu ngân sách địa phương và chi trả nợ lãi (nếu có).</t>
  </si>
  <si>
    <r>
      <rPr>
        <b/>
        <i/>
        <sz val="14"/>
        <rFont val="Times New Roman"/>
        <family val="1"/>
      </rPr>
      <t>Ghi chú</t>
    </r>
    <r>
      <rPr>
        <i/>
        <sz val="10"/>
        <rFont val="Times New Roman"/>
        <family val="1"/>
      </rPr>
      <t>:</t>
    </r>
    <r>
      <rPr>
        <i/>
        <sz val="12"/>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</si>
  <si>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Tỷ lệ mức dư nợ đầu kỳ (năm) so với GRDP (%)</t>
  </si>
  <si>
    <t>Tỷ lệ mức dư nợ cuối kỳ (năm) so với GRDP (%)</t>
  </si>
  <si>
    <t>QUYẾT TOÁN CÂN ĐỐI NGÂN SÁCH ĐỊA PHƯƠNG NĂM 2018</t>
  </si>
  <si>
    <t>(Ban hành kèm theo Báo cáo số             /BC-UBND ngày      tháng    năm 2019 của Ủy ban nhân dân tỉnh)</t>
  </si>
  <si>
    <t>Tương đối (%)</t>
  </si>
  <si>
    <t>Dự toán 2018</t>
  </si>
  <si>
    <t>Quyết toán 2018</t>
  </si>
  <si>
    <t>QUYẾT TOÁN NGUỒN THU NGÂN SÁCH NHÀ NƯỚC TRÊN ĐỊA BÀN THEO LĨNH VỰC NĂM 2018</t>
  </si>
  <si>
    <t>Tổng thu NSNN</t>
  </si>
  <si>
    <t>Thu NSĐP</t>
  </si>
  <si>
    <t>Thu huy động, đóng góp</t>
  </si>
  <si>
    <t>Thu từ khu vực DNNN do trung ương quản lý</t>
  </si>
  <si>
    <t>Thu từ khu vực DNNN do địa phương quản lý</t>
  </si>
  <si>
    <t>Thu từ khu vực doanh nghiệp có vốn đầu tư nước ngoài</t>
  </si>
  <si>
    <t>Thu từ khu vực kinh tế ngoài quốc doanh</t>
  </si>
  <si>
    <t>Thu hồi vốn, thu cổ tức</t>
  </si>
  <si>
    <t>Lợi nhuận được chia của Nhà nước và lợi nhuận sau thuế còn lại sau khi trích lập 
các quỹ của doanh nghiệp nhà nước</t>
  </si>
  <si>
    <t>Chênh lệch thu chi Ngân hàng Nhà nước</t>
  </si>
  <si>
    <t>Thuế thu nhập doanh nghiệp</t>
  </si>
  <si>
    <t>Thuế tài nguyên</t>
  </si>
  <si>
    <t>Thu từ khí thiên nhiên, khí than theo hiệp định, hợp đồng</t>
  </si>
  <si>
    <t xml:space="preserve"> - </t>
  </si>
  <si>
    <t>Thuế giá trị gia tăng</t>
  </si>
  <si>
    <t>Thu từ thu nhập sau thuế</t>
  </si>
  <si>
    <t>Thuế tiêu thụ đặc biệt</t>
  </si>
  <si>
    <t>QUYẾT TOÁN CHI NGÂN SÁCH ĐỊA PHƯƠNG THEO LĨNH VỰC NĂM 2018</t>
  </si>
  <si>
    <t>CTMTQG nông thôn mới</t>
  </si>
  <si>
    <t>CTMTQG giảm nghèo bền vững</t>
  </si>
  <si>
    <t>Bổ sung mục tiêu chi đầu tư phát triển</t>
  </si>
  <si>
    <t>Bổ sung mục tiêu chi thường xuyên</t>
  </si>
  <si>
    <t>2.1</t>
  </si>
  <si>
    <t>Dự án Hỗ trợ nông nghiệp Carbon thấp</t>
  </si>
  <si>
    <t>Dự án Thích ứng biến đổi khí hậu vùng đồng bằng sông Cửu Long</t>
  </si>
  <si>
    <t>Chương trình hỗ trợ chính sách ngành y tế giai đoạn 2</t>
  </si>
  <si>
    <t>2.2</t>
  </si>
  <si>
    <t>Chính sách trợ giúp pháp lý theo QĐ 32/2016/QĐ-TTg</t>
  </si>
  <si>
    <t>2.3</t>
  </si>
  <si>
    <t>2.5</t>
  </si>
  <si>
    <t>Hỗ trợ chi phí học tập và miễn giảm học phí</t>
  </si>
  <si>
    <t>2.6</t>
  </si>
  <si>
    <t>Hỗ trợ học sinh và trường phổ thông ở xã, thôn đặc biệt khó khăn</t>
  </si>
  <si>
    <t>2.7</t>
  </si>
  <si>
    <t>Hỗ trợ kinh phí ăn trưa trẻ 3-5 tuổi; Chính sách ưu tiên học sinh mẫu giáo học sinh dân tộc ít người</t>
  </si>
  <si>
    <t>2.8</t>
  </si>
  <si>
    <t>Hỗ trợ kinh phí đào tạo cán bộ quân sự cấp xã</t>
  </si>
  <si>
    <t>2.9</t>
  </si>
  <si>
    <t>Hỗ trợ kinh phí mua thẻ BHYT người nghèo, người sống ở vùng kinh tế xã hội ĐBKK, người dân tôc thiểu số sống ở vùng KT-XH khó khăn</t>
  </si>
  <si>
    <t>2.10</t>
  </si>
  <si>
    <t>Hỗ trợ kinh phí mua thẻ BHYT cho trẻ em dưới 6 tuổi</t>
  </si>
  <si>
    <t>2.11</t>
  </si>
  <si>
    <t>Hỗ trợ kinh phí mua thẻ BHYT cho các đối tượng (cựu chiến binh, TNXP, BTXH, HSSV, hộ cận nghèo, hộ nông lâm ngu nghiệp có mức sống trung bình, người hiến bộ phận cơ thể người)</t>
  </si>
  <si>
    <t>2.12</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</si>
  <si>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</si>
  <si>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2.13</t>
  </si>
  <si>
    <t>Bổ sung kinh phí thực hiện nhiệm vụ bảo đảm trật tự an toàn giao thông</t>
  </si>
  <si>
    <t>2.14</t>
  </si>
  <si>
    <t>Dự án hoàn thiện, hiện đại hoá hồ sơ, bản đồ địa giới hành chính và xây dựng cơ sở dữ liệu địa giới hành chính</t>
  </si>
  <si>
    <t>2.15</t>
  </si>
  <si>
    <t>CTMT Giáo dục nghề nghiệp - việc làm và an toàn lao động</t>
  </si>
  <si>
    <t>2.16</t>
  </si>
  <si>
    <t>CTMT Phát triển hệ thống trợ giúp xã hội</t>
  </si>
  <si>
    <t>2.17</t>
  </si>
  <si>
    <t>CTMT Y tế, dân số</t>
  </si>
  <si>
    <t>2.18</t>
  </si>
  <si>
    <t>CTMT Đảm bảo trật tự ATGT, phòng cháy chữa cháy, phòng chống tội phạm và ma tuý</t>
  </si>
  <si>
    <t>2.19</t>
  </si>
  <si>
    <t>CTMT Phát triền lâm nghiệp bền vững</t>
  </si>
  <si>
    <t>2.20</t>
  </si>
  <si>
    <t>CTMT Phát triẻn văn hoá</t>
  </si>
  <si>
    <t>2.21</t>
  </si>
  <si>
    <t>CTMT Tái cơ cấu kinh tế nông nghiệp và phòng chống giảm nhẹ thiên tai, ổn định đời sống dân cư</t>
  </si>
  <si>
    <t>QUYẾT TOÁN CHI NGÂN SÁCH CẤP TỈNH THEO LĨNH VỰC NĂM 2018</t>
  </si>
  <si>
    <t>CHI BỔ SUNG CÂN ĐỐI CHO NGÂN SÁCH CẤP DƯỚI</t>
  </si>
  <si>
    <t>QUYẾT TOÁN CHI NGÂN SÁCH ĐỊA PHƯƠNG, CHI NGÂN SÁCH CẤP TỈNH</t>
  </si>
  <si>
    <t>VÀ CHI NGÂN SÁCH HUYỆN THEO CƠ CẤU CHI NĂM 2018</t>
  </si>
  <si>
    <t>Ngân sách cấp tỉnh</t>
  </si>
  <si>
    <t>Ngân sách địa phương</t>
  </si>
  <si>
    <r>
      <t>1=Σ2</t>
    </r>
    <r>
      <rPr>
        <b/>
        <sz val="13"/>
        <rFont val="Calibri"/>
        <family val="2"/>
      </rPr>
      <t>→</t>
    </r>
    <r>
      <rPr>
        <b/>
        <sz val="13"/>
        <rFont val="Times New Roman"/>
        <family val="1"/>
      </rPr>
      <t>8</t>
    </r>
  </si>
  <si>
    <r>
      <t>9=Σ10</t>
    </r>
    <r>
      <rPr>
        <b/>
        <sz val="13"/>
        <rFont val="Calibri"/>
        <family val="2"/>
      </rPr>
      <t>→</t>
    </r>
    <r>
      <rPr>
        <b/>
        <sz val="13"/>
        <rFont val="Times New Roman"/>
        <family val="1"/>
      </rPr>
      <t>17</t>
    </r>
  </si>
  <si>
    <t>18=9/1</t>
  </si>
  <si>
    <t>19=10/2</t>
  </si>
  <si>
    <t>20=11/3</t>
  </si>
  <si>
    <t>21=12/4</t>
  </si>
  <si>
    <t>22=13/5</t>
  </si>
  <si>
    <t>23=14/6</t>
  </si>
  <si>
    <t>24=15/7</t>
  </si>
  <si>
    <t>25=16/8</t>
  </si>
  <si>
    <t>CHI BỔ SUNG CÓ MỤC TIÊU CHO NGÂN SÁCH CẤP DƯỚI</t>
  </si>
  <si>
    <t>CHI TRẢ NỢ LÃI DO CHÍNH QUYỀN ĐỊA PHƯƠNG VAY</t>
  </si>
  <si>
    <t>QUYẾT TOÁN CHI NGÂN SÁCH ĐỊA PHƯƠNG TỪNG HUYỆN NĂM 2018</t>
  </si>
  <si>
    <t>Chi giáo dục, đào tạo và dạy nghề</t>
  </si>
  <si>
    <t>Tổng cộng</t>
  </si>
  <si>
    <t>1=2+5+8+11</t>
  </si>
  <si>
    <t>12=13+16+19+22</t>
  </si>
  <si>
    <t>23=12/1</t>
  </si>
  <si>
    <t>24=13/2</t>
  </si>
  <si>
    <t>25=14/3</t>
  </si>
  <si>
    <t>26=15/4</t>
  </si>
  <si>
    <t>27=16/5</t>
  </si>
  <si>
    <t>28=17/6</t>
  </si>
  <si>
    <t>29=18/7</t>
  </si>
  <si>
    <t>30=19/8</t>
  </si>
  <si>
    <t>31=20/9</t>
  </si>
  <si>
    <t>32=21/10</t>
  </si>
  <si>
    <t>33=22/11</t>
  </si>
  <si>
    <t>Thành phố Bến Tre</t>
  </si>
  <si>
    <t>Huyện Châu Thành</t>
  </si>
  <si>
    <t>Huyện Giồng Trôm</t>
  </si>
  <si>
    <t>Huyện Mỏ Cày Nam</t>
  </si>
  <si>
    <t>Huyện Mỏ Cày Bắc</t>
  </si>
  <si>
    <t>Huyện Chợ Lách</t>
  </si>
  <si>
    <t>Huyện Thạnh Phú</t>
  </si>
  <si>
    <t>Huyện Ba Tri</t>
  </si>
  <si>
    <t>Huyện Bình Đại</t>
  </si>
  <si>
    <t>QUYẾT TOÁN CHI BỔ SUNG TỪ NGÂN SÁCH CẤP TỈNH CHO NGÂN SÁCH TỪNG HUYỆN NĂM 2018</t>
  </si>
  <si>
    <t>9=10+11</t>
  </si>
  <si>
    <t>QUYẾT TOÁN CHI CHƯƠNG TRÌNH MỤC TIÊU QUỐC GIA NĂM 2018</t>
  </si>
  <si>
    <t>Chương trình mục tiêu quốc gia nông thôn mới</t>
  </si>
  <si>
    <t>Chương trình mục tiêu quốc gia giảm nghèo bền vững</t>
  </si>
  <si>
    <t>Đơn vị: Triệu đồng.</t>
  </si>
  <si>
    <t>35=18/1</t>
  </si>
  <si>
    <t>36=19/2</t>
  </si>
  <si>
    <t>37=20/3</t>
  </si>
  <si>
    <t>38=21/4</t>
  </si>
  <si>
    <t>39=22/5</t>
  </si>
  <si>
    <t>40=23/6</t>
  </si>
  <si>
    <t>41=24/7</t>
  </si>
  <si>
    <t>42=25/8</t>
  </si>
  <si>
    <t>43=26/9</t>
  </si>
  <si>
    <t>44=27/10</t>
  </si>
  <si>
    <t>45=28/11</t>
  </si>
  <si>
    <t>46=29/12</t>
  </si>
  <si>
    <t>47=30/13</t>
  </si>
  <si>
    <t>48=31/14</t>
  </si>
  <si>
    <t>49=32/15</t>
  </si>
  <si>
    <t>50=32/16</t>
  </si>
  <si>
    <t>51=33/17</t>
  </si>
  <si>
    <t>ỦY BAN NHÂN DÂN</t>
  </si>
  <si>
    <t xml:space="preserve">Thuế giá trị gia tăng </t>
  </si>
  <si>
    <t xml:space="preserve">Thuế thu nhập doanh nghiệp </t>
  </si>
  <si>
    <t xml:space="preserve">Thuế tiêu thụ đặc biệt </t>
  </si>
  <si>
    <t>Thu tiền cấp quyền khai thác khoáng sản, vùng trời, vùng biển</t>
  </si>
  <si>
    <t>Hỗ trợ các Hội văn học nghệ thuật và Hội nhà báo địa phương; mua thiết bị chiếu phim và ô tô chuyên dụng</t>
  </si>
  <si>
    <t>Hỗ trợ thực hiện các chính sách đối với đối tượng BTXH; hỗ trợ tiền điện hộ nghèo, hộ chính sách xã hội, trợ giá trực tiếp cho người dân tộc thiểu số nghèo ở vùng khó khăn; hỗ trợ chính sách đối với người có uy tín trong cộng đồng dân tộc thiểu số; hỗ trợ tổ chức, đơn vị sử dụng lao động là người dân tộc thiểu số...</t>
  </si>
  <si>
    <t>Chi trả nợ lãi do chính quyền địa phương vay</t>
  </si>
  <si>
    <t>Văn phòng Hội đồng nhân dân</t>
  </si>
  <si>
    <t>Văn phòng Ủy ban nhân dân</t>
  </si>
  <si>
    <t>QUYẾT TOÁN CHI NGÂN SÁCH CẤP TỈNH CHO TỪNG CƠ QUAN, TỔ CHỨC THEO LĨNH VỰC NĂM 2018</t>
  </si>
  <si>
    <t>Sở Nông nghiệp và Phát triển nông thôn</t>
  </si>
  <si>
    <t>Sở Kế hoạch và Đầu tư</t>
  </si>
  <si>
    <t>Dự toán đầu năm</t>
  </si>
  <si>
    <t>Sở Tư pháp</t>
  </si>
  <si>
    <t>Sở Công thương</t>
  </si>
  <si>
    <t>Sở Khoa học và Công nghệ</t>
  </si>
  <si>
    <t>Sở Tài chính</t>
  </si>
  <si>
    <t>Sở Xây dựng</t>
  </si>
  <si>
    <t>Sở Giao thông Vận tải</t>
  </si>
  <si>
    <t>Sở Giáo dục và Đào tạo</t>
  </si>
  <si>
    <t>Sở Y tế</t>
  </si>
  <si>
    <t>Sở Lao động - Thương binh và Xã hội</t>
  </si>
  <si>
    <t>Sở Văn hóa, Thể thao và Du lịch</t>
  </si>
  <si>
    <t>Sở Tài nguyên và Môi trường</t>
  </si>
  <si>
    <t>Sở Thông tin và Truyền thông</t>
  </si>
  <si>
    <t>Sở Nội vụ</t>
  </si>
  <si>
    <t>Thanh tra tinh</t>
  </si>
  <si>
    <t>Đài Truyền hình</t>
  </si>
  <si>
    <t>Liên minh các hợp tác xã</t>
  </si>
  <si>
    <t>Ban quản lý các khu công nghiệp</t>
  </si>
  <si>
    <t>Văn phòng Tỉnh ủy</t>
  </si>
  <si>
    <t>Ủy ban Mặt trận tổ quốc tỉnh</t>
  </si>
  <si>
    <t>Tỉnh Đoàn thanh niên Cộng sản Hồ Chí Minh</t>
  </si>
  <si>
    <t>Hội Liên hiệp phụ nữ tỉnh</t>
  </si>
  <si>
    <t>Hội Nông dân tỉnh</t>
  </si>
  <si>
    <t>Hội Cựu chiến binh tỉnh</t>
  </si>
  <si>
    <t>Liên hiệp các hội khoa học và kỹ thuật</t>
  </si>
  <si>
    <t>Liên hiệp các tổ chức hữu nghị</t>
  </si>
  <si>
    <t>Hội nhà báo</t>
  </si>
  <si>
    <t>Hội Luật gia</t>
  </si>
  <si>
    <t>Hội Chữ thập đỏ</t>
  </si>
  <si>
    <t>Hội Người cao tuổi</t>
  </si>
  <si>
    <t>Hội người mù</t>
  </si>
  <si>
    <t>Hội Đông y</t>
  </si>
  <si>
    <t>Hội Cựu thanh niên xung phong</t>
  </si>
  <si>
    <t>Hội Nạn nhân chất độc da cam/dioxin</t>
  </si>
  <si>
    <t>Hội Khuyên học</t>
  </si>
  <si>
    <t>Ban An toàn giao thông tỉnh Bến Tre</t>
  </si>
  <si>
    <t>Hội Văn học Nghệ thuật Nguyễn Đình Chiểu</t>
  </si>
  <si>
    <t>Hội Sinh vật cảnh tỉnh</t>
  </si>
  <si>
    <t>Hội Cựu giáo chức tỉnh</t>
  </si>
  <si>
    <t>Hội Bảo vệ quyền lợi Người tiêu dùng Bến Tre</t>
  </si>
  <si>
    <t>Hiệp hội dừa Bến Tre</t>
  </si>
  <si>
    <t>Ban Điều phối DA Tích ứng với biến đổi khí hậu vùng đồng bằng Sông Cửu Long</t>
  </si>
  <si>
    <t>BQL Dự án ĐTXD các công trình nông nghiệp và phát triền nông thôn tỉnh Bến Tre</t>
  </si>
  <si>
    <t>Hội Chiến sĩ cách mạng Việt Nam bi địch bắt tù đày</t>
  </si>
  <si>
    <t>BQL Dự án ĐTXD các công trình dân dụng và công nghiệp tỉnh Bến Tre</t>
  </si>
  <si>
    <t>Công an tỉnh</t>
  </si>
  <si>
    <t>Bộ chỉ huy Quân sự tỉnh</t>
  </si>
  <si>
    <t>Bộ Chỉ huy Bộ đội Biên phòng tỉnh</t>
  </si>
  <si>
    <t>Các quan hệ ngân sách khác</t>
  </si>
  <si>
    <t>CHI BỔ SUNG  QUỸ DỰ TRỮ TÀI CHÍNH</t>
  </si>
  <si>
    <t>Bảo hiểm xã hội tỉnh Bến Tre</t>
  </si>
  <si>
    <t>Trường Chính trị</t>
  </si>
  <si>
    <t>Quỹ bảo tri đường bộ tỉnh Bến Tre</t>
  </si>
  <si>
    <t>BQL Dự án ĐTXD các công trình giao thông</t>
  </si>
  <si>
    <t>Ban QLDA Phát triển hạ tầng các khu công nghiệp</t>
  </si>
  <si>
    <t>Công ty Cổ phần Cấp thoát nước tỉnh</t>
  </si>
  <si>
    <t>Ngân hàng chính sách xã hội - Chi nhành tỉnh Bến Tre</t>
  </si>
  <si>
    <t>Cty TNHH 1 TV Khai thác Công trình Thủy lợi Bến Tre</t>
  </si>
  <si>
    <t xml:space="preserve">    TỈNH BẾN TRE</t>
  </si>
  <si>
    <t>Biểu mẫu số 54</t>
  </si>
  <si>
    <t>Khác</t>
  </si>
  <si>
    <t>Thu viện trợ, đóng góp</t>
  </si>
  <si>
    <t>*</t>
  </si>
  <si>
    <t>Bội thu dành trả nợ gốc</t>
  </si>
  <si>
    <t>Tổng nguồn thu NSĐP sau khi dành trả nợ gốc</t>
  </si>
  <si>
    <t>PHỤ LỤC I</t>
  </si>
  <si>
    <t>PHỤ LỤC II</t>
  </si>
  <si>
    <t>PHỤ LỤC III</t>
  </si>
  <si>
    <t>PHỤ LỤC IV</t>
  </si>
  <si>
    <t>PHỤ LỤC V</t>
  </si>
  <si>
    <t>PHỤ LỤC VI</t>
  </si>
  <si>
    <t>PHỤ LỤC VII</t>
  </si>
  <si>
    <t>PHỤ LỤC VIII</t>
  </si>
  <si>
    <t>(Theo Biểu mẫu số 48 - Nghị định 31/2017/NĐ-CP)</t>
  </si>
  <si>
    <t>(Theo Biểu mẫu số 50 - Nghị định 31/2017/NĐ-CP)</t>
  </si>
  <si>
    <t>(Theo Biểu mẫu số 51 - Nghị định 31/2017/NĐ-CP)</t>
  </si>
  <si>
    <t>(Theo Biểu mẫu số 52 - Nghị định 31/2017/NĐ-CP)</t>
  </si>
  <si>
    <t>(Theo Biểu mẫu số 53 - Nghị định 31/2017/NĐ-CP)</t>
  </si>
  <si>
    <t>(Theo Biểu mẫu số 54 - Nghị định 31/2017/NĐ-CP)</t>
  </si>
  <si>
    <t>(Theo Biểu mẫu số 58 - Nghị định 31/2017/NĐ-CP)</t>
  </si>
  <si>
    <t>(Theo Biểu mẫu số 59 - Nghị định 31/2017/NĐ-CP)</t>
  </si>
  <si>
    <t>(Ban hành kèm theo Nghị quyết số             /NQ-HĐND ngày      tháng 12 năm 2019 của Hội đồng nhân dân tỉnh Bến Tre)</t>
  </si>
  <si>
    <t xml:space="preserve">   TỈNH BẾN TRE</t>
  </si>
  <si>
    <t>Biểu số 68/CK-NSNN</t>
  </si>
  <si>
    <t>(Kèm theo Quyết định số 3010/QĐ-UBND ngày 31 tháng 12 năm 2019 của Ủy ban nhân dân tỉnh)</t>
  </si>
</sst>
</file>

<file path=xl/styles.xml><?xml version="1.0" encoding="utf-8"?>
<styleSheet xmlns="http://schemas.openxmlformats.org/spreadsheetml/2006/main">
  <numFmts count="16">
    <numFmt numFmtId="41" formatCode="_(* #,##0_);_(* \(#,##0\);_(* &quot;-&quot;_);_(@_)"/>
    <numFmt numFmtId="43" formatCode="_(* #,##0.00_);_(* \(#,##0.00\);_(* &quot;-&quot;??_);_(@_)"/>
    <numFmt numFmtId="164" formatCode="_-* #,##0_-;\-* #,##0_-;_-* &quot;-&quot;_-;_-@_-"/>
    <numFmt numFmtId="165" formatCode="#,##0.0"/>
    <numFmt numFmtId="166" formatCode="#,###;\-#,###;&quot;&quot;;_(@_)"/>
    <numFmt numFmtId="167" formatCode="###,###"/>
    <numFmt numFmtId="168" formatCode="&quot;$&quot;#,##0;\-&quot;$&quot;#,##0"/>
    <numFmt numFmtId="169" formatCode="_(* #,##0_);_(* \(#,##0\);_(* &quot;-&quot;??_);_(@_)"/>
    <numFmt numFmtId="170" formatCode="_-* #,##0_-;\-* #,##0_-;_-* &quot;-&quot;_-;_-@"/>
    <numFmt numFmtId="171" formatCode="_(* #,##0.000000_);_(* \(#,##0.000000\);_(* &quot;-&quot;??????_);_(@_)"/>
    <numFmt numFmtId="172" formatCode="_(* #,##0.00_);_(* \(#,##0.00\);_(* &quot;-&quot;_);_(@_)"/>
    <numFmt numFmtId="173" formatCode="_(* #,##0.000000_);_(* \(#,##0.000000\);_(* &quot;-&quot;??_);_(@_)"/>
    <numFmt numFmtId="174" formatCode="0.000000"/>
    <numFmt numFmtId="175" formatCode="_-* #,##0.000000_-;\-* #,##0.000000_-;_-* &quot;-&quot;_-;_-@_-"/>
    <numFmt numFmtId="176" formatCode="_-* #,##0.0_-;\-* #,##0.0_-;_-* &quot;-&quot;_-;_-@_-"/>
    <numFmt numFmtId="177" formatCode="_(* #,##0.0_);_(* \(#,##0.0\);_(* &quot;-&quot;_);_(@_)"/>
  </numFmts>
  <fonts count="91">
    <font>
      <sz val="12"/>
      <name val=".VnTime"/>
    </font>
    <font>
      <sz val="12"/>
      <name val=".VnTime"/>
      <family val="2"/>
    </font>
    <font>
      <b/>
      <sz val="12"/>
      <name val="Times New Roman"/>
      <family val="1"/>
    </font>
    <font>
      <sz val="12"/>
      <name val="Times New Roman"/>
      <family val="1"/>
    </font>
    <font>
      <b/>
      <sz val="14"/>
      <name val="Times New Roman"/>
      <family val="1"/>
    </font>
    <font>
      <sz val="16"/>
      <name val="Times New Roman"/>
      <family val="1"/>
    </font>
    <font>
      <i/>
      <sz val="14"/>
      <name val="Times New Roman"/>
      <family val="1"/>
    </font>
    <font>
      <sz val="14"/>
      <name val="Times New Roman"/>
      <family val="1"/>
    </font>
    <font>
      <b/>
      <sz val="13"/>
      <name val="Times New Roman"/>
      <family val="1"/>
    </font>
    <font>
      <sz val="13"/>
      <name val="Times New Roman"/>
      <family val="1"/>
    </font>
    <font>
      <b/>
      <u/>
      <sz val="14"/>
      <name val="Times New Roman"/>
      <family val="1"/>
    </font>
    <font>
      <b/>
      <sz val="11"/>
      <name val="Times New Roman"/>
      <family val="1"/>
    </font>
    <font>
      <b/>
      <sz val="14"/>
      <name val="Times New Romanh"/>
    </font>
    <font>
      <b/>
      <sz val="10"/>
      <name val="Times New Roman"/>
      <family val="1"/>
    </font>
    <font>
      <b/>
      <sz val="14"/>
      <name val="Times New Roman h"/>
    </font>
    <font>
      <b/>
      <i/>
      <sz val="11"/>
      <name val="Times New Roman"/>
      <family val="1"/>
    </font>
    <font>
      <b/>
      <sz val="8"/>
      <name val="Times New Roman"/>
      <family val="1"/>
    </font>
    <font>
      <sz val="12"/>
      <name val=".VnArial Narrow"/>
      <family val="2"/>
    </font>
    <font>
      <i/>
      <sz val="12"/>
      <name val="Times New Roman"/>
      <family val="1"/>
    </font>
    <font>
      <sz val="13"/>
      <name val=".VnTime"/>
      <family val="2"/>
    </font>
    <font>
      <sz val="10"/>
      <name val="Times New Roman"/>
      <family val="1"/>
    </font>
    <font>
      <b/>
      <sz val="12"/>
      <name val="Times New Roman"/>
      <family val="1"/>
      <charset val="163"/>
    </font>
    <font>
      <i/>
      <sz val="10"/>
      <name val="Times New Roman"/>
      <family val="1"/>
    </font>
    <font>
      <b/>
      <sz val="14"/>
      <name val="Times New Roman"/>
      <family val="1"/>
      <charset val="163"/>
    </font>
    <font>
      <sz val="14"/>
      <name val=".VnTime"/>
      <family val="2"/>
    </font>
    <font>
      <i/>
      <sz val="13"/>
      <name val="Times New Roman"/>
      <family val="1"/>
    </font>
    <font>
      <b/>
      <i/>
      <sz val="13"/>
      <name val="Times New Roman"/>
      <family val="1"/>
    </font>
    <font>
      <sz val="9"/>
      <name val="Arial"/>
      <family val="2"/>
    </font>
    <font>
      <b/>
      <i/>
      <sz val="14"/>
      <name val="Times New Roman"/>
      <family val="1"/>
    </font>
    <font>
      <i/>
      <sz val="13"/>
      <name val="Times New Roman"/>
      <family val="1"/>
      <charset val="163"/>
    </font>
    <font>
      <sz val="10"/>
      <name val=".VnArial"/>
      <family val="2"/>
    </font>
    <font>
      <sz val="15"/>
      <name val="Times New Roman"/>
      <family val="1"/>
    </font>
    <font>
      <sz val="14"/>
      <name val="Arial"/>
      <family val="2"/>
    </font>
    <font>
      <b/>
      <sz val="14"/>
      <name val="Arial"/>
      <family val="2"/>
    </font>
    <font>
      <b/>
      <sz val="12"/>
      <name val="Arial"/>
      <family val="2"/>
    </font>
    <font>
      <b/>
      <sz val="12"/>
      <color indexed="36"/>
      <name val="Times New Roman"/>
      <family val="1"/>
    </font>
    <font>
      <b/>
      <sz val="12"/>
      <color indexed="36"/>
      <name val="Arial"/>
      <family val="2"/>
    </font>
    <font>
      <sz val="12"/>
      <color indexed="36"/>
      <name val="Times New Roman"/>
      <family val="1"/>
    </font>
    <font>
      <sz val="12"/>
      <name val="Arial"/>
      <family val="2"/>
    </font>
    <font>
      <sz val="10"/>
      <name val="Arial"/>
      <family val="2"/>
    </font>
    <font>
      <i/>
      <sz val="18"/>
      <name val="Times New Roman"/>
      <family val="1"/>
    </font>
    <font>
      <sz val="18"/>
      <name val="Times New Roman"/>
      <family val="1"/>
    </font>
    <font>
      <b/>
      <i/>
      <sz val="18"/>
      <color indexed="8"/>
      <name val="Times New Roman"/>
      <family val="1"/>
    </font>
    <font>
      <sz val="18"/>
      <color indexed="9"/>
      <name val="Times New Roman"/>
      <family val="1"/>
    </font>
    <font>
      <i/>
      <sz val="24"/>
      <name val="Times New Roman"/>
      <family val="1"/>
    </font>
    <font>
      <sz val="24"/>
      <name val="Times New Roman"/>
      <family val="1"/>
    </font>
    <font>
      <sz val="24"/>
      <color indexed="9"/>
      <name val="Times New Roman"/>
      <family val="1"/>
    </font>
    <font>
      <b/>
      <sz val="11"/>
      <name val="Arial"/>
      <family val="2"/>
    </font>
    <font>
      <b/>
      <u/>
      <sz val="12"/>
      <name val="Times New Roman"/>
      <family val="1"/>
    </font>
    <font>
      <b/>
      <i/>
      <u/>
      <sz val="12"/>
      <name val="Times New Roman"/>
      <family val="1"/>
    </font>
    <font>
      <sz val="13"/>
      <name val="VnTime"/>
    </font>
    <font>
      <sz val="12"/>
      <name val="Times New Roman"/>
      <family val="1"/>
      <charset val="163"/>
    </font>
    <font>
      <b/>
      <sz val="14"/>
      <name val=".VnTime"/>
      <family val="2"/>
    </font>
    <font>
      <b/>
      <sz val="12"/>
      <name val=".VnTime"/>
      <family val="2"/>
    </font>
    <font>
      <b/>
      <i/>
      <sz val="12"/>
      <name val="Times New Roman"/>
      <family val="1"/>
    </font>
    <font>
      <i/>
      <sz val="11"/>
      <name val="Times New Roman"/>
      <family val="1"/>
    </font>
    <font>
      <sz val="13"/>
      <name val=".VnTime"/>
      <family val="2"/>
    </font>
    <font>
      <b/>
      <sz val="15"/>
      <name val="Times New Roman"/>
      <family val="1"/>
    </font>
    <font>
      <b/>
      <sz val="13"/>
      <name val="Calibri"/>
      <family val="2"/>
    </font>
    <font>
      <b/>
      <sz val="16"/>
      <name val="Times New Roman"/>
      <family val="1"/>
    </font>
    <font>
      <i/>
      <sz val="15"/>
      <name val="Times New Roman"/>
      <family val="1"/>
    </font>
    <font>
      <sz val="11"/>
      <color theme="1"/>
      <name val="Calibri"/>
      <family val="2"/>
      <scheme val="minor"/>
    </font>
    <font>
      <sz val="12"/>
      <color theme="1"/>
      <name val="Times New Roman"/>
      <family val="2"/>
    </font>
    <font>
      <sz val="11"/>
      <color theme="1"/>
      <name val="Calibri"/>
      <family val="2"/>
      <charset val="163"/>
      <scheme val="minor"/>
    </font>
    <font>
      <b/>
      <sz val="12"/>
      <color rgb="FFC00000"/>
      <name val="Times New Roman"/>
      <family val="1"/>
    </font>
    <font>
      <sz val="12"/>
      <color rgb="FFC00000"/>
      <name val="Times New Roman"/>
      <family val="1"/>
    </font>
    <font>
      <sz val="12"/>
      <color rgb="FFFF0000"/>
      <name val="Times New Roman"/>
      <family val="1"/>
    </font>
    <font>
      <b/>
      <sz val="13"/>
      <color theme="0"/>
      <name val="Times New Roman"/>
      <family val="1"/>
    </font>
    <font>
      <sz val="14"/>
      <color theme="1"/>
      <name val="Times New Roman"/>
      <family val="2"/>
    </font>
    <font>
      <b/>
      <sz val="12"/>
      <color theme="1"/>
      <name val="Times New Roman"/>
      <family val="2"/>
    </font>
    <font>
      <b/>
      <sz val="12"/>
      <color theme="1"/>
      <name val="Times New Roman"/>
      <family val="1"/>
      <charset val="163"/>
    </font>
    <font>
      <sz val="12"/>
      <color theme="1"/>
      <name val="Times New Roman"/>
      <family val="1"/>
      <charset val="163"/>
    </font>
    <font>
      <b/>
      <sz val="14"/>
      <color theme="1"/>
      <name val="Times New Roman"/>
      <family val="1"/>
      <charset val="163"/>
    </font>
    <font>
      <sz val="14"/>
      <color theme="1"/>
      <name val="Times New Roman"/>
      <family val="1"/>
      <charset val="163"/>
    </font>
    <font>
      <i/>
      <sz val="14"/>
      <color theme="1"/>
      <name val="Times New Roman"/>
      <family val="1"/>
      <charset val="163"/>
    </font>
    <font>
      <i/>
      <sz val="12"/>
      <color theme="1"/>
      <name val="Times New Roman"/>
      <family val="1"/>
      <charset val="163"/>
    </font>
    <font>
      <b/>
      <sz val="11"/>
      <color theme="1"/>
      <name val="Times New Roman"/>
      <family val="1"/>
    </font>
    <font>
      <b/>
      <sz val="12"/>
      <color theme="1"/>
      <name val="Times New Roman"/>
      <family val="1"/>
    </font>
    <font>
      <sz val="12"/>
      <color theme="1"/>
      <name val="Times New Roman"/>
      <family val="1"/>
    </font>
    <font>
      <sz val="14"/>
      <color theme="1"/>
      <name val="Times New Roman"/>
      <family val="1"/>
    </font>
    <font>
      <b/>
      <sz val="13"/>
      <color theme="1"/>
      <name val="Times New Roman"/>
      <family val="2"/>
    </font>
    <font>
      <sz val="13"/>
      <color theme="1"/>
      <name val="Times New Roman"/>
      <family val="2"/>
    </font>
    <font>
      <i/>
      <sz val="12"/>
      <color rgb="FF000000"/>
      <name val="Times New Roman"/>
      <family val="1"/>
    </font>
    <font>
      <sz val="14"/>
      <color rgb="FFFF0000"/>
      <name val="Times New Roman"/>
      <family val="1"/>
    </font>
    <font>
      <i/>
      <sz val="14"/>
      <color rgb="FF000000"/>
      <name val="Times New Roman"/>
      <family val="1"/>
    </font>
    <font>
      <b/>
      <sz val="14"/>
      <color rgb="FFFF0000"/>
      <name val="Times New Roman"/>
      <family val="1"/>
    </font>
    <font>
      <sz val="11.5"/>
      <name val="Times New Roman"/>
      <family val="1"/>
    </font>
    <font>
      <b/>
      <u/>
      <sz val="13"/>
      <name val="Times New Roman"/>
      <family val="1"/>
    </font>
    <font>
      <b/>
      <sz val="20"/>
      <name val="Times New Roman"/>
      <family val="1"/>
    </font>
    <font>
      <i/>
      <sz val="16"/>
      <name val="Times New Roman"/>
      <family val="1"/>
    </font>
    <font>
      <b/>
      <i/>
      <sz val="15"/>
      <name val="Times New Roman"/>
      <family val="1"/>
    </font>
  </fonts>
  <fills count="6">
    <fill>
      <patternFill patternType="none"/>
    </fill>
    <fill>
      <patternFill patternType="gray125"/>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s>
  <borders count="63">
    <border>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indexed="64"/>
      </left>
      <right/>
      <top style="hair">
        <color rgb="FF000000"/>
      </top>
      <bottom/>
      <diagonal/>
    </border>
    <border>
      <left style="thin">
        <color indexed="64"/>
      </left>
      <right style="thin">
        <color indexed="64"/>
      </right>
      <top style="hair">
        <color rgb="FF000000"/>
      </top>
      <bottom/>
      <diagonal/>
    </border>
  </borders>
  <cellStyleXfs count="15">
    <xf numFmtId="0" fontId="0" fillId="0" borderId="0"/>
    <xf numFmtId="43" fontId="1" fillId="0" borderId="0" applyFont="0" applyFill="0" applyBorder="0" applyAlignment="0" applyProtection="0"/>
    <xf numFmtId="41" fontId="1" fillId="0" borderId="0" applyFont="0" applyFill="0" applyBorder="0" applyAlignment="0" applyProtection="0"/>
    <xf numFmtId="168" fontId="27" fillId="0" borderId="0" applyProtection="0"/>
    <xf numFmtId="166" fontId="19" fillId="0" borderId="0" applyFont="0" applyFill="0" applyBorder="0" applyAlignment="0" applyProtection="0"/>
    <xf numFmtId="0" fontId="61" fillId="0" borderId="0"/>
    <xf numFmtId="0" fontId="27" fillId="0" borderId="0"/>
    <xf numFmtId="0" fontId="1" fillId="0" borderId="0"/>
    <xf numFmtId="0" fontId="62" fillId="0" borderId="0"/>
    <xf numFmtId="0" fontId="24" fillId="0" borderId="0" applyProtection="0"/>
    <xf numFmtId="0" fontId="17" fillId="0" borderId="0"/>
    <xf numFmtId="0" fontId="63" fillId="0" borderId="0"/>
    <xf numFmtId="0" fontId="30" fillId="0" borderId="0"/>
    <xf numFmtId="0" fontId="39" fillId="0" borderId="0"/>
    <xf numFmtId="0" fontId="50" fillId="0" borderId="0"/>
  </cellStyleXfs>
  <cellXfs count="1016">
    <xf numFmtId="0" fontId="0" fillId="0" borderId="0" xfId="0"/>
    <xf numFmtId="0" fontId="2"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3" fillId="0" borderId="0" xfId="0" applyFont="1"/>
    <xf numFmtId="0" fontId="4" fillId="0" borderId="0" xfId="0" applyFont="1" applyAlignment="1">
      <alignment horizontal="left"/>
    </xf>
    <xf numFmtId="0" fontId="5" fillId="0" borderId="0" xfId="0" applyFont="1" applyAlignment="1">
      <alignment horizontal="centerContinuous"/>
    </xf>
    <xf numFmtId="0" fontId="4" fillId="0" borderId="0" xfId="0" quotePrefix="1" applyFont="1" applyAlignment="1">
      <alignment horizontal="centerContinuous"/>
    </xf>
    <xf numFmtId="0" fontId="6" fillId="0" borderId="0" xfId="0" applyFont="1" applyAlignment="1">
      <alignment horizontal="left"/>
    </xf>
    <xf numFmtId="0" fontId="7" fillId="0" borderId="0" xfId="0" applyFont="1"/>
    <xf numFmtId="0" fontId="9" fillId="0" borderId="0" xfId="0" applyFont="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10" fillId="0" borderId="1" xfId="0" applyFont="1" applyBorder="1"/>
    <xf numFmtId="3" fontId="7" fillId="0" borderId="2" xfId="0" applyNumberFormat="1" applyFont="1" applyBorder="1"/>
    <xf numFmtId="3" fontId="10" fillId="0" borderId="2" xfId="0" applyNumberFormat="1" applyFont="1" applyBorder="1"/>
    <xf numFmtId="0" fontId="7" fillId="0" borderId="4" xfId="0" applyFont="1" applyBorder="1"/>
    <xf numFmtId="0" fontId="7" fillId="0" borderId="5" xfId="0" applyFont="1" applyBorder="1"/>
    <xf numFmtId="0" fontId="6" fillId="0" borderId="0" xfId="0" applyFont="1"/>
    <xf numFmtId="0" fontId="4" fillId="0" borderId="6" xfId="0" applyFont="1" applyBorder="1" applyAlignment="1">
      <alignment horizontal="left"/>
    </xf>
    <xf numFmtId="0" fontId="4" fillId="0" borderId="7" xfId="0" applyFont="1" applyBorder="1"/>
    <xf numFmtId="0" fontId="7" fillId="0" borderId="8" xfId="0" quotePrefix="1" applyFont="1" applyBorder="1"/>
    <xf numFmtId="0" fontId="7" fillId="0" borderId="9" xfId="0" applyFont="1" applyBorder="1"/>
    <xf numFmtId="0" fontId="4" fillId="0" borderId="8" xfId="0" applyFont="1" applyBorder="1"/>
    <xf numFmtId="0" fontId="10" fillId="0" borderId="9" xfId="0" applyFont="1" applyBorder="1"/>
    <xf numFmtId="0" fontId="7" fillId="0" borderId="2" xfId="0" applyFont="1" applyBorder="1"/>
    <xf numFmtId="0" fontId="7" fillId="0" borderId="1"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7" fillId="0" borderId="1" xfId="0" applyFont="1" applyBorder="1" applyAlignment="1">
      <alignment horizontal="center"/>
    </xf>
    <xf numFmtId="0" fontId="4" fillId="0" borderId="2" xfId="0" applyFont="1" applyBorder="1" applyAlignment="1">
      <alignment horizontal="center" vertical="center" wrapText="1"/>
    </xf>
    <xf numFmtId="0" fontId="4" fillId="0" borderId="0" xfId="0" applyFont="1"/>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3" xfId="0" quotePrefix="1" applyFont="1" applyBorder="1" applyAlignment="1">
      <alignment horizontal="center" vertical="center"/>
    </xf>
    <xf numFmtId="0" fontId="11" fillId="0" borderId="0" xfId="0" applyFont="1" applyAlignment="1">
      <alignment vertical="center"/>
    </xf>
    <xf numFmtId="3" fontId="4" fillId="0" borderId="2" xfId="0" applyNumberFormat="1" applyFont="1" applyBorder="1"/>
    <xf numFmtId="0" fontId="6" fillId="0" borderId="14" xfId="0" applyFont="1" applyBorder="1" applyAlignment="1">
      <alignment horizontal="right"/>
    </xf>
    <xf numFmtId="0" fontId="4" fillId="0" borderId="0" xfId="0" applyFont="1" applyAlignment="1">
      <alignment horizontal="right"/>
    </xf>
    <xf numFmtId="0" fontId="6" fillId="0" borderId="0" xfId="0" applyFont="1" applyBorder="1" applyAlignment="1">
      <alignment horizontal="center"/>
    </xf>
    <xf numFmtId="0" fontId="2" fillId="0" borderId="0" xfId="7" applyFont="1" applyAlignment="1">
      <alignment horizontal="centerContinuous"/>
    </xf>
    <xf numFmtId="0" fontId="3" fillId="0" borderId="0" xfId="7" applyFont="1" applyAlignment="1">
      <alignment horizontal="centerContinuous"/>
    </xf>
    <xf numFmtId="0" fontId="3" fillId="0" borderId="0" xfId="7" applyFont="1"/>
    <xf numFmtId="0" fontId="4" fillId="0" borderId="0" xfId="7" quotePrefix="1" applyFont="1" applyAlignment="1">
      <alignment horizontal="centerContinuous"/>
    </xf>
    <xf numFmtId="0" fontId="6" fillId="0" borderId="0" xfId="7" applyFont="1" applyAlignment="1">
      <alignment horizontal="left"/>
    </xf>
    <xf numFmtId="0" fontId="7" fillId="0" borderId="0" xfId="7" applyFont="1"/>
    <xf numFmtId="0" fontId="9" fillId="0" borderId="0" xfId="7" applyFont="1"/>
    <xf numFmtId="0" fontId="11" fillId="0" borderId="13" xfId="7" applyFont="1" applyBorder="1" applyAlignment="1">
      <alignment horizontal="center" vertical="center"/>
    </xf>
    <xf numFmtId="0" fontId="11" fillId="0" borderId="0" xfId="7" applyFont="1" applyAlignment="1">
      <alignment vertical="center"/>
    </xf>
    <xf numFmtId="0" fontId="6" fillId="0" borderId="0" xfId="7" applyFont="1"/>
    <xf numFmtId="0" fontId="6" fillId="0" borderId="14" xfId="0" applyFont="1" applyBorder="1" applyAlignment="1"/>
    <xf numFmtId="0" fontId="11" fillId="0" borderId="2" xfId="0" applyFont="1" applyBorder="1" applyAlignment="1">
      <alignment horizontal="center" vertical="center"/>
    </xf>
    <xf numFmtId="3" fontId="7" fillId="0" borderId="2" xfId="0" applyNumberFormat="1" applyFont="1" applyBorder="1" applyAlignment="1">
      <alignment horizontal="center"/>
    </xf>
    <xf numFmtId="3" fontId="7" fillId="0" borderId="15" xfId="7" applyNumberFormat="1" applyFont="1" applyBorder="1"/>
    <xf numFmtId="3" fontId="7" fillId="0" borderId="16" xfId="7" applyNumberFormat="1" applyFont="1" applyBorder="1"/>
    <xf numFmtId="3" fontId="10" fillId="0" borderId="17" xfId="7" applyNumberFormat="1" applyFont="1" applyBorder="1"/>
    <xf numFmtId="3" fontId="10" fillId="0" borderId="9" xfId="7" applyNumberFormat="1" applyFont="1" applyBorder="1"/>
    <xf numFmtId="3" fontId="7" fillId="0" borderId="17" xfId="7" applyNumberFormat="1" applyFont="1" applyBorder="1"/>
    <xf numFmtId="3" fontId="7" fillId="0" borderId="18" xfId="7" applyNumberFormat="1" applyFont="1" applyBorder="1"/>
    <xf numFmtId="3" fontId="7" fillId="0" borderId="19" xfId="7" applyNumberFormat="1" applyFont="1" applyBorder="1"/>
    <xf numFmtId="0" fontId="6" fillId="0" borderId="0" xfId="7" applyFont="1" applyBorder="1" applyAlignment="1">
      <alignment horizontal="center"/>
    </xf>
    <xf numFmtId="0" fontId="6" fillId="0" borderId="0" xfId="7" applyFont="1" applyAlignment="1">
      <alignment horizontal="right"/>
    </xf>
    <xf numFmtId="0" fontId="7" fillId="0" borderId="0" xfId="7" applyFont="1" applyAlignment="1">
      <alignment horizontal="center" vertical="center" wrapText="1"/>
    </xf>
    <xf numFmtId="0" fontId="7" fillId="0" borderId="20" xfId="0" quotePrefix="1" applyFont="1" applyBorder="1" applyAlignment="1">
      <alignment horizontal="center"/>
    </xf>
    <xf numFmtId="0" fontId="7" fillId="0" borderId="21" xfId="0" applyFont="1" applyBorder="1"/>
    <xf numFmtId="0" fontId="11" fillId="0" borderId="22" xfId="0" applyFont="1" applyBorder="1" applyAlignment="1">
      <alignment horizontal="center" vertical="center"/>
    </xf>
    <xf numFmtId="0" fontId="4" fillId="0" borderId="1" xfId="0" applyFont="1" applyFill="1" applyBorder="1" applyAlignment="1">
      <alignment horizontal="center"/>
    </xf>
    <xf numFmtId="0" fontId="7" fillId="0" borderId="0" xfId="0" applyFont="1" applyFill="1"/>
    <xf numFmtId="0" fontId="12" fillId="0" borderId="23" xfId="0" applyFont="1" applyBorder="1"/>
    <xf numFmtId="0" fontId="7" fillId="0" borderId="23" xfId="0" applyFont="1" applyBorder="1"/>
    <xf numFmtId="0" fontId="6" fillId="0" borderId="23" xfId="0" applyFont="1" applyBorder="1"/>
    <xf numFmtId="0" fontId="4" fillId="0" borderId="23" xfId="0" applyFont="1" applyBorder="1"/>
    <xf numFmtId="0" fontId="7" fillId="0" borderId="24" xfId="0" applyFont="1" applyBorder="1"/>
    <xf numFmtId="0" fontId="4" fillId="0" borderId="23" xfId="0" applyFont="1" applyFill="1" applyBorder="1"/>
    <xf numFmtId="0" fontId="3" fillId="0" borderId="0" xfId="0" applyFont="1" applyFill="1"/>
    <xf numFmtId="3" fontId="7" fillId="0" borderId="23" xfId="0" applyNumberFormat="1" applyFont="1" applyBorder="1"/>
    <xf numFmtId="0" fontId="10" fillId="0" borderId="0" xfId="0" applyFont="1" applyBorder="1"/>
    <xf numFmtId="0" fontId="4" fillId="0" borderId="1" xfId="0" quotePrefix="1" applyFont="1" applyBorder="1" applyAlignment="1">
      <alignment horizontal="center"/>
    </xf>
    <xf numFmtId="0" fontId="15" fillId="0" borderId="2" xfId="0" applyFont="1" applyBorder="1" applyAlignment="1">
      <alignment horizontal="center" vertical="center"/>
    </xf>
    <xf numFmtId="3" fontId="6" fillId="0" borderId="2" xfId="0" applyNumberFormat="1" applyFont="1" applyBorder="1" applyAlignment="1">
      <alignment horizontal="center"/>
    </xf>
    <xf numFmtId="0" fontId="15" fillId="0" borderId="0" xfId="0" applyFont="1" applyAlignment="1">
      <alignment vertical="center"/>
    </xf>
    <xf numFmtId="0" fontId="4" fillId="0" borderId="0" xfId="0" applyFont="1" applyBorder="1" applyAlignment="1">
      <alignment horizontal="center"/>
    </xf>
    <xf numFmtId="0" fontId="3" fillId="0" borderId="0" xfId="0" applyFont="1" applyAlignment="1">
      <alignment horizontal="right"/>
    </xf>
    <xf numFmtId="0" fontId="7" fillId="0" borderId="0" xfId="0" applyFont="1" applyAlignment="1">
      <alignment horizontal="right"/>
    </xf>
    <xf numFmtId="3" fontId="7" fillId="0" borderId="23" xfId="7" applyNumberFormat="1" applyFont="1" applyBorder="1"/>
    <xf numFmtId="3" fontId="7" fillId="0" borderId="25" xfId="7" applyNumberFormat="1" applyFont="1" applyBorder="1"/>
    <xf numFmtId="0" fontId="7" fillId="0" borderId="0" xfId="0" applyFont="1" applyBorder="1"/>
    <xf numFmtId="0" fontId="6" fillId="0" borderId="14" xfId="0" applyFont="1" applyBorder="1" applyAlignment="1">
      <alignment horizontal="center"/>
    </xf>
    <xf numFmtId="0" fontId="4" fillId="0" borderId="0" xfId="0" applyFont="1" applyAlignment="1">
      <alignment horizontal="center"/>
    </xf>
    <xf numFmtId="0" fontId="4" fillId="0" borderId="26" xfId="0" applyFont="1" applyBorder="1" applyAlignment="1">
      <alignment horizontal="center" vertical="center" wrapText="1"/>
    </xf>
    <xf numFmtId="0" fontId="11" fillId="0" borderId="25" xfId="0" applyFont="1" applyBorder="1" applyAlignment="1">
      <alignment horizontal="center" vertical="center"/>
    </xf>
    <xf numFmtId="0" fontId="11" fillId="0" borderId="27"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28" xfId="0" applyFont="1" applyBorder="1" applyAlignment="1">
      <alignment horizontal="center" vertical="center"/>
    </xf>
    <xf numFmtId="0" fontId="15" fillId="0" borderId="25" xfId="0" applyFont="1" applyBorder="1" applyAlignment="1">
      <alignment horizontal="center" vertical="center"/>
    </xf>
    <xf numFmtId="0" fontId="7" fillId="0" borderId="29" xfId="0" applyFont="1" applyBorder="1"/>
    <xf numFmtId="3" fontId="7" fillId="0" borderId="25" xfId="0" applyNumberFormat="1" applyFont="1" applyBorder="1"/>
    <xf numFmtId="3" fontId="10" fillId="0" borderId="25" xfId="0" applyNumberFormat="1" applyFont="1" applyBorder="1"/>
    <xf numFmtId="3" fontId="4" fillId="0" borderId="25" xfId="0" applyNumberFormat="1" applyFont="1" applyBorder="1"/>
    <xf numFmtId="0" fontId="11" fillId="0" borderId="28" xfId="0" quotePrefix="1" applyFont="1" applyBorder="1" applyAlignment="1">
      <alignment horizontal="center" vertical="center"/>
    </xf>
    <xf numFmtId="0" fontId="7" fillId="0" borderId="23" xfId="0" quotePrefix="1" applyFont="1" applyBorder="1" applyAlignment="1">
      <alignment horizontal="center"/>
    </xf>
    <xf numFmtId="0" fontId="7" fillId="0" borderId="23" xfId="0" applyFont="1" applyBorder="1" applyAlignment="1">
      <alignment horizontal="left" vertical="center" wrapText="1"/>
    </xf>
    <xf numFmtId="0" fontId="18" fillId="0" borderId="0" xfId="0" applyFont="1"/>
    <xf numFmtId="0" fontId="4" fillId="0" borderId="0" xfId="0" applyFont="1" applyAlignment="1"/>
    <xf numFmtId="0" fontId="4" fillId="0" borderId="23" xfId="0" applyFont="1" applyBorder="1" applyAlignment="1">
      <alignment horizontal="center" vertical="center"/>
    </xf>
    <xf numFmtId="0" fontId="4" fillId="0" borderId="10" xfId="0" applyFont="1" applyBorder="1" applyAlignment="1">
      <alignment horizontal="center" vertical="center"/>
    </xf>
    <xf numFmtId="0" fontId="7" fillId="0" borderId="20" xfId="0" quotePrefix="1"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7" fillId="0" borderId="21" xfId="0" applyFont="1" applyBorder="1" applyAlignment="1">
      <alignment vertical="center"/>
    </xf>
    <xf numFmtId="49" fontId="7" fillId="0" borderId="0" xfId="9" applyNumberFormat="1" applyFont="1" applyFill="1" applyBorder="1" applyAlignment="1">
      <alignment vertical="center" wrapText="1"/>
    </xf>
    <xf numFmtId="0" fontId="9" fillId="0" borderId="0" xfId="9" applyNumberFormat="1" applyFont="1" applyFill="1" applyBorder="1" applyAlignment="1">
      <alignment vertical="center" wrapText="1"/>
    </xf>
    <xf numFmtId="0" fontId="25" fillId="0" borderId="0" xfId="9" applyNumberFormat="1" applyFont="1" applyFill="1" applyBorder="1" applyAlignment="1">
      <alignment vertical="center" wrapText="1"/>
    </xf>
    <xf numFmtId="165" fontId="6" fillId="0" borderId="14" xfId="9" applyNumberFormat="1" applyFont="1" applyFill="1" applyBorder="1" applyAlignment="1">
      <alignment vertical="center"/>
    </xf>
    <xf numFmtId="0" fontId="8" fillId="0" borderId="0" xfId="9" applyNumberFormat="1" applyFont="1" applyFill="1" applyBorder="1" applyAlignment="1">
      <alignment vertical="center" wrapText="1"/>
    </xf>
    <xf numFmtId="0" fontId="26" fillId="0" borderId="0" xfId="9" applyNumberFormat="1" applyFont="1" applyFill="1" applyBorder="1" applyAlignment="1">
      <alignment vertical="center" wrapText="1"/>
    </xf>
    <xf numFmtId="0" fontId="28" fillId="0" borderId="0" xfId="9" applyNumberFormat="1" applyFont="1" applyFill="1" applyBorder="1" applyAlignment="1">
      <alignment vertical="center" wrapText="1"/>
    </xf>
    <xf numFmtId="165" fontId="26" fillId="0" borderId="30" xfId="9" applyNumberFormat="1" applyFont="1" applyFill="1" applyBorder="1" applyAlignment="1">
      <alignment horizontal="right" vertical="center" wrapText="1"/>
    </xf>
    <xf numFmtId="165" fontId="26" fillId="0" borderId="30" xfId="3" applyNumberFormat="1" applyFont="1" applyFill="1" applyBorder="1" applyAlignment="1">
      <alignment horizontal="center" vertical="center" wrapText="1"/>
    </xf>
    <xf numFmtId="165" fontId="26" fillId="0" borderId="0" xfId="9" applyNumberFormat="1" applyFont="1" applyFill="1" applyBorder="1" applyAlignment="1">
      <alignment horizontal="right" vertical="center" wrapText="1"/>
    </xf>
    <xf numFmtId="165" fontId="26" fillId="0" borderId="0" xfId="3" applyNumberFormat="1" applyFont="1" applyFill="1" applyBorder="1" applyAlignment="1">
      <alignment horizontal="center" vertical="center" wrapText="1"/>
    </xf>
    <xf numFmtId="165" fontId="28" fillId="0" borderId="0" xfId="9" applyNumberFormat="1" applyFont="1" applyFill="1" applyBorder="1" applyAlignment="1">
      <alignment horizontal="right" vertical="center" wrapText="1"/>
    </xf>
    <xf numFmtId="49" fontId="9" fillId="0" borderId="0" xfId="9" applyNumberFormat="1" applyFont="1" applyFill="1" applyBorder="1" applyAlignment="1">
      <alignment vertical="center" wrapText="1"/>
    </xf>
    <xf numFmtId="0" fontId="9" fillId="0" borderId="0" xfId="9" applyNumberFormat="1" applyFont="1" applyFill="1" applyBorder="1" applyAlignment="1">
      <alignment horizontal="center" vertical="center" wrapText="1"/>
    </xf>
    <xf numFmtId="0" fontId="27" fillId="0" borderId="0" xfId="6" applyFont="1" applyFill="1" applyAlignment="1">
      <alignment horizontal="center" vertical="center"/>
    </xf>
    <xf numFmtId="0" fontId="3" fillId="0" borderId="0" xfId="12" applyFont="1" applyFill="1" applyAlignment="1">
      <alignment horizontal="center" vertical="center" wrapText="1"/>
    </xf>
    <xf numFmtId="3" fontId="2" fillId="0" borderId="0" xfId="12" applyNumberFormat="1" applyFont="1" applyFill="1" applyAlignment="1">
      <alignment horizontal="center" vertical="center" wrapText="1"/>
    </xf>
    <xf numFmtId="3" fontId="3" fillId="0" borderId="0" xfId="12" applyNumberFormat="1" applyFont="1" applyFill="1" applyAlignment="1">
      <alignment horizontal="center" vertical="center" wrapText="1"/>
    </xf>
    <xf numFmtId="3" fontId="3" fillId="0" borderId="0" xfId="12" applyNumberFormat="1" applyFont="1" applyFill="1" applyAlignment="1">
      <alignment horizontal="right" vertical="center" wrapText="1"/>
    </xf>
    <xf numFmtId="0" fontId="3" fillId="0" borderId="0" xfId="12" applyFont="1" applyFill="1" applyAlignment="1">
      <alignment vertical="center" wrapText="1"/>
    </xf>
    <xf numFmtId="0" fontId="3" fillId="0" borderId="0" xfId="12" applyFont="1" applyFill="1" applyAlignment="1">
      <alignment horizontal="left" vertical="center" wrapText="1"/>
    </xf>
    <xf numFmtId="0" fontId="31" fillId="0" borderId="0" xfId="6" applyFont="1" applyFill="1" applyAlignment="1">
      <alignment vertical="center"/>
    </xf>
    <xf numFmtId="0" fontId="32" fillId="0" borderId="0" xfId="6" applyFont="1" applyFill="1" applyAlignment="1">
      <alignment horizontal="center" vertical="center"/>
    </xf>
    <xf numFmtId="0" fontId="33" fillId="0" borderId="0" xfId="6" applyFont="1" applyFill="1" applyAlignment="1">
      <alignment horizontal="center" vertical="center"/>
    </xf>
    <xf numFmtId="0" fontId="2" fillId="0" borderId="0" xfId="12" applyFont="1" applyFill="1" applyAlignment="1">
      <alignment vertical="center" wrapText="1"/>
    </xf>
    <xf numFmtId="165" fontId="2" fillId="0" borderId="22" xfId="12" applyNumberFormat="1" applyFont="1" applyFill="1" applyBorder="1" applyAlignment="1">
      <alignment vertical="center"/>
    </xf>
    <xf numFmtId="165" fontId="2" fillId="0" borderId="13" xfId="12" applyNumberFormat="1" applyFont="1" applyFill="1" applyBorder="1" applyAlignment="1">
      <alignment vertical="center"/>
    </xf>
    <xf numFmtId="165" fontId="64" fillId="0" borderId="13" xfId="12" applyNumberFormat="1" applyFont="1" applyFill="1" applyBorder="1" applyAlignment="1">
      <alignment vertical="center"/>
    </xf>
    <xf numFmtId="0" fontId="34" fillId="0" borderId="0" xfId="12" applyFont="1" applyFill="1" applyBorder="1" applyAlignment="1">
      <alignment vertical="center"/>
    </xf>
    <xf numFmtId="165" fontId="34" fillId="0" borderId="9" xfId="12" applyNumberFormat="1" applyFont="1" applyFill="1" applyBorder="1" applyAlignment="1">
      <alignment vertical="center"/>
    </xf>
    <xf numFmtId="165" fontId="34" fillId="0" borderId="19" xfId="12" applyNumberFormat="1" applyFont="1" applyFill="1" applyBorder="1" applyAlignment="1">
      <alignment vertical="center"/>
    </xf>
    <xf numFmtId="0" fontId="34" fillId="0" borderId="0" xfId="12" applyFont="1" applyFill="1" applyAlignment="1">
      <alignment vertical="center"/>
    </xf>
    <xf numFmtId="3" fontId="35" fillId="0" borderId="22" xfId="12" applyNumberFormat="1" applyFont="1" applyFill="1" applyBorder="1" applyAlignment="1">
      <alignment vertical="center"/>
    </xf>
    <xf numFmtId="3" fontId="35" fillId="0" borderId="13" xfId="12" applyNumberFormat="1" applyFont="1" applyFill="1" applyBorder="1" applyAlignment="1">
      <alignment vertical="center"/>
    </xf>
    <xf numFmtId="3" fontId="36" fillId="0" borderId="9" xfId="12" applyNumberFormat="1" applyFont="1" applyFill="1" applyBorder="1" applyAlignment="1">
      <alignment vertical="center"/>
    </xf>
    <xf numFmtId="3" fontId="36" fillId="0" borderId="19" xfId="12" applyNumberFormat="1" applyFont="1" applyFill="1" applyBorder="1" applyAlignment="1">
      <alignment vertical="center"/>
    </xf>
    <xf numFmtId="0" fontId="34" fillId="3" borderId="0" xfId="12" applyFont="1" applyFill="1" applyAlignment="1">
      <alignment vertical="center"/>
    </xf>
    <xf numFmtId="3" fontId="3" fillId="0" borderId="0" xfId="12" applyNumberFormat="1" applyFont="1" applyFill="1" applyBorder="1" applyAlignment="1">
      <alignment vertical="center"/>
    </xf>
    <xf numFmtId="3" fontId="37" fillId="0" borderId="0" xfId="12" applyNumberFormat="1" applyFont="1" applyFill="1" applyBorder="1" applyAlignment="1">
      <alignment vertical="center"/>
    </xf>
    <xf numFmtId="3" fontId="65" fillId="0" borderId="0" xfId="12" applyNumberFormat="1" applyFont="1" applyFill="1" applyBorder="1" applyAlignment="1">
      <alignment horizontal="right" vertical="center"/>
    </xf>
    <xf numFmtId="3" fontId="37" fillId="0" borderId="0" xfId="12" applyNumberFormat="1" applyFont="1" applyFill="1" applyBorder="1" applyAlignment="1">
      <alignment horizontal="right" vertical="center"/>
    </xf>
    <xf numFmtId="3" fontId="3" fillId="0" borderId="0" xfId="6" applyNumberFormat="1" applyFont="1" applyFill="1" applyBorder="1" applyAlignment="1">
      <alignment vertical="center" wrapText="1"/>
    </xf>
    <xf numFmtId="3" fontId="3" fillId="0" borderId="0" xfId="12" applyNumberFormat="1" applyFont="1" applyFill="1" applyBorder="1" applyAlignment="1">
      <alignment horizontal="right" vertical="center"/>
    </xf>
    <xf numFmtId="3" fontId="3" fillId="0" borderId="0" xfId="6" applyNumberFormat="1" applyFont="1" applyFill="1" applyBorder="1" applyAlignment="1">
      <alignment horizontal="right" vertical="center" wrapText="1"/>
    </xf>
    <xf numFmtId="169" fontId="3" fillId="0" borderId="0" xfId="1" applyNumberFormat="1" applyFont="1" applyFill="1" applyBorder="1" applyAlignment="1">
      <alignment horizontal="left" vertical="center"/>
    </xf>
    <xf numFmtId="3" fontId="66" fillId="0" borderId="0" xfId="12" applyNumberFormat="1" applyFont="1" applyFill="1" applyBorder="1" applyAlignment="1">
      <alignment horizontal="right" vertical="center"/>
    </xf>
    <xf numFmtId="0" fontId="38" fillId="0" borderId="0" xfId="12" applyFont="1" applyFill="1" applyAlignment="1">
      <alignment vertical="center"/>
    </xf>
    <xf numFmtId="164" fontId="38" fillId="0" borderId="0" xfId="2" applyNumberFormat="1" applyFont="1" applyFill="1" applyBorder="1"/>
    <xf numFmtId="3" fontId="35" fillId="0" borderId="0" xfId="12" applyNumberFormat="1" applyFont="1" applyFill="1" applyBorder="1" applyAlignment="1">
      <alignment vertical="center"/>
    </xf>
    <xf numFmtId="3" fontId="36" fillId="0" borderId="0" xfId="12" applyNumberFormat="1" applyFont="1" applyFill="1" applyBorder="1" applyAlignment="1">
      <alignment vertical="center"/>
    </xf>
    <xf numFmtId="3" fontId="2" fillId="0" borderId="0" xfId="12" applyNumberFormat="1" applyFont="1" applyFill="1" applyAlignment="1">
      <alignment vertical="center" wrapText="1"/>
    </xf>
    <xf numFmtId="3" fontId="3" fillId="0" borderId="0" xfId="12" applyNumberFormat="1" applyFont="1" applyFill="1" applyAlignment="1">
      <alignment vertical="center" wrapText="1"/>
    </xf>
    <xf numFmtId="1" fontId="40" fillId="0" borderId="0" xfId="13" applyNumberFormat="1" applyFont="1" applyFill="1" applyAlignment="1">
      <alignment vertical="center"/>
    </xf>
    <xf numFmtId="1" fontId="41" fillId="0" borderId="0" xfId="13" applyNumberFormat="1" applyFont="1" applyFill="1" applyAlignment="1">
      <alignment vertical="center"/>
    </xf>
    <xf numFmtId="0" fontId="42" fillId="0" borderId="0" xfId="5" applyFont="1" applyFill="1" applyAlignment="1">
      <alignment vertical="center" wrapText="1"/>
    </xf>
    <xf numFmtId="1" fontId="43" fillId="0" borderId="0" xfId="13" applyNumberFormat="1" applyFont="1" applyFill="1" applyAlignment="1">
      <alignment vertical="center"/>
    </xf>
    <xf numFmtId="3" fontId="7" fillId="0" borderId="0" xfId="13" applyNumberFormat="1" applyFont="1" applyFill="1" applyBorder="1" applyAlignment="1">
      <alignment vertical="center" wrapText="1"/>
    </xf>
    <xf numFmtId="1" fontId="7" fillId="0" borderId="0" xfId="13" applyNumberFormat="1" applyFont="1" applyFill="1" applyAlignment="1">
      <alignment vertical="center"/>
    </xf>
    <xf numFmtId="1" fontId="7" fillId="0" borderId="0" xfId="13" applyNumberFormat="1" applyFont="1" applyFill="1" applyAlignment="1">
      <alignment vertical="center" wrapText="1"/>
    </xf>
    <xf numFmtId="1" fontId="7" fillId="0" borderId="0" xfId="13" applyNumberFormat="1" applyFont="1" applyFill="1" applyAlignment="1">
      <alignment horizontal="center" vertical="center" wrapText="1"/>
    </xf>
    <xf numFmtId="1" fontId="7" fillId="0" borderId="0" xfId="13" applyNumberFormat="1" applyFont="1" applyFill="1" applyAlignment="1">
      <alignment horizontal="right" vertical="center"/>
    </xf>
    <xf numFmtId="1" fontId="44" fillId="0" borderId="0" xfId="13" applyNumberFormat="1" applyFont="1" applyFill="1" applyAlignment="1">
      <alignment vertical="center"/>
    </xf>
    <xf numFmtId="1" fontId="45" fillId="0" borderId="0" xfId="13" applyNumberFormat="1" applyFont="1" applyFill="1" applyAlignment="1">
      <alignment vertical="center"/>
    </xf>
    <xf numFmtId="1" fontId="46" fillId="0" borderId="0" xfId="13" applyNumberFormat="1" applyFont="1" applyFill="1" applyAlignment="1">
      <alignment vertical="center"/>
    </xf>
    <xf numFmtId="3" fontId="3" fillId="0" borderId="0" xfId="13" applyNumberFormat="1" applyFont="1" applyFill="1" applyBorder="1" applyAlignment="1">
      <alignment vertical="center" wrapText="1"/>
    </xf>
    <xf numFmtId="1" fontId="3" fillId="0" borderId="0" xfId="13" applyNumberFormat="1" applyFont="1" applyFill="1" applyAlignment="1">
      <alignment vertical="center"/>
    </xf>
    <xf numFmtId="1" fontId="7" fillId="0" borderId="0" xfId="13" applyNumberFormat="1" applyFont="1" applyFill="1" applyAlignment="1">
      <alignment horizontal="center" vertical="center"/>
    </xf>
    <xf numFmtId="0" fontId="4" fillId="0" borderId="0" xfId="9" applyNumberFormat="1" applyFont="1" applyFill="1" applyBorder="1" applyAlignment="1">
      <alignment vertical="center" wrapText="1"/>
    </xf>
    <xf numFmtId="165" fontId="4" fillId="0" borderId="13" xfId="9" applyNumberFormat="1" applyFont="1" applyFill="1" applyBorder="1" applyAlignment="1">
      <alignment horizontal="center" vertical="center" wrapText="1"/>
    </xf>
    <xf numFmtId="1" fontId="11" fillId="0" borderId="13" xfId="9" applyNumberFormat="1" applyFont="1" applyFill="1" applyBorder="1" applyAlignment="1">
      <alignment horizontal="center" vertical="center" wrapText="1"/>
    </xf>
    <xf numFmtId="1" fontId="11" fillId="0" borderId="13" xfId="9" quotePrefix="1" applyNumberFormat="1" applyFont="1" applyFill="1" applyBorder="1" applyAlignment="1">
      <alignment horizontal="center" vertical="center" wrapText="1"/>
    </xf>
    <xf numFmtId="1" fontId="11" fillId="0" borderId="28" xfId="9" applyNumberFormat="1" applyFont="1" applyFill="1" applyBorder="1" applyAlignment="1">
      <alignment horizontal="center" vertical="center" wrapText="1"/>
    </xf>
    <xf numFmtId="1" fontId="11" fillId="0" borderId="0" xfId="9" applyNumberFormat="1" applyFont="1" applyFill="1" applyBorder="1" applyAlignment="1">
      <alignment horizontal="center" vertical="center" wrapText="1"/>
    </xf>
    <xf numFmtId="0" fontId="11" fillId="0" borderId="0" xfId="0" applyFont="1"/>
    <xf numFmtId="0" fontId="47" fillId="0" borderId="0" xfId="6" applyFont="1" applyFill="1" applyAlignment="1">
      <alignment horizontal="center" vertical="center"/>
    </xf>
    <xf numFmtId="0" fontId="11" fillId="0" borderId="3" xfId="12" applyFont="1" applyFill="1" applyBorder="1" applyAlignment="1">
      <alignment horizontal="center" vertical="center" wrapText="1"/>
    </xf>
    <xf numFmtId="0" fontId="11" fillId="0" borderId="13" xfId="12" quotePrefix="1" applyFont="1" applyFill="1" applyBorder="1" applyAlignment="1">
      <alignment horizontal="center" vertical="center" wrapText="1"/>
    </xf>
    <xf numFmtId="0" fontId="11" fillId="0" borderId="13" xfId="12" applyFont="1" applyFill="1" applyBorder="1" applyAlignment="1">
      <alignment horizontal="center" vertical="center" wrapText="1"/>
    </xf>
    <xf numFmtId="0" fontId="11" fillId="0" borderId="28" xfId="12" applyFont="1" applyFill="1" applyBorder="1" applyAlignment="1">
      <alignment horizontal="center" vertical="center" wrapText="1"/>
    </xf>
    <xf numFmtId="0" fontId="11" fillId="0" borderId="0" xfId="12" applyFont="1" applyFill="1" applyAlignment="1">
      <alignment vertical="center" wrapText="1"/>
    </xf>
    <xf numFmtId="0" fontId="4" fillId="0" borderId="0" xfId="12" applyFont="1" applyFill="1" applyAlignment="1">
      <alignment vertical="center" wrapText="1"/>
    </xf>
    <xf numFmtId="3" fontId="11" fillId="0" borderId="13" xfId="13" applyNumberFormat="1" applyFont="1" applyFill="1" applyBorder="1" applyAlignment="1">
      <alignment horizontal="center" vertical="center" wrapText="1"/>
    </xf>
    <xf numFmtId="0" fontId="11" fillId="0" borderId="13" xfId="13" applyNumberFormat="1" applyFont="1" applyFill="1" applyBorder="1" applyAlignment="1">
      <alignment horizontal="center" vertical="center" wrapText="1"/>
    </xf>
    <xf numFmtId="3" fontId="11" fillId="0" borderId="13" xfId="13" quotePrefix="1" applyNumberFormat="1" applyFont="1" applyFill="1" applyBorder="1" applyAlignment="1">
      <alignment horizontal="center" vertical="center" wrapText="1"/>
    </xf>
    <xf numFmtId="0" fontId="11" fillId="0" borderId="28" xfId="13" applyNumberFormat="1" applyFont="1" applyFill="1" applyBorder="1" applyAlignment="1">
      <alignment horizontal="center" vertical="center" wrapText="1"/>
    </xf>
    <xf numFmtId="3" fontId="11" fillId="0" borderId="0" xfId="13" applyNumberFormat="1" applyFont="1" applyFill="1" applyBorder="1" applyAlignment="1">
      <alignment horizontal="center" vertical="center" wrapText="1"/>
    </xf>
    <xf numFmtId="3" fontId="4" fillId="0" borderId="0" xfId="13" applyNumberFormat="1" applyFont="1" applyBorder="1" applyAlignment="1">
      <alignment horizontal="center" vertical="center" wrapText="1"/>
    </xf>
    <xf numFmtId="3" fontId="4" fillId="0" borderId="31" xfId="13" applyNumberFormat="1" applyFont="1" applyFill="1" applyBorder="1" applyAlignment="1">
      <alignment horizontal="center" vertical="center" wrapText="1"/>
    </xf>
    <xf numFmtId="3" fontId="11" fillId="0" borderId="12" xfId="13" applyNumberFormat="1" applyFont="1" applyFill="1" applyBorder="1" applyAlignment="1">
      <alignment horizontal="center" vertical="center" wrapText="1"/>
    </xf>
    <xf numFmtId="3" fontId="11" fillId="0" borderId="28" xfId="13" quotePrefix="1" applyNumberFormat="1" applyFont="1" applyFill="1" applyBorder="1" applyAlignment="1">
      <alignment horizontal="center" vertical="center" wrapText="1"/>
    </xf>
    <xf numFmtId="3" fontId="11" fillId="0" borderId="0" xfId="13" applyNumberFormat="1" applyFont="1" applyFill="1" applyBorder="1" applyAlignment="1">
      <alignment vertical="center" wrapText="1"/>
    </xf>
    <xf numFmtId="0" fontId="25" fillId="0" borderId="0" xfId="0" applyFont="1"/>
    <xf numFmtId="0" fontId="4" fillId="0" borderId="0" xfId="9"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0" fontId="6" fillId="0" borderId="0" xfId="0" applyFont="1" applyBorder="1" applyAlignment="1">
      <alignment horizontal="right"/>
    </xf>
    <xf numFmtId="0" fontId="28" fillId="0" borderId="0" xfId="0" applyFont="1" applyAlignment="1">
      <alignment horizontal="left"/>
    </xf>
    <xf numFmtId="0" fontId="28" fillId="0" borderId="1" xfId="0" quotePrefix="1" applyFont="1" applyBorder="1" applyAlignment="1">
      <alignment horizontal="center"/>
    </xf>
    <xf numFmtId="0" fontId="28" fillId="0" borderId="1" xfId="0" applyFont="1" applyBorder="1" applyAlignment="1">
      <alignment horizontal="center"/>
    </xf>
    <xf numFmtId="0" fontId="4" fillId="0" borderId="4" xfId="0" applyFont="1" applyBorder="1"/>
    <xf numFmtId="0" fontId="28" fillId="0" borderId="0" xfId="0" applyFont="1"/>
    <xf numFmtId="0" fontId="4" fillId="0" borderId="8" xfId="0" quotePrefix="1" applyFont="1" applyBorder="1"/>
    <xf numFmtId="0" fontId="4" fillId="0" borderId="2" xfId="0" applyFont="1" applyBorder="1"/>
    <xf numFmtId="0" fontId="2" fillId="0" borderId="0" xfId="0" applyFont="1"/>
    <xf numFmtId="49" fontId="26" fillId="0" borderId="5" xfId="9" applyNumberFormat="1" applyFont="1" applyFill="1" applyBorder="1" applyAlignment="1">
      <alignment horizontal="left" vertical="center" wrapText="1"/>
    </xf>
    <xf numFmtId="165" fontId="28" fillId="0" borderId="5" xfId="9" applyNumberFormat="1" applyFont="1" applyFill="1" applyBorder="1" applyAlignment="1">
      <alignment horizontal="right" vertical="center" wrapText="1"/>
    </xf>
    <xf numFmtId="165" fontId="26" fillId="0" borderId="5" xfId="9" applyNumberFormat="1" applyFont="1" applyFill="1" applyBorder="1" applyAlignment="1">
      <alignment horizontal="right" vertical="center" wrapText="1"/>
    </xf>
    <xf numFmtId="165" fontId="26" fillId="0" borderId="29" xfId="3" applyNumberFormat="1" applyFont="1" applyFill="1" applyBorder="1" applyAlignment="1">
      <alignment horizontal="center" vertical="center" wrapText="1"/>
    </xf>
    <xf numFmtId="49" fontId="8" fillId="0" borderId="31" xfId="9" applyNumberFormat="1" applyFont="1" applyFill="1" applyBorder="1" applyAlignment="1">
      <alignment horizontal="center" vertical="center" wrapText="1"/>
    </xf>
    <xf numFmtId="165" fontId="8" fillId="0" borderId="31" xfId="9" applyNumberFormat="1" applyFont="1" applyFill="1" applyBorder="1" applyAlignment="1">
      <alignment horizontal="right" vertical="center" wrapText="1"/>
    </xf>
    <xf numFmtId="165" fontId="67" fillId="0" borderId="32" xfId="9" applyNumberFormat="1" applyFont="1" applyFill="1" applyBorder="1" applyAlignment="1">
      <alignment horizontal="center" vertical="center" wrapText="1"/>
    </xf>
    <xf numFmtId="49" fontId="25" fillId="0" borderId="2" xfId="9" applyNumberFormat="1" applyFont="1" applyFill="1" applyBorder="1" applyAlignment="1">
      <alignment horizontal="left" vertical="center" wrapText="1"/>
    </xf>
    <xf numFmtId="165" fontId="25" fillId="0" borderId="2" xfId="9" applyNumberFormat="1" applyFont="1" applyFill="1" applyBorder="1" applyAlignment="1">
      <alignment horizontal="right" vertical="center" wrapText="1"/>
    </xf>
    <xf numFmtId="165" fontId="25"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horizontal="left" vertical="center" wrapText="1"/>
    </xf>
    <xf numFmtId="49" fontId="8" fillId="0" borderId="2" xfId="9" applyNumberFormat="1" applyFont="1" applyFill="1" applyBorder="1" applyAlignment="1">
      <alignment vertical="center"/>
    </xf>
    <xf numFmtId="165" fontId="8" fillId="0" borderId="2" xfId="9" applyNumberFormat="1" applyFont="1" applyFill="1" applyBorder="1" applyAlignment="1">
      <alignment horizontal="right" vertical="center" wrapText="1"/>
    </xf>
    <xf numFmtId="165" fontId="67" fillId="0" borderId="25" xfId="9" applyNumberFormat="1" applyFont="1" applyFill="1" applyBorder="1" applyAlignment="1">
      <alignment horizontal="center" vertical="center" wrapText="1"/>
    </xf>
    <xf numFmtId="49" fontId="25" fillId="0" borderId="2" xfId="9" quotePrefix="1" applyNumberFormat="1" applyFont="1" applyFill="1" applyBorder="1" applyAlignment="1">
      <alignment vertical="center" wrapText="1"/>
    </xf>
    <xf numFmtId="49" fontId="25" fillId="0" borderId="2" xfId="9" applyNumberFormat="1" applyFont="1" applyFill="1" applyBorder="1" applyAlignment="1">
      <alignment vertical="center" wrapText="1"/>
    </xf>
    <xf numFmtId="165" fontId="8" fillId="0" borderId="2" xfId="3" applyNumberFormat="1" applyFont="1" applyFill="1" applyBorder="1" applyAlignment="1">
      <alignment horizontal="right" vertical="center"/>
    </xf>
    <xf numFmtId="165" fontId="25" fillId="0" borderId="2" xfId="3" applyNumberFormat="1" applyFont="1" applyFill="1" applyBorder="1" applyAlignment="1">
      <alignment horizontal="right" vertical="center"/>
    </xf>
    <xf numFmtId="165" fontId="25" fillId="0" borderId="25" xfId="3" applyNumberFormat="1" applyFont="1" applyFill="1" applyBorder="1" applyAlignment="1">
      <alignment horizontal="center" vertical="center" wrapText="1"/>
    </xf>
    <xf numFmtId="49" fontId="8" fillId="0" borderId="2" xfId="9" applyNumberFormat="1" applyFont="1" applyFill="1" applyBorder="1" applyAlignment="1">
      <alignment vertical="center" wrapText="1"/>
    </xf>
    <xf numFmtId="49" fontId="9" fillId="0" borderId="2" xfId="9" applyNumberFormat="1" applyFont="1" applyFill="1" applyBorder="1" applyAlignment="1">
      <alignment vertical="center" wrapText="1"/>
    </xf>
    <xf numFmtId="165" fontId="9" fillId="0" borderId="2" xfId="3" applyNumberFormat="1" applyFont="1" applyFill="1" applyBorder="1" applyAlignment="1">
      <alignment horizontal="right" vertical="center"/>
    </xf>
    <xf numFmtId="165" fontId="9" fillId="0" borderId="25" xfId="3" applyNumberFormat="1" applyFont="1" applyFill="1" applyBorder="1" applyAlignment="1">
      <alignment horizontal="center" vertical="center" wrapText="1"/>
    </xf>
    <xf numFmtId="49" fontId="8" fillId="0" borderId="2" xfId="9" quotePrefix="1" applyNumberFormat="1" applyFont="1" applyFill="1" applyBorder="1" applyAlignment="1">
      <alignment vertical="center" wrapText="1"/>
    </xf>
    <xf numFmtId="49" fontId="9" fillId="0" borderId="2" xfId="9" applyNumberFormat="1" applyFont="1" applyFill="1" applyBorder="1" applyAlignment="1">
      <alignment horizontal="justify" vertical="center" wrapText="1"/>
    </xf>
    <xf numFmtId="49" fontId="8" fillId="0" borderId="2" xfId="9" applyNumberFormat="1" applyFont="1" applyFill="1" applyBorder="1" applyAlignment="1">
      <alignment horizontal="left" vertical="center"/>
    </xf>
    <xf numFmtId="165" fontId="26" fillId="0" borderId="2" xfId="9" applyNumberFormat="1" applyFont="1" applyFill="1" applyBorder="1" applyAlignment="1">
      <alignment horizontal="right" vertical="center" wrapText="1"/>
    </xf>
    <xf numFmtId="165" fontId="8" fillId="0" borderId="25" xfId="3" applyNumberFormat="1" applyFont="1" applyFill="1" applyBorder="1" applyAlignment="1">
      <alignment horizontal="center" vertical="center" wrapText="1"/>
    </xf>
    <xf numFmtId="165" fontId="28" fillId="0" borderId="2" xfId="9" applyNumberFormat="1" applyFont="1" applyFill="1" applyBorder="1" applyAlignment="1">
      <alignment horizontal="right" vertical="center" wrapText="1"/>
    </xf>
    <xf numFmtId="165" fontId="26" fillId="0" borderId="25" xfId="3" applyNumberFormat="1" applyFont="1" applyFill="1" applyBorder="1" applyAlignment="1">
      <alignment horizontal="center" vertical="center" wrapText="1"/>
    </xf>
    <xf numFmtId="3" fontId="4" fillId="0" borderId="5" xfId="12" applyNumberFormat="1" applyFont="1" applyFill="1" applyBorder="1" applyAlignment="1">
      <alignment vertical="center"/>
    </xf>
    <xf numFmtId="3" fontId="35" fillId="0" borderId="29" xfId="12" applyNumberFormat="1" applyFont="1" applyFill="1" applyBorder="1" applyAlignment="1">
      <alignment vertical="center"/>
    </xf>
    <xf numFmtId="0" fontId="4" fillId="0" borderId="31" xfId="12" applyFont="1" applyFill="1" applyBorder="1" applyAlignment="1">
      <alignment horizontal="center" vertical="center" wrapText="1"/>
    </xf>
    <xf numFmtId="3" fontId="4" fillId="0" borderId="31" xfId="1" applyNumberFormat="1" applyFont="1" applyFill="1" applyBorder="1" applyAlignment="1">
      <alignment horizontal="right" vertical="center" wrapText="1"/>
    </xf>
    <xf numFmtId="0" fontId="2" fillId="0" borderId="32" xfId="12" applyFont="1" applyFill="1" applyBorder="1" applyAlignment="1">
      <alignment vertical="center" wrapText="1"/>
    </xf>
    <xf numFmtId="3" fontId="4" fillId="0" borderId="2" xfId="1" applyNumberFormat="1" applyFont="1" applyFill="1" applyBorder="1" applyAlignment="1">
      <alignment horizontal="right" vertical="center" wrapText="1"/>
    </xf>
    <xf numFmtId="0" fontId="2" fillId="0" borderId="25" xfId="12" applyFont="1" applyFill="1" applyBorder="1" applyAlignment="1">
      <alignment vertical="center" wrapText="1"/>
    </xf>
    <xf numFmtId="3" fontId="7" fillId="0" borderId="2" xfId="1" applyNumberFormat="1" applyFont="1" applyFill="1" applyBorder="1" applyAlignment="1">
      <alignment horizontal="right" vertical="center" wrapText="1"/>
    </xf>
    <xf numFmtId="3" fontId="7" fillId="0" borderId="2" xfId="1" applyNumberFormat="1" applyFont="1" applyFill="1" applyBorder="1" applyAlignment="1">
      <alignment vertical="center" wrapText="1"/>
    </xf>
    <xf numFmtId="0" fontId="3" fillId="0" borderId="25" xfId="12" applyFont="1" applyFill="1" applyBorder="1" applyAlignment="1">
      <alignment vertical="center" wrapText="1"/>
    </xf>
    <xf numFmtId="3" fontId="7" fillId="0" borderId="2" xfId="12" applyNumberFormat="1" applyFont="1" applyFill="1" applyBorder="1" applyAlignment="1">
      <alignment vertical="center" wrapText="1"/>
    </xf>
    <xf numFmtId="3" fontId="4" fillId="0" borderId="2" xfId="12" applyNumberFormat="1" applyFont="1" applyFill="1" applyBorder="1" applyAlignment="1">
      <alignment vertical="center"/>
    </xf>
    <xf numFmtId="165" fontId="2" fillId="0" borderId="25" xfId="12" applyNumberFormat="1" applyFont="1" applyFill="1" applyBorder="1" applyAlignment="1">
      <alignment vertical="center"/>
    </xf>
    <xf numFmtId="3" fontId="35" fillId="0" borderId="25" xfId="12" applyNumberFormat="1" applyFont="1" applyFill="1" applyBorder="1" applyAlignment="1">
      <alignment vertical="center"/>
    </xf>
    <xf numFmtId="3" fontId="7" fillId="0" borderId="2" xfId="12" applyNumberFormat="1" applyFont="1" applyFill="1" applyBorder="1" applyAlignment="1">
      <alignment vertical="center"/>
    </xf>
    <xf numFmtId="3" fontId="7" fillId="0" borderId="2" xfId="12" applyNumberFormat="1" applyFont="1" applyFill="1" applyBorder="1" applyAlignment="1">
      <alignment horizontal="right" vertical="center"/>
    </xf>
    <xf numFmtId="3" fontId="7" fillId="0" borderId="2" xfId="6" applyNumberFormat="1" applyFont="1" applyFill="1" applyBorder="1" applyAlignment="1">
      <alignment vertical="center" wrapText="1"/>
    </xf>
    <xf numFmtId="3" fontId="3" fillId="0" borderId="25" xfId="12" applyNumberFormat="1" applyFont="1" applyFill="1" applyBorder="1" applyAlignment="1">
      <alignment vertical="center"/>
    </xf>
    <xf numFmtId="1" fontId="7" fillId="0" borderId="5" xfId="13" quotePrefix="1" applyNumberFormat="1" applyFont="1" applyFill="1" applyBorder="1" applyAlignment="1">
      <alignment vertical="center" wrapText="1"/>
    </xf>
    <xf numFmtId="1" fontId="7" fillId="0" borderId="5" xfId="13" applyNumberFormat="1" applyFont="1" applyFill="1" applyBorder="1" applyAlignment="1">
      <alignment horizontal="center" vertical="center" wrapText="1"/>
    </xf>
    <xf numFmtId="1" fontId="7" fillId="0" borderId="5" xfId="13" applyNumberFormat="1" applyFont="1" applyFill="1" applyBorder="1" applyAlignment="1">
      <alignment horizontal="right" vertical="center"/>
    </xf>
    <xf numFmtId="1" fontId="7" fillId="0" borderId="29" xfId="13" applyNumberFormat="1" applyFont="1" applyFill="1" applyBorder="1" applyAlignment="1">
      <alignment horizontal="right" vertical="center"/>
    </xf>
    <xf numFmtId="3" fontId="7" fillId="0" borderId="31" xfId="13" quotePrefix="1" applyNumberFormat="1" applyFont="1" applyFill="1" applyBorder="1" applyAlignment="1">
      <alignment horizontal="center" vertical="center" wrapText="1"/>
    </xf>
    <xf numFmtId="3" fontId="7" fillId="0" borderId="32" xfId="13" quotePrefix="1" applyNumberFormat="1" applyFont="1" applyFill="1" applyBorder="1" applyAlignment="1">
      <alignment horizontal="center" vertical="center" wrapText="1"/>
    </xf>
    <xf numFmtId="49" fontId="4" fillId="0" borderId="1" xfId="13" applyNumberFormat="1" applyFont="1" applyFill="1" applyBorder="1" applyAlignment="1">
      <alignment horizontal="center" vertical="center"/>
    </xf>
    <xf numFmtId="1" fontId="4" fillId="0" borderId="2" xfId="13" applyNumberFormat="1" applyFont="1" applyFill="1" applyBorder="1" applyAlignment="1">
      <alignment horizontal="left" vertical="center" wrapText="1"/>
    </xf>
    <xf numFmtId="1" fontId="7" fillId="0" borderId="2" xfId="13" applyNumberFormat="1" applyFont="1" applyFill="1" applyBorder="1" applyAlignment="1">
      <alignment horizontal="center" vertical="center" wrapText="1"/>
    </xf>
    <xf numFmtId="1" fontId="7" fillId="0" borderId="2" xfId="13" applyNumberFormat="1" applyFont="1" applyFill="1" applyBorder="1" applyAlignment="1">
      <alignment horizontal="right" vertical="center"/>
    </xf>
    <xf numFmtId="1" fontId="7" fillId="0" borderId="25" xfId="13" applyNumberFormat="1" applyFont="1" applyFill="1" applyBorder="1" applyAlignment="1">
      <alignment horizontal="right" vertical="center"/>
    </xf>
    <xf numFmtId="1" fontId="4" fillId="0" borderId="1" xfId="13" applyNumberFormat="1" applyFont="1" applyFill="1" applyBorder="1" applyAlignment="1">
      <alignment horizontal="center" vertical="center"/>
    </xf>
    <xf numFmtId="3" fontId="7" fillId="0" borderId="2" xfId="13" quotePrefix="1" applyNumberFormat="1" applyFont="1" applyFill="1" applyBorder="1" applyAlignment="1">
      <alignment horizontal="center" vertical="center" wrapText="1"/>
    </xf>
    <xf numFmtId="3" fontId="7" fillId="0" borderId="25" xfId="13" quotePrefix="1" applyNumberFormat="1" applyFont="1" applyFill="1" applyBorder="1" applyAlignment="1">
      <alignment horizontal="center" vertical="center" wrapText="1"/>
    </xf>
    <xf numFmtId="1" fontId="7" fillId="0" borderId="2" xfId="13" applyNumberFormat="1" applyFont="1" applyFill="1" applyBorder="1" applyAlignment="1">
      <alignment vertical="center" wrapText="1"/>
    </xf>
    <xf numFmtId="1" fontId="7" fillId="0" borderId="2" xfId="13" quotePrefix="1" applyNumberFormat="1" applyFont="1" applyFill="1" applyBorder="1" applyAlignment="1">
      <alignment vertical="center" wrapText="1"/>
    </xf>
    <xf numFmtId="49" fontId="3" fillId="0" borderId="4" xfId="13" applyNumberFormat="1" applyFont="1" applyFill="1" applyBorder="1" applyAlignment="1">
      <alignment horizontal="center" vertical="center"/>
    </xf>
    <xf numFmtId="1" fontId="3" fillId="0" borderId="5" xfId="13" quotePrefix="1" applyNumberFormat="1" applyFont="1" applyFill="1" applyBorder="1" applyAlignment="1">
      <alignment vertical="center" wrapText="1"/>
    </xf>
    <xf numFmtId="1" fontId="3" fillId="0" borderId="5" xfId="13" applyNumberFormat="1" applyFont="1" applyFill="1" applyBorder="1" applyAlignment="1">
      <alignment horizontal="center" vertical="center" wrapText="1"/>
    </xf>
    <xf numFmtId="1" fontId="3" fillId="0" borderId="5" xfId="13" applyNumberFormat="1" applyFont="1" applyFill="1" applyBorder="1" applyAlignment="1">
      <alignment horizontal="right" vertical="center"/>
    </xf>
    <xf numFmtId="1" fontId="3" fillId="0" borderId="5" xfId="13" applyNumberFormat="1" applyFont="1" applyFill="1" applyBorder="1" applyAlignment="1">
      <alignment vertical="center"/>
    </xf>
    <xf numFmtId="1" fontId="3" fillId="0" borderId="29" xfId="13" applyNumberFormat="1" applyFont="1" applyFill="1" applyBorder="1" applyAlignment="1">
      <alignment vertical="center"/>
    </xf>
    <xf numFmtId="3" fontId="3" fillId="0" borderId="31" xfId="13" quotePrefix="1" applyNumberFormat="1" applyFont="1" applyFill="1" applyBorder="1" applyAlignment="1">
      <alignment horizontal="center" vertical="center" wrapText="1"/>
    </xf>
    <xf numFmtId="3" fontId="3" fillId="0" borderId="32" xfId="13" quotePrefix="1" applyNumberFormat="1" applyFont="1" applyFill="1" applyBorder="1" applyAlignment="1">
      <alignment horizontal="center" vertical="center" wrapText="1"/>
    </xf>
    <xf numFmtId="49" fontId="2" fillId="0" borderId="1" xfId="13" applyNumberFormat="1" applyFont="1" applyFill="1" applyBorder="1" applyAlignment="1">
      <alignment horizontal="center" vertical="center"/>
    </xf>
    <xf numFmtId="1" fontId="3" fillId="0" borderId="2" xfId="13" applyNumberFormat="1" applyFont="1" applyFill="1" applyBorder="1" applyAlignment="1">
      <alignment horizontal="center" vertical="center" wrapText="1"/>
    </xf>
    <xf numFmtId="1" fontId="3" fillId="0" borderId="2" xfId="13" applyNumberFormat="1" applyFont="1" applyFill="1" applyBorder="1" applyAlignment="1">
      <alignment horizontal="right" vertical="center"/>
    </xf>
    <xf numFmtId="1" fontId="3" fillId="0" borderId="2" xfId="13" applyNumberFormat="1" applyFont="1" applyFill="1" applyBorder="1" applyAlignment="1">
      <alignment vertical="center"/>
    </xf>
    <xf numFmtId="1" fontId="3" fillId="0" borderId="25" xfId="13" applyNumberFormat="1" applyFont="1" applyFill="1" applyBorder="1" applyAlignment="1">
      <alignment vertical="center"/>
    </xf>
    <xf numFmtId="1" fontId="2" fillId="0" borderId="1" xfId="13" applyNumberFormat="1" applyFont="1" applyFill="1" applyBorder="1" applyAlignment="1">
      <alignment horizontal="center" vertical="center"/>
    </xf>
    <xf numFmtId="3" fontId="3" fillId="0" borderId="2" xfId="13" quotePrefix="1" applyNumberFormat="1" applyFont="1" applyFill="1" applyBorder="1" applyAlignment="1">
      <alignment horizontal="center" vertical="center" wrapText="1"/>
    </xf>
    <xf numFmtId="3" fontId="3" fillId="0" borderId="2" xfId="13" applyNumberFormat="1" applyFont="1" applyFill="1" applyBorder="1" applyAlignment="1">
      <alignment vertical="center" wrapText="1"/>
    </xf>
    <xf numFmtId="3" fontId="3" fillId="0" borderId="25" xfId="13" applyNumberFormat="1" applyFont="1" applyFill="1" applyBorder="1" applyAlignment="1">
      <alignment vertical="center" wrapText="1"/>
    </xf>
    <xf numFmtId="0" fontId="2" fillId="0" borderId="0" xfId="12" applyFont="1" applyFill="1" applyAlignment="1">
      <alignment horizontal="center" vertical="center" wrapText="1"/>
    </xf>
    <xf numFmtId="0" fontId="7" fillId="0" borderId="0" xfId="6" applyFont="1" applyFill="1" applyAlignment="1">
      <alignment horizontal="center" vertical="center"/>
    </xf>
    <xf numFmtId="0" fontId="7" fillId="0" borderId="0" xfId="12" applyFont="1" applyFill="1" applyAlignment="1">
      <alignment vertical="center" wrapText="1"/>
    </xf>
    <xf numFmtId="3" fontId="7" fillId="0" borderId="0" xfId="1" applyNumberFormat="1" applyFont="1" applyFill="1" applyBorder="1" applyAlignment="1">
      <alignment horizontal="right" vertical="center" wrapText="1"/>
    </xf>
    <xf numFmtId="3" fontId="7" fillId="0" borderId="0" xfId="1" applyNumberFormat="1" applyFont="1" applyFill="1" applyBorder="1" applyAlignment="1">
      <alignment vertical="center" wrapText="1"/>
    </xf>
    <xf numFmtId="3" fontId="7" fillId="0" borderId="0" xfId="12" applyNumberFormat="1" applyFont="1" applyFill="1" applyBorder="1" applyAlignment="1">
      <alignment vertical="center" wrapText="1"/>
    </xf>
    <xf numFmtId="0" fontId="3" fillId="0" borderId="0" xfId="12" applyFont="1" applyFill="1" applyBorder="1" applyAlignment="1">
      <alignment vertical="center" wrapText="1"/>
    </xf>
    <xf numFmtId="49" fontId="29" fillId="0" borderId="30" xfId="9" quotePrefix="1" applyNumberFormat="1" applyFont="1" applyFill="1" applyBorder="1" applyAlignment="1">
      <alignment vertical="center" wrapText="1"/>
    </xf>
    <xf numFmtId="1" fontId="2" fillId="0" borderId="0" xfId="13" applyNumberFormat="1" applyFont="1" applyFill="1" applyAlignment="1">
      <alignment vertical="center"/>
    </xf>
    <xf numFmtId="49" fontId="4" fillId="0" borderId="33" xfId="13" quotePrefix="1" applyNumberFormat="1" applyFont="1" applyFill="1" applyBorder="1" applyAlignment="1">
      <alignment horizontal="center" vertical="center" wrapText="1"/>
    </xf>
    <xf numFmtId="0" fontId="2" fillId="0" borderId="12" xfId="13" applyNumberFormat="1" applyFont="1" applyFill="1" applyBorder="1" applyAlignment="1">
      <alignment horizontal="center" vertical="center" wrapText="1"/>
    </xf>
    <xf numFmtId="49" fontId="2" fillId="0" borderId="33" xfId="13" quotePrefix="1" applyNumberFormat="1" applyFont="1" applyFill="1" applyBorder="1" applyAlignment="1">
      <alignment horizontal="center" vertical="center" wrapText="1"/>
    </xf>
    <xf numFmtId="49" fontId="2" fillId="0" borderId="4" xfId="13" applyNumberFormat="1" applyFont="1" applyFill="1" applyBorder="1" applyAlignment="1">
      <alignment horizontal="center" vertical="center"/>
    </xf>
    <xf numFmtId="49" fontId="2" fillId="0" borderId="0" xfId="13" applyNumberFormat="1" applyFont="1" applyFill="1" applyAlignment="1">
      <alignment horizontal="center" vertical="center"/>
    </xf>
    <xf numFmtId="49" fontId="2" fillId="0" borderId="0" xfId="13" applyNumberFormat="1" applyFont="1" applyFill="1" applyAlignment="1">
      <alignment vertical="center"/>
    </xf>
    <xf numFmtId="1" fontId="4" fillId="0" borderId="1" xfId="13" quotePrefix="1" applyNumberFormat="1" applyFont="1" applyFill="1" applyBorder="1" applyAlignment="1">
      <alignment horizontal="center" vertical="center"/>
    </xf>
    <xf numFmtId="1" fontId="4" fillId="0" borderId="2" xfId="13" applyNumberFormat="1" applyFont="1" applyFill="1" applyBorder="1" applyAlignment="1">
      <alignment horizontal="left" vertical="center"/>
    </xf>
    <xf numFmtId="3" fontId="4" fillId="0" borderId="2" xfId="13" applyNumberFormat="1" applyFont="1" applyFill="1" applyBorder="1" applyAlignment="1">
      <alignment horizontal="left" vertical="center"/>
    </xf>
    <xf numFmtId="1" fontId="7" fillId="0" borderId="2" xfId="13" applyNumberFormat="1" applyFont="1" applyFill="1" applyBorder="1" applyAlignment="1">
      <alignment vertical="center"/>
    </xf>
    <xf numFmtId="1" fontId="4" fillId="0" borderId="2" xfId="13" applyNumberFormat="1" applyFont="1" applyFill="1" applyBorder="1" applyAlignment="1">
      <alignment vertical="center"/>
    </xf>
    <xf numFmtId="0" fontId="3" fillId="0" borderId="0" xfId="0" applyFont="1" applyAlignment="1">
      <alignment vertical="center"/>
    </xf>
    <xf numFmtId="0" fontId="2" fillId="0" borderId="0" xfId="0" applyFont="1" applyAlignment="1">
      <alignment horizontal="centerContinuous" vertical="center"/>
    </xf>
    <xf numFmtId="0" fontId="2" fillId="0" borderId="0" xfId="0" applyNumberFormat="1" applyFont="1" applyAlignment="1">
      <alignment horizontal="centerContinuous" vertical="center" wrapText="1"/>
    </xf>
    <xf numFmtId="0" fontId="2" fillId="0" borderId="0" xfId="0" applyNumberFormat="1" applyFont="1" applyAlignment="1">
      <alignment horizontal="centerContinuous" vertical="center"/>
    </xf>
    <xf numFmtId="0" fontId="3" fillId="0" borderId="0" xfId="0" applyFont="1" applyAlignment="1">
      <alignment horizontal="centerContinuous" vertical="center"/>
    </xf>
    <xf numFmtId="0" fontId="3" fillId="0" borderId="0" xfId="0" applyFont="1" applyAlignment="1">
      <alignment horizontal="center"/>
    </xf>
    <xf numFmtId="0" fontId="18" fillId="0" borderId="0" xfId="0" applyFont="1" applyAlignment="1">
      <alignment horizontal="centerContinuous"/>
    </xf>
    <xf numFmtId="0" fontId="18" fillId="0" borderId="14" xfId="0" applyFont="1" applyBorder="1" applyAlignment="1">
      <alignment vertical="center"/>
    </xf>
    <xf numFmtId="0" fontId="3" fillId="0" borderId="14" xfId="0" applyFont="1" applyBorder="1" applyAlignment="1">
      <alignment vertical="center"/>
    </xf>
    <xf numFmtId="0" fontId="2" fillId="0" borderId="0" xfId="0" applyFont="1" applyAlignment="1">
      <alignment horizontal="center"/>
    </xf>
    <xf numFmtId="0" fontId="48" fillId="0" borderId="0" xfId="0" applyFont="1" applyAlignment="1">
      <alignment vertical="center" wrapText="1"/>
    </xf>
    <xf numFmtId="0" fontId="1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Border="1" applyAlignment="1">
      <alignment vertical="center" wrapText="1"/>
    </xf>
    <xf numFmtId="3" fontId="3" fillId="0" borderId="0" xfId="0" applyNumberFormat="1" applyFont="1" applyBorder="1" applyAlignment="1">
      <alignment vertical="center" wrapText="1"/>
    </xf>
    <xf numFmtId="3" fontId="3" fillId="0" borderId="0" xfId="0" applyNumberFormat="1" applyFont="1" applyAlignment="1">
      <alignment vertical="center" wrapText="1"/>
    </xf>
    <xf numFmtId="3" fontId="3" fillId="0" borderId="0" xfId="0" applyNumberFormat="1" applyFont="1" applyAlignment="1">
      <alignment vertical="center"/>
    </xf>
    <xf numFmtId="3" fontId="3" fillId="0" borderId="0" xfId="0" applyNumberFormat="1" applyFont="1"/>
    <xf numFmtId="0" fontId="3" fillId="0" borderId="0" xfId="0" applyFont="1" applyFill="1" applyAlignment="1">
      <alignment horizontal="left" vertical="center"/>
    </xf>
    <xf numFmtId="0" fontId="4" fillId="0" borderId="0" xfId="0" applyFont="1" applyFill="1" applyAlignment="1">
      <alignment horizontal="centerContinuous"/>
    </xf>
    <xf numFmtId="0" fontId="4" fillId="0" borderId="0" xfId="0" applyNumberFormat="1" applyFont="1" applyFill="1" applyAlignment="1">
      <alignment horizontal="centerContinuous" vertical="center" wrapText="1"/>
    </xf>
    <xf numFmtId="0" fontId="3" fillId="0" borderId="0" xfId="0" applyFont="1" applyFill="1" applyAlignment="1">
      <alignment horizontal="centerContinuous" wrapText="1"/>
    </xf>
    <xf numFmtId="0" fontId="18" fillId="0" borderId="0" xfId="0" applyFont="1" applyFill="1" applyAlignment="1">
      <alignment horizontal="centerContinuous"/>
    </xf>
    <xf numFmtId="0" fontId="18" fillId="0" borderId="14" xfId="0" applyNumberFormat="1" applyFont="1" applyFill="1" applyBorder="1" applyAlignment="1">
      <alignment vertical="center"/>
    </xf>
    <xf numFmtId="0" fontId="16" fillId="0" borderId="0" xfId="0" applyFont="1" applyFill="1"/>
    <xf numFmtId="0" fontId="16" fillId="0" borderId="0" xfId="0" applyFont="1" applyFill="1" applyAlignment="1">
      <alignment horizontal="center"/>
    </xf>
    <xf numFmtId="0" fontId="3" fillId="0" borderId="0" xfId="0" applyFont="1" applyFill="1" applyAlignment="1">
      <alignment vertical="center" wrapText="1"/>
    </xf>
    <xf numFmtId="0" fontId="48" fillId="0" borderId="0" xfId="0" applyFont="1" applyFill="1" applyAlignment="1">
      <alignment vertical="center" wrapText="1"/>
    </xf>
    <xf numFmtId="0" fontId="18" fillId="0" borderId="0" xfId="0" applyFont="1" applyFill="1" applyAlignment="1">
      <alignment vertical="center" wrapText="1"/>
    </xf>
    <xf numFmtId="0" fontId="21" fillId="0" borderId="0" xfId="0" applyFont="1" applyFill="1" applyAlignment="1">
      <alignment vertical="center" wrapText="1"/>
    </xf>
    <xf numFmtId="0" fontId="49" fillId="0" borderId="0" xfId="0" applyFont="1" applyFill="1" applyAlignment="1">
      <alignment vertical="center" wrapText="1"/>
    </xf>
    <xf numFmtId="3" fontId="3" fillId="0" borderId="0" xfId="0" applyNumberFormat="1" applyFont="1" applyFill="1"/>
    <xf numFmtId="0" fontId="51" fillId="0" borderId="0" xfId="0" applyFont="1" applyFill="1" applyAlignment="1">
      <alignment horizontal="center"/>
    </xf>
    <xf numFmtId="0" fontId="2" fillId="0" borderId="0" xfId="0" applyFont="1" applyAlignment="1">
      <alignment vertical="center"/>
    </xf>
    <xf numFmtId="0" fontId="3" fillId="0" borderId="0" xfId="14" applyFont="1" applyFill="1" applyAlignment="1">
      <alignment vertical="center"/>
    </xf>
    <xf numFmtId="0" fontId="9" fillId="0" borderId="0" xfId="14" applyFont="1" applyFill="1" applyAlignment="1">
      <alignment vertical="center"/>
    </xf>
    <xf numFmtId="0" fontId="20" fillId="0" borderId="0" xfId="0" applyNumberFormat="1" applyFont="1" applyAlignment="1">
      <alignment vertical="center"/>
    </xf>
    <xf numFmtId="0" fontId="2" fillId="0" borderId="0" xfId="0" applyNumberFormat="1" applyFont="1" applyFill="1" applyAlignment="1">
      <alignment horizontal="centerContinuous" vertical="center"/>
    </xf>
    <xf numFmtId="0" fontId="9" fillId="0" borderId="0" xfId="14" applyFont="1" applyFill="1" applyAlignment="1">
      <alignment horizontal="centerContinuous"/>
    </xf>
    <xf numFmtId="0" fontId="9" fillId="0" borderId="0" xfId="14" applyFont="1" applyFill="1"/>
    <xf numFmtId="0" fontId="31" fillId="0" borderId="0" xfId="14" applyFont="1" applyFill="1" applyAlignment="1">
      <alignment horizontal="right"/>
    </xf>
    <xf numFmtId="0" fontId="13" fillId="0" borderId="0" xfId="14" applyFont="1" applyFill="1" applyAlignment="1">
      <alignment vertical="center" wrapText="1"/>
    </xf>
    <xf numFmtId="0" fontId="2" fillId="0" borderId="0" xfId="14" applyFont="1" applyFill="1" applyAlignment="1">
      <alignment vertical="center" wrapText="1"/>
    </xf>
    <xf numFmtId="0" fontId="3" fillId="0" borderId="0" xfId="14" applyFont="1" applyFill="1" applyAlignment="1">
      <alignment vertical="center" wrapText="1"/>
    </xf>
    <xf numFmtId="0" fontId="51" fillId="0" borderId="0" xfId="14" applyFont="1" applyFill="1" applyAlignment="1">
      <alignment vertical="center" wrapText="1"/>
    </xf>
    <xf numFmtId="0" fontId="21" fillId="0" borderId="0" xfId="14" applyFont="1" applyFill="1" applyAlignment="1">
      <alignment vertical="center" wrapText="1"/>
    </xf>
    <xf numFmtId="0" fontId="9" fillId="0" borderId="5" xfId="14" applyFont="1" applyFill="1" applyBorder="1" applyAlignment="1">
      <alignment vertical="center" wrapText="1"/>
    </xf>
    <xf numFmtId="0" fontId="9" fillId="0" borderId="24" xfId="14" applyFont="1" applyFill="1" applyBorder="1" applyAlignment="1">
      <alignment vertical="center" wrapText="1"/>
    </xf>
    <xf numFmtId="0" fontId="9" fillId="0" borderId="29" xfId="14" applyFont="1" applyFill="1" applyBorder="1" applyAlignment="1">
      <alignment vertical="center" wrapText="1"/>
    </xf>
    <xf numFmtId="0" fontId="9" fillId="0" borderId="0" xfId="14" applyFont="1" applyFill="1" applyAlignment="1">
      <alignment vertical="center" wrapText="1"/>
    </xf>
    <xf numFmtId="0" fontId="0" fillId="0" borderId="0" xfId="0" applyFont="1" applyBorder="1"/>
    <xf numFmtId="0" fontId="68" fillId="0" borderId="0" xfId="0" applyFont="1"/>
    <xf numFmtId="0" fontId="69" fillId="0" borderId="0" xfId="0" applyNumberFormat="1" applyFont="1" applyFill="1" applyBorder="1" applyAlignment="1">
      <alignment horizontal="centerContinuous" vertical="center"/>
    </xf>
    <xf numFmtId="0" fontId="0" fillId="0" borderId="0" xfId="0" applyFont="1" applyAlignment="1">
      <alignment horizontal="centerContinuous"/>
    </xf>
    <xf numFmtId="0" fontId="69" fillId="0" borderId="0" xfId="0" applyFont="1" applyFill="1" applyBorder="1" applyAlignment="1">
      <alignment horizontal="centerContinuous" vertical="center"/>
    </xf>
    <xf numFmtId="0" fontId="68" fillId="0" borderId="0" xfId="0" applyFont="1" applyAlignment="1">
      <alignment horizontal="centerContinuous"/>
    </xf>
    <xf numFmtId="0" fontId="0" fillId="0" borderId="0" xfId="0" applyFont="1" applyFill="1" applyBorder="1" applyAlignment="1"/>
    <xf numFmtId="0" fontId="70" fillId="0" borderId="31" xfId="0" applyFont="1" applyBorder="1" applyAlignment="1">
      <alignment horizontal="center" vertical="center" wrapText="1"/>
    </xf>
    <xf numFmtId="0" fontId="71" fillId="0" borderId="2" xfId="0" applyFont="1" applyBorder="1" applyAlignment="1">
      <alignment horizontal="center" vertical="center" wrapText="1"/>
    </xf>
    <xf numFmtId="0" fontId="70" fillId="0" borderId="31" xfId="0" applyFont="1" applyBorder="1" applyAlignment="1">
      <alignment vertical="center" wrapText="1"/>
    </xf>
    <xf numFmtId="0" fontId="72" fillId="0" borderId="31" xfId="0" applyFont="1" applyBorder="1" applyAlignment="1">
      <alignment vertical="center"/>
    </xf>
    <xf numFmtId="0" fontId="72" fillId="0" borderId="32" xfId="0" applyFont="1" applyBorder="1" applyAlignment="1">
      <alignment vertical="center"/>
    </xf>
    <xf numFmtId="0" fontId="72" fillId="0" borderId="0" xfId="0" applyFont="1" applyAlignment="1">
      <alignment vertical="center"/>
    </xf>
    <xf numFmtId="0" fontId="73" fillId="0" borderId="0" xfId="0" applyFont="1" applyAlignment="1">
      <alignment vertical="center"/>
    </xf>
    <xf numFmtId="0" fontId="74" fillId="0" borderId="0" xfId="0" applyFont="1" applyAlignment="1">
      <alignment vertical="center"/>
    </xf>
    <xf numFmtId="0" fontId="68" fillId="0" borderId="5" xfId="0" applyFont="1" applyBorder="1"/>
    <xf numFmtId="0" fontId="68" fillId="0" borderId="34" xfId="0" applyFont="1" applyBorder="1"/>
    <xf numFmtId="0" fontId="71" fillId="0" borderId="2" xfId="0" applyFont="1" applyBorder="1" applyAlignment="1">
      <alignment vertical="center" wrapText="1"/>
    </xf>
    <xf numFmtId="0" fontId="73" fillId="0" borderId="2" xfId="0" applyFont="1" applyBorder="1" applyAlignment="1">
      <alignment vertical="center"/>
    </xf>
    <xf numFmtId="0" fontId="73" fillId="0" borderId="25" xfId="0" applyFont="1" applyBorder="1" applyAlignment="1">
      <alignment vertical="center"/>
    </xf>
    <xf numFmtId="0" fontId="75" fillId="0" borderId="2" xfId="0" applyFont="1" applyBorder="1" applyAlignment="1">
      <alignment horizontal="center" vertical="center" wrapText="1"/>
    </xf>
    <xf numFmtId="0" fontId="75" fillId="0" borderId="2" xfId="0" applyFont="1" applyBorder="1" applyAlignment="1">
      <alignment vertical="center" wrapText="1"/>
    </xf>
    <xf numFmtId="0" fontId="74" fillId="0" borderId="2" xfId="0" applyFont="1" applyBorder="1" applyAlignment="1">
      <alignment vertical="center"/>
    </xf>
    <xf numFmtId="0" fontId="74" fillId="0" borderId="25" xfId="0" applyFont="1" applyBorder="1" applyAlignment="1">
      <alignment vertical="center"/>
    </xf>
    <xf numFmtId="49" fontId="2" fillId="0" borderId="2" xfId="9" applyNumberFormat="1" applyFont="1" applyFill="1" applyBorder="1" applyAlignment="1">
      <alignment horizontal="justify" vertical="center" wrapText="1"/>
    </xf>
    <xf numFmtId="0" fontId="68" fillId="0" borderId="2" xfId="0" applyFont="1" applyBorder="1"/>
    <xf numFmtId="0" fontId="68" fillId="0" borderId="25" xfId="0" applyFont="1" applyBorder="1"/>
    <xf numFmtId="49" fontId="2" fillId="0" borderId="2" xfId="9" applyNumberFormat="1" applyFont="1" applyFill="1" applyBorder="1" applyAlignment="1">
      <alignment horizontal="left" vertical="center" wrapText="1"/>
    </xf>
    <xf numFmtId="0" fontId="76" fillId="0" borderId="2" xfId="0" applyFont="1" applyBorder="1" applyAlignment="1">
      <alignment horizontal="center" vertical="center" wrapText="1"/>
    </xf>
    <xf numFmtId="0" fontId="76" fillId="0" borderId="3"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31" xfId="0" applyFont="1" applyBorder="1" applyAlignment="1">
      <alignment horizontal="center" vertical="center" wrapText="1"/>
    </xf>
    <xf numFmtId="0" fontId="76" fillId="0" borderId="32" xfId="0" applyFont="1" applyBorder="1" applyAlignment="1">
      <alignment horizontal="center" vertical="center" wrapText="1"/>
    </xf>
    <xf numFmtId="0" fontId="76" fillId="0" borderId="0" xfId="0" applyFont="1"/>
    <xf numFmtId="0" fontId="53" fillId="0" borderId="0" xfId="0" applyFont="1"/>
    <xf numFmtId="0" fontId="77" fillId="0" borderId="1" xfId="0" applyFont="1" applyBorder="1" applyAlignment="1">
      <alignment horizontal="center" vertical="center" wrapText="1"/>
    </xf>
    <xf numFmtId="49" fontId="2" fillId="0" borderId="33" xfId="9" applyNumberFormat="1" applyFont="1" applyFill="1" applyBorder="1" applyAlignment="1">
      <alignment horizontal="center" vertical="center" wrapText="1"/>
    </xf>
    <xf numFmtId="49" fontId="54" fillId="0" borderId="1" xfId="9" applyNumberFormat="1" applyFont="1" applyFill="1" applyBorder="1" applyAlignment="1">
      <alignment horizontal="center" vertical="center" wrapText="1"/>
    </xf>
    <xf numFmtId="49" fontId="2" fillId="0" borderId="1" xfId="9" applyNumberFormat="1" applyFont="1" applyFill="1" applyBorder="1" applyAlignment="1">
      <alignment horizontal="center" vertical="center" wrapText="1"/>
    </xf>
    <xf numFmtId="49" fontId="54" fillId="0" borderId="35" xfId="9" applyNumberFormat="1" applyFont="1" applyFill="1" applyBorder="1" applyAlignment="1">
      <alignment horizontal="center" vertical="center" wrapText="1"/>
    </xf>
    <xf numFmtId="0" fontId="69" fillId="0" borderId="0" xfId="0" applyFont="1"/>
    <xf numFmtId="167" fontId="13" fillId="0" borderId="2" xfId="14" applyNumberFormat="1" applyFont="1" applyFill="1" applyBorder="1" applyAlignment="1">
      <alignment vertical="center" wrapText="1"/>
    </xf>
    <xf numFmtId="0" fontId="13" fillId="0" borderId="2" xfId="14" applyFont="1" applyFill="1" applyBorder="1" applyAlignment="1">
      <alignment vertical="center" wrapText="1"/>
    </xf>
    <xf numFmtId="167" fontId="13" fillId="0" borderId="23" xfId="14" applyNumberFormat="1" applyFont="1" applyFill="1" applyBorder="1" applyAlignment="1">
      <alignment vertical="center" wrapText="1"/>
    </xf>
    <xf numFmtId="167" fontId="13" fillId="0" borderId="25" xfId="14" applyNumberFormat="1" applyFont="1" applyFill="1" applyBorder="1" applyAlignment="1">
      <alignment vertical="center" wrapText="1"/>
    </xf>
    <xf numFmtId="0" fontId="2" fillId="0" borderId="1" xfId="0" applyFont="1" applyFill="1" applyBorder="1" applyAlignment="1">
      <alignment horizontal="center" vertical="center" wrapText="1"/>
    </xf>
    <xf numFmtId="167" fontId="2" fillId="0" borderId="2" xfId="14" quotePrefix="1" applyNumberFormat="1" applyFont="1" applyFill="1" applyBorder="1" applyAlignment="1">
      <alignment vertical="center" wrapText="1"/>
    </xf>
    <xf numFmtId="0" fontId="2" fillId="0" borderId="2" xfId="14" applyFont="1" applyFill="1" applyBorder="1" applyAlignment="1">
      <alignment vertical="center" wrapText="1"/>
    </xf>
    <xf numFmtId="167" fontId="2" fillId="0" borderId="23" xfId="14" quotePrefix="1" applyNumberFormat="1" applyFont="1" applyFill="1" applyBorder="1" applyAlignment="1">
      <alignment vertical="center" wrapText="1"/>
    </xf>
    <xf numFmtId="167" fontId="2" fillId="0" borderId="25" xfId="14" quotePrefix="1" applyNumberFormat="1" applyFont="1" applyFill="1" applyBorder="1" applyAlignment="1">
      <alignment vertical="center" wrapText="1"/>
    </xf>
    <xf numFmtId="167" fontId="3" fillId="0" borderId="2" xfId="14" quotePrefix="1" applyNumberFormat="1" applyFont="1" applyFill="1" applyBorder="1" applyAlignment="1">
      <alignment vertical="center" wrapText="1"/>
    </xf>
    <xf numFmtId="0" fontId="3" fillId="0" borderId="2" xfId="14" applyFont="1" applyFill="1" applyBorder="1" applyAlignment="1">
      <alignment vertical="center" wrapText="1"/>
    </xf>
    <xf numFmtId="167" fontId="3" fillId="0" borderId="23" xfId="14" quotePrefix="1" applyNumberFormat="1" applyFont="1" applyFill="1" applyBorder="1" applyAlignment="1">
      <alignment vertical="center" wrapText="1"/>
    </xf>
    <xf numFmtId="167" fontId="3" fillId="0" borderId="25" xfId="14" quotePrefix="1" applyNumberFormat="1" applyFont="1" applyFill="1" applyBorder="1" applyAlignment="1">
      <alignment vertical="center" wrapText="1"/>
    </xf>
    <xf numFmtId="167" fontId="51" fillId="0" borderId="2" xfId="14" quotePrefix="1" applyNumberFormat="1" applyFont="1" applyFill="1" applyBorder="1" applyAlignment="1">
      <alignment vertical="center" wrapText="1"/>
    </xf>
    <xf numFmtId="0" fontId="51" fillId="0" borderId="2" xfId="14" applyFont="1" applyFill="1" applyBorder="1" applyAlignment="1">
      <alignment vertical="center" wrapText="1"/>
    </xf>
    <xf numFmtId="167" fontId="51" fillId="0" borderId="23" xfId="14" quotePrefix="1" applyNumberFormat="1" applyFont="1" applyFill="1" applyBorder="1" applyAlignment="1">
      <alignment vertical="center" wrapText="1"/>
    </xf>
    <xf numFmtId="167" fontId="51" fillId="0" borderId="25" xfId="14" quotePrefix="1" applyNumberFormat="1" applyFont="1" applyFill="1" applyBorder="1" applyAlignment="1">
      <alignment vertical="center" wrapText="1"/>
    </xf>
    <xf numFmtId="0" fontId="2" fillId="0" borderId="1" xfId="14" applyFont="1" applyFill="1" applyBorder="1" applyAlignment="1">
      <alignment horizontal="center" vertical="center" wrapText="1"/>
    </xf>
    <xf numFmtId="167" fontId="2" fillId="0" borderId="2" xfId="14" applyNumberFormat="1" applyFont="1" applyFill="1" applyBorder="1" applyAlignment="1">
      <alignment vertical="center" wrapText="1"/>
    </xf>
    <xf numFmtId="167" fontId="2" fillId="0" borderId="23" xfId="14" applyNumberFormat="1" applyFont="1" applyFill="1" applyBorder="1" applyAlignment="1">
      <alignment vertical="center" wrapText="1"/>
    </xf>
    <xf numFmtId="167" fontId="2" fillId="0" borderId="25" xfId="14" applyNumberFormat="1" applyFont="1" applyFill="1" applyBorder="1" applyAlignment="1">
      <alignment vertical="center" wrapText="1"/>
    </xf>
    <xf numFmtId="167" fontId="21" fillId="0" borderId="2" xfId="14" quotePrefix="1" applyNumberFormat="1" applyFont="1" applyFill="1" applyBorder="1" applyAlignment="1">
      <alignment vertical="center" wrapText="1"/>
    </xf>
    <xf numFmtId="0" fontId="21" fillId="0" borderId="2" xfId="14" applyFont="1" applyFill="1" applyBorder="1" applyAlignment="1">
      <alignment vertical="center" wrapText="1"/>
    </xf>
    <xf numFmtId="167" fontId="21" fillId="0" borderId="23" xfId="14" quotePrefix="1" applyNumberFormat="1" applyFont="1" applyFill="1" applyBorder="1" applyAlignment="1">
      <alignment vertical="center" wrapText="1"/>
    </xf>
    <xf numFmtId="167" fontId="21" fillId="0" borderId="25" xfId="14" quotePrefix="1" applyNumberFormat="1" applyFont="1" applyFill="1" applyBorder="1" applyAlignment="1">
      <alignment vertical="center" wrapText="1"/>
    </xf>
    <xf numFmtId="0" fontId="2" fillId="0" borderId="0" xfId="14" applyFont="1" applyFill="1"/>
    <xf numFmtId="0" fontId="11" fillId="0" borderId="12" xfId="14" applyFont="1" applyFill="1" applyBorder="1" applyAlignment="1">
      <alignment horizontal="center" vertical="center"/>
    </xf>
    <xf numFmtId="0" fontId="11" fillId="0" borderId="13" xfId="14" applyFont="1" applyFill="1" applyBorder="1" applyAlignment="1">
      <alignment horizontal="center" vertical="center"/>
    </xf>
    <xf numFmtId="0" fontId="11" fillId="0" borderId="13" xfId="14" applyNumberFormat="1" applyFont="1" applyFill="1" applyBorder="1" applyAlignment="1">
      <alignment horizontal="center" vertical="center" wrapText="1"/>
    </xf>
    <xf numFmtId="0" fontId="11" fillId="0" borderId="22" xfId="14" applyFont="1" applyFill="1" applyBorder="1" applyAlignment="1">
      <alignment horizontal="center" vertical="center"/>
    </xf>
    <xf numFmtId="0" fontId="11" fillId="0" borderId="28" xfId="14" applyFont="1" applyFill="1" applyBorder="1" applyAlignment="1">
      <alignment horizontal="center" vertical="center"/>
    </xf>
    <xf numFmtId="0" fontId="11" fillId="0" borderId="0" xfId="14" applyFont="1" applyFill="1"/>
    <xf numFmtId="0" fontId="2" fillId="0" borderId="4" xfId="14" applyFont="1" applyFill="1" applyBorder="1" applyAlignment="1">
      <alignment vertical="center" wrapText="1"/>
    </xf>
    <xf numFmtId="0" fontId="11" fillId="0" borderId="13" xfId="0" applyFont="1" applyFill="1" applyBorder="1" applyAlignment="1">
      <alignment horizontal="center" vertical="center"/>
    </xf>
    <xf numFmtId="0" fontId="11" fillId="0" borderId="13" xfId="0" quotePrefix="1" applyFont="1" applyFill="1" applyBorder="1" applyAlignment="1">
      <alignment horizontal="center" vertical="center"/>
    </xf>
    <xf numFmtId="0" fontId="11" fillId="0" borderId="0" xfId="0" applyFont="1" applyFill="1" applyAlignment="1">
      <alignment horizontal="center" vertical="center"/>
    </xf>
    <xf numFmtId="0" fontId="2" fillId="0" borderId="0" xfId="0" applyFont="1" applyFill="1" applyAlignment="1">
      <alignment horizontal="center"/>
    </xf>
    <xf numFmtId="0" fontId="2" fillId="0" borderId="0" xfId="0" applyNumberFormat="1" applyFont="1" applyFill="1" applyAlignment="1">
      <alignment horizontal="centerContinuous" vertical="center" wrapText="1"/>
    </xf>
    <xf numFmtId="0" fontId="2" fillId="0" borderId="12"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5" xfId="0" applyFont="1" applyFill="1" applyBorder="1" applyAlignment="1">
      <alignment vertical="center" wrapText="1"/>
    </xf>
    <xf numFmtId="3" fontId="3" fillId="0" borderId="5" xfId="0" applyNumberFormat="1" applyFont="1" applyFill="1" applyBorder="1" applyAlignment="1">
      <alignment vertical="center" wrapText="1"/>
    </xf>
    <xf numFmtId="3" fontId="3" fillId="0" borderId="29" xfId="0" applyNumberFormat="1" applyFont="1" applyFill="1" applyBorder="1" applyAlignment="1">
      <alignment vertical="center" wrapText="1"/>
    </xf>
    <xf numFmtId="3" fontId="48" fillId="0" borderId="2" xfId="0" applyNumberFormat="1" applyFont="1" applyFill="1" applyBorder="1" applyAlignment="1">
      <alignment vertical="center" wrapText="1"/>
    </xf>
    <xf numFmtId="3" fontId="48" fillId="0" borderId="25" xfId="0" applyNumberFormat="1" applyFont="1" applyFill="1" applyBorder="1" applyAlignment="1">
      <alignment vertical="center" wrapText="1"/>
    </xf>
    <xf numFmtId="3" fontId="49" fillId="0" borderId="2" xfId="0" applyNumberFormat="1" applyFont="1" applyFill="1" applyBorder="1" applyAlignment="1">
      <alignment vertical="center" wrapText="1"/>
    </xf>
    <xf numFmtId="3" fontId="49" fillId="0" borderId="25" xfId="0" applyNumberFormat="1" applyFont="1" applyFill="1" applyBorder="1" applyAlignment="1">
      <alignment vertical="center" wrapText="1"/>
    </xf>
    <xf numFmtId="3" fontId="3" fillId="0" borderId="2" xfId="0" applyNumberFormat="1" applyFont="1" applyFill="1" applyBorder="1" applyAlignment="1">
      <alignment vertical="center" wrapText="1"/>
    </xf>
    <xf numFmtId="3" fontId="3" fillId="0" borderId="25" xfId="0" applyNumberFormat="1" applyFont="1" applyFill="1" applyBorder="1" applyAlignment="1">
      <alignment vertical="center" wrapText="1"/>
    </xf>
    <xf numFmtId="3" fontId="18" fillId="0" borderId="2" xfId="0" applyNumberFormat="1" applyFont="1" applyFill="1" applyBorder="1" applyAlignment="1">
      <alignment vertical="center" wrapText="1"/>
    </xf>
    <xf numFmtId="3" fontId="18" fillId="0" borderId="25" xfId="0" applyNumberFormat="1" applyFont="1" applyFill="1" applyBorder="1" applyAlignment="1">
      <alignment vertical="center" wrapText="1"/>
    </xf>
    <xf numFmtId="3" fontId="21" fillId="0" borderId="2" xfId="0" applyNumberFormat="1" applyFont="1" applyFill="1" applyBorder="1" applyAlignment="1">
      <alignment vertical="center" wrapText="1"/>
    </xf>
    <xf numFmtId="3" fontId="21" fillId="0" borderId="25" xfId="0" applyNumberFormat="1" applyFont="1" applyFill="1" applyBorder="1" applyAlignment="1">
      <alignment vertical="center" wrapText="1"/>
    </xf>
    <xf numFmtId="0" fontId="2" fillId="0" borderId="0" xfId="0" applyFont="1" applyAlignment="1">
      <alignment horizontal="center" vertical="center"/>
    </xf>
    <xf numFmtId="0" fontId="2" fillId="0" borderId="0" xfId="0" applyFont="1" applyBorder="1" applyAlignment="1">
      <alignment horizontal="center" vertical="center" wrapText="1"/>
    </xf>
    <xf numFmtId="1" fontId="2" fillId="0" borderId="1" xfId="13" quotePrefix="1" applyNumberFormat="1" applyFont="1" applyFill="1" applyBorder="1" applyAlignment="1">
      <alignment horizontal="center" vertical="center"/>
    </xf>
    <xf numFmtId="0" fontId="2" fillId="0" borderId="0" xfId="6" applyFont="1" applyFill="1" applyAlignment="1">
      <alignment vertical="center"/>
    </xf>
    <xf numFmtId="0" fontId="2" fillId="0" borderId="11" xfId="12" applyFont="1" applyFill="1" applyBorder="1" applyAlignment="1">
      <alignment horizontal="center" vertical="center" wrapText="1"/>
    </xf>
    <xf numFmtId="0" fontId="2" fillId="0" borderId="33" xfId="12" applyFont="1" applyFill="1" applyBorder="1" applyAlignment="1">
      <alignment horizontal="center" vertical="center" wrapText="1"/>
    </xf>
    <xf numFmtId="0" fontId="2" fillId="0" borderId="1" xfId="0" applyFont="1" applyBorder="1" applyAlignment="1">
      <alignment horizontal="center"/>
    </xf>
    <xf numFmtId="0" fontId="2" fillId="0" borderId="4" xfId="0" applyFont="1" applyBorder="1" applyAlignment="1">
      <alignment horizontal="center"/>
    </xf>
    <xf numFmtId="49" fontId="2" fillId="0" borderId="0" xfId="9" applyNumberFormat="1" applyFont="1" applyFill="1" applyBorder="1" applyAlignment="1">
      <alignment vertical="center" wrapText="1"/>
    </xf>
    <xf numFmtId="49" fontId="2" fillId="0" borderId="0" xfId="9" applyNumberFormat="1" applyFont="1" applyFill="1" applyBorder="1" applyAlignment="1">
      <alignment horizontal="center" vertical="center" wrapText="1"/>
    </xf>
    <xf numFmtId="1" fontId="2" fillId="0" borderId="12" xfId="9" applyNumberFormat="1" applyFont="1" applyFill="1" applyBorder="1" applyAlignment="1">
      <alignment horizontal="center" vertical="center" wrapText="1"/>
    </xf>
    <xf numFmtId="49" fontId="2" fillId="0" borderId="4" xfId="9" applyNumberFormat="1" applyFont="1" applyFill="1" applyBorder="1" applyAlignment="1">
      <alignment horizontal="center" vertical="center" wrapText="1"/>
    </xf>
    <xf numFmtId="0" fontId="2" fillId="0" borderId="0" xfId="9" applyNumberFormat="1" applyFont="1" applyFill="1" applyBorder="1" applyAlignment="1">
      <alignment vertical="center" wrapText="1"/>
    </xf>
    <xf numFmtId="0" fontId="2"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11" fillId="0" borderId="0" xfId="0" applyFont="1" applyAlignment="1">
      <alignment horizontal="center" vertical="center"/>
    </xf>
    <xf numFmtId="0" fontId="2" fillId="0" borderId="4" xfId="0" applyFont="1" applyBorder="1" applyAlignment="1">
      <alignment horizontal="center" vertical="center" wrapText="1"/>
    </xf>
    <xf numFmtId="0" fontId="3" fillId="0" borderId="5" xfId="0" applyFont="1" applyBorder="1" applyAlignment="1">
      <alignment vertical="center" wrapText="1"/>
    </xf>
    <xf numFmtId="3" fontId="3" fillId="0" borderId="5" xfId="0" applyNumberFormat="1" applyFont="1" applyBorder="1" applyAlignment="1">
      <alignment vertical="center" wrapText="1"/>
    </xf>
    <xf numFmtId="3" fontId="3" fillId="0" borderId="29" xfId="0" applyNumberFormat="1" applyFont="1" applyBorder="1" applyAlignment="1">
      <alignment vertical="center" wrapText="1"/>
    </xf>
    <xf numFmtId="0" fontId="2" fillId="0" borderId="31" xfId="0" applyFont="1" applyBorder="1" applyAlignment="1">
      <alignment horizontal="center"/>
    </xf>
    <xf numFmtId="0" fontId="2" fillId="0" borderId="31" xfId="0" applyFont="1" applyBorder="1" applyAlignment="1">
      <alignment horizontal="left"/>
    </xf>
    <xf numFmtId="0" fontId="2" fillId="0" borderId="31" xfId="0" applyFont="1" applyFill="1" applyBorder="1" applyAlignment="1">
      <alignment horizontal="center"/>
    </xf>
    <xf numFmtId="0" fontId="2" fillId="0" borderId="32"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25" xfId="0" applyFont="1" applyBorder="1" applyAlignment="1">
      <alignment horizontal="center"/>
    </xf>
    <xf numFmtId="3" fontId="49" fillId="0" borderId="2" xfId="0" applyNumberFormat="1" applyFont="1" applyBorder="1" applyAlignment="1">
      <alignment vertical="center" wrapText="1"/>
    </xf>
    <xf numFmtId="3" fontId="49" fillId="0" borderId="25" xfId="0" applyNumberFormat="1" applyFont="1" applyBorder="1" applyAlignment="1">
      <alignment vertical="center" wrapText="1"/>
    </xf>
    <xf numFmtId="3" fontId="3" fillId="0" borderId="2" xfId="0" applyNumberFormat="1" applyFont="1" applyBorder="1" applyAlignment="1">
      <alignment vertical="center" wrapText="1"/>
    </xf>
    <xf numFmtId="3" fontId="3" fillId="0" borderId="25" xfId="0" applyNumberFormat="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Fill="1" applyBorder="1" applyAlignment="1">
      <alignment horizontal="left" vertical="center" wrapText="1"/>
    </xf>
    <xf numFmtId="3" fontId="2" fillId="0" borderId="2" xfId="0" applyNumberFormat="1" applyFont="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5" xfId="0" applyNumberFormat="1" applyFont="1" applyBorder="1" applyAlignment="1">
      <alignment horizontal="center" vertical="center" wrapText="1"/>
    </xf>
    <xf numFmtId="3" fontId="18" fillId="0" borderId="2" xfId="0" applyNumberFormat="1" applyFont="1" applyBorder="1" applyAlignment="1">
      <alignment vertical="center" wrapText="1"/>
    </xf>
    <xf numFmtId="3" fontId="18" fillId="0" borderId="25" xfId="0" applyNumberFormat="1" applyFont="1" applyBorder="1" applyAlignment="1">
      <alignment vertical="center" wrapText="1"/>
    </xf>
    <xf numFmtId="3" fontId="3" fillId="0" borderId="2" xfId="0" applyNumberFormat="1" applyFont="1" applyBorder="1" applyAlignment="1">
      <alignment horizontal="left" vertical="center" wrapText="1"/>
    </xf>
    <xf numFmtId="3" fontId="3" fillId="0" borderId="2" xfId="0" applyNumberFormat="1" applyFont="1" applyFill="1" applyBorder="1" applyAlignment="1">
      <alignment horizontal="left" vertical="center" wrapText="1"/>
    </xf>
    <xf numFmtId="3" fontId="3" fillId="0" borderId="25" xfId="0" applyNumberFormat="1" applyFont="1" applyBorder="1" applyAlignment="1">
      <alignment horizontal="left" vertical="center" wrapText="1"/>
    </xf>
    <xf numFmtId="0" fontId="6" fillId="0" borderId="0" xfId="0" applyFont="1" applyBorder="1" applyAlignment="1"/>
    <xf numFmtId="0" fontId="8" fillId="0" borderId="2" xfId="0" applyNumberFormat="1" applyFont="1" applyFill="1" applyBorder="1" applyAlignment="1">
      <alignment horizontal="left" vertical="center" wrapText="1"/>
    </xf>
    <xf numFmtId="0" fontId="11" fillId="0" borderId="28" xfId="0" quotePrefix="1" applyFont="1" applyFill="1" applyBorder="1" applyAlignment="1">
      <alignment horizontal="center" vertical="center"/>
    </xf>
    <xf numFmtId="0" fontId="7" fillId="0" borderId="0" xfId="14" applyFont="1" applyFill="1"/>
    <xf numFmtId="0" fontId="2" fillId="0" borderId="33" xfId="14" applyFont="1" applyFill="1" applyBorder="1" applyAlignment="1">
      <alignment horizontal="left" vertical="center" wrapText="1"/>
    </xf>
    <xf numFmtId="167" fontId="13" fillId="0" borderId="31" xfId="14" applyNumberFormat="1" applyFont="1" applyFill="1" applyBorder="1" applyAlignment="1">
      <alignment horizontal="left" vertical="center" wrapText="1"/>
    </xf>
    <xf numFmtId="0" fontId="13" fillId="0" borderId="31" xfId="14" applyFont="1" applyFill="1" applyBorder="1" applyAlignment="1">
      <alignment horizontal="left" vertical="center" wrapText="1"/>
    </xf>
    <xf numFmtId="167" fontId="13" fillId="0" borderId="36" xfId="14" applyNumberFormat="1" applyFont="1" applyFill="1" applyBorder="1" applyAlignment="1">
      <alignment horizontal="left" vertical="center" wrapText="1"/>
    </xf>
    <xf numFmtId="167" fontId="13" fillId="0" borderId="32" xfId="14" applyNumberFormat="1" applyFont="1" applyFill="1" applyBorder="1" applyAlignment="1">
      <alignment horizontal="left" vertical="center" wrapText="1"/>
    </xf>
    <xf numFmtId="0" fontId="13" fillId="0" borderId="0" xfId="14" applyFont="1" applyFill="1" applyAlignment="1">
      <alignment horizontal="left" vertical="center" wrapText="1"/>
    </xf>
    <xf numFmtId="0" fontId="4" fillId="0" borderId="31" xfId="14" applyNumberFormat="1" applyFont="1" applyFill="1" applyBorder="1" applyAlignment="1">
      <alignment horizontal="left" vertical="center" wrapText="1"/>
    </xf>
    <xf numFmtId="0" fontId="4" fillId="0" borderId="2" xfId="0" applyNumberFormat="1" applyFont="1" applyFill="1" applyBorder="1" applyAlignment="1">
      <alignment vertical="center" wrapText="1"/>
    </xf>
    <xf numFmtId="167" fontId="7" fillId="0" borderId="2" xfId="0" applyNumberFormat="1" applyFont="1" applyFill="1" applyBorder="1" applyAlignment="1">
      <alignment vertical="center" wrapText="1"/>
    </xf>
    <xf numFmtId="167" fontId="4" fillId="0" borderId="2" xfId="14" applyNumberFormat="1" applyFont="1" applyFill="1" applyBorder="1" applyAlignment="1">
      <alignment vertical="center" wrapText="1"/>
    </xf>
    <xf numFmtId="0" fontId="4" fillId="0" borderId="2" xfId="14" applyNumberFormat="1" applyFont="1" applyFill="1" applyBorder="1" applyAlignment="1">
      <alignment horizontal="left" vertical="center"/>
    </xf>
    <xf numFmtId="0" fontId="4" fillId="0" borderId="23" xfId="0" applyFont="1" applyBorder="1" applyAlignment="1">
      <alignment vertical="center"/>
    </xf>
    <xf numFmtId="0" fontId="72" fillId="0" borderId="37" xfId="0" applyFont="1" applyBorder="1" applyAlignment="1">
      <alignment horizontal="centerContinuous" vertical="center" wrapText="1"/>
    </xf>
    <xf numFmtId="0" fontId="72" fillId="0" borderId="38" xfId="0" applyFont="1" applyBorder="1" applyAlignment="1">
      <alignment horizontal="centerContinuous" vertical="center" wrapText="1"/>
    </xf>
    <xf numFmtId="0" fontId="72" fillId="0" borderId="39" xfId="0" applyFont="1" applyBorder="1" applyAlignment="1">
      <alignment horizontal="centerContinuous" vertical="center" wrapText="1"/>
    </xf>
    <xf numFmtId="49" fontId="2" fillId="0" borderId="2" xfId="9" applyNumberFormat="1" applyFont="1" applyFill="1" applyBorder="1" applyAlignment="1">
      <alignment horizontal="justify" vertical="center"/>
    </xf>
    <xf numFmtId="49" fontId="11" fillId="0" borderId="2" xfId="9" applyNumberFormat="1" applyFont="1" applyFill="1" applyBorder="1" applyAlignment="1">
      <alignment vertical="center"/>
    </xf>
    <xf numFmtId="49" fontId="8" fillId="0" borderId="31" xfId="9" applyNumberFormat="1" applyFont="1" applyFill="1" applyBorder="1" applyAlignment="1">
      <alignment horizontal="left" vertical="center" wrapText="1"/>
    </xf>
    <xf numFmtId="0" fontId="68" fillId="0" borderId="40" xfId="0" applyFont="1" applyBorder="1"/>
    <xf numFmtId="0" fontId="4" fillId="0" borderId="0" xfId="0" applyFont="1" applyFill="1"/>
    <xf numFmtId="0" fontId="18" fillId="0" borderId="0" xfId="0" applyFont="1" applyAlignment="1">
      <alignment horizontal="center"/>
    </xf>
    <xf numFmtId="0" fontId="2" fillId="0" borderId="33" xfId="0" applyNumberFormat="1" applyFont="1" applyBorder="1" applyAlignment="1">
      <alignment horizontal="center"/>
    </xf>
    <xf numFmtId="49" fontId="54" fillId="0" borderId="30" xfId="9" applyNumberFormat="1" applyFont="1" applyFill="1" applyBorder="1" applyAlignment="1">
      <alignment horizontal="left" vertical="center" wrapText="1"/>
    </xf>
    <xf numFmtId="165" fontId="54" fillId="0" borderId="30" xfId="9" applyNumberFormat="1" applyFont="1" applyFill="1" applyBorder="1" applyAlignment="1">
      <alignment horizontal="right" vertical="center" wrapText="1"/>
    </xf>
    <xf numFmtId="165" fontId="54" fillId="0" borderId="0" xfId="9" applyNumberFormat="1" applyFont="1" applyFill="1" applyBorder="1" applyAlignment="1">
      <alignment horizontal="right" vertical="center" wrapText="1"/>
    </xf>
    <xf numFmtId="0" fontId="62" fillId="0" borderId="0" xfId="0" applyFont="1"/>
    <xf numFmtId="165" fontId="4" fillId="0" borderId="13" xfId="9" applyNumberFormat="1" applyFont="1" applyFill="1" applyBorder="1" applyAlignment="1">
      <alignment horizontal="center" vertical="top" wrapText="1"/>
    </xf>
    <xf numFmtId="0" fontId="18" fillId="0" borderId="0" xfId="0" applyFont="1" applyBorder="1" applyAlignment="1">
      <alignment vertical="center" wrapText="1"/>
    </xf>
    <xf numFmtId="0" fontId="78" fillId="0" borderId="2" xfId="0" applyFont="1" applyBorder="1" applyAlignment="1">
      <alignment horizontal="center" vertical="center" wrapText="1"/>
    </xf>
    <xf numFmtId="0" fontId="78" fillId="0" borderId="2" xfId="0" applyFont="1" applyBorder="1" applyAlignment="1">
      <alignment vertical="center" wrapText="1"/>
    </xf>
    <xf numFmtId="0" fontId="79" fillId="0" borderId="2" xfId="0" applyFont="1" applyBorder="1" applyAlignment="1">
      <alignment vertical="center"/>
    </xf>
    <xf numFmtId="0" fontId="79" fillId="0" borderId="25" xfId="0" applyFont="1" applyBorder="1" applyAlignment="1">
      <alignment vertical="center"/>
    </xf>
    <xf numFmtId="0" fontId="79" fillId="0" borderId="0" xfId="0" applyFont="1" applyAlignment="1">
      <alignment vertical="center"/>
    </xf>
    <xf numFmtId="3" fontId="4" fillId="0" borderId="38" xfId="13" applyNumberFormat="1" applyFont="1" applyBorder="1" applyAlignment="1">
      <alignment vertical="center" wrapText="1"/>
    </xf>
    <xf numFmtId="0" fontId="2" fillId="0" borderId="1" xfId="0" quotePrefix="1" applyFont="1" applyFill="1" applyBorder="1" applyAlignment="1">
      <alignment horizontal="center" vertical="center" wrapText="1"/>
    </xf>
    <xf numFmtId="167" fontId="6" fillId="0" borderId="23" xfId="0" applyNumberFormat="1" applyFont="1" applyFill="1" applyBorder="1" applyAlignment="1">
      <alignment vertical="center" wrapText="1"/>
    </xf>
    <xf numFmtId="0" fontId="6" fillId="0" borderId="23" xfId="0" applyNumberFormat="1" applyFont="1" applyBorder="1" applyAlignment="1">
      <alignment vertical="center"/>
    </xf>
    <xf numFmtId="0" fontId="7" fillId="0" borderId="0" xfId="0" applyFont="1" applyAlignment="1">
      <alignment horizontal="centerContinuous"/>
    </xf>
    <xf numFmtId="3" fontId="3" fillId="0" borderId="30" xfId="0" applyNumberFormat="1" applyFont="1" applyBorder="1" applyAlignment="1">
      <alignment vertical="center" wrapText="1"/>
    </xf>
    <xf numFmtId="0" fontId="55" fillId="0" borderId="0" xfId="0" applyFont="1"/>
    <xf numFmtId="0" fontId="80" fillId="0" borderId="0" xfId="0" applyNumberFormat="1" applyFont="1" applyFill="1" applyBorder="1" applyAlignment="1">
      <alignment horizontal="centerContinuous" vertical="center"/>
    </xf>
    <xf numFmtId="0" fontId="81" fillId="0" borderId="0" xfId="0" applyFont="1"/>
    <xf numFmtId="0" fontId="3" fillId="0" borderId="0" xfId="0" applyFont="1" applyAlignment="1">
      <alignment horizontal="left"/>
    </xf>
    <xf numFmtId="0" fontId="18" fillId="0" borderId="0" xfId="0" applyFont="1" applyBorder="1" applyAlignment="1">
      <alignment horizontal="left" wrapText="1"/>
    </xf>
    <xf numFmtId="0" fontId="18" fillId="0" borderId="0" xfId="0" applyFont="1" applyBorder="1" applyAlignment="1">
      <alignment wrapText="1"/>
    </xf>
    <xf numFmtId="0" fontId="18" fillId="0" borderId="30" xfId="0" applyFont="1" applyBorder="1" applyAlignment="1">
      <alignment wrapText="1"/>
    </xf>
    <xf numFmtId="0" fontId="62" fillId="0" borderId="0" xfId="0" applyFont="1" applyBorder="1"/>
    <xf numFmtId="0" fontId="4" fillId="0" borderId="31" xfId="0" applyFont="1" applyBorder="1" applyAlignment="1">
      <alignment horizontal="center" vertical="center" wrapText="1"/>
    </xf>
    <xf numFmtId="0" fontId="4" fillId="0" borderId="13" xfId="7" applyFont="1" applyBorder="1" applyAlignment="1">
      <alignment horizontal="center" vertical="center" wrapText="1"/>
    </xf>
    <xf numFmtId="0" fontId="4" fillId="0" borderId="13" xfId="7" applyFont="1" applyBorder="1" applyAlignment="1">
      <alignment horizontal="center" vertical="center"/>
    </xf>
    <xf numFmtId="0" fontId="6" fillId="0" borderId="0" xfId="7" applyFont="1" applyBorder="1" applyAlignment="1">
      <alignment horizontal="right"/>
    </xf>
    <xf numFmtId="0" fontId="82" fillId="0" borderId="0" xfId="0" applyFont="1" applyAlignment="1">
      <alignment vertical="center"/>
    </xf>
    <xf numFmtId="0" fontId="4" fillId="0" borderId="16" xfId="0" applyFont="1" applyBorder="1" applyAlignment="1">
      <alignment horizontal="center" vertical="center"/>
    </xf>
    <xf numFmtId="0" fontId="12" fillId="0" borderId="16" xfId="0" applyFont="1" applyBorder="1" applyAlignment="1">
      <alignment horizontal="justify" vertical="center"/>
    </xf>
    <xf numFmtId="0" fontId="4" fillId="0" borderId="9" xfId="0" applyFont="1" applyBorder="1" applyAlignment="1">
      <alignment horizontal="center" vertical="center"/>
    </xf>
    <xf numFmtId="0" fontId="4" fillId="0" borderId="9" xfId="0" applyFont="1" applyBorder="1" applyAlignment="1">
      <alignment horizontal="justify" vertical="center"/>
    </xf>
    <xf numFmtId="0" fontId="7" fillId="0" borderId="9" xfId="0" quotePrefix="1" applyFont="1" applyBorder="1" applyAlignment="1">
      <alignment horizontal="center" vertical="center"/>
    </xf>
    <xf numFmtId="0" fontId="7" fillId="0" borderId="9" xfId="0" applyFont="1" applyBorder="1" applyAlignment="1">
      <alignment horizontal="justify" vertical="center"/>
    </xf>
    <xf numFmtId="0" fontId="7" fillId="0" borderId="9" xfId="0" applyFont="1" applyBorder="1" applyAlignment="1">
      <alignment horizontal="center" vertical="center"/>
    </xf>
    <xf numFmtId="0" fontId="7" fillId="0" borderId="9" xfId="0" applyFont="1" applyBorder="1" applyAlignment="1">
      <alignment vertical="center"/>
    </xf>
    <xf numFmtId="0" fontId="4" fillId="0" borderId="9" xfId="0" applyFont="1" applyFill="1" applyBorder="1" applyAlignment="1">
      <alignment horizontal="center" vertical="center"/>
    </xf>
    <xf numFmtId="0" fontId="4" fillId="0" borderId="9" xfId="0" applyFont="1" applyFill="1" applyBorder="1" applyAlignment="1">
      <alignment horizontal="justify" vertical="center"/>
    </xf>
    <xf numFmtId="0" fontId="4" fillId="0" borderId="41" xfId="0" applyFont="1" applyFill="1" applyBorder="1" applyAlignment="1">
      <alignment horizontal="center" vertical="center"/>
    </xf>
    <xf numFmtId="0" fontId="4" fillId="0" borderId="41" xfId="0" applyFont="1" applyFill="1" applyBorder="1" applyAlignment="1">
      <alignment horizontal="justify" vertical="center"/>
    </xf>
    <xf numFmtId="0" fontId="4" fillId="0" borderId="9" xfId="0" applyFont="1" applyBorder="1" applyAlignment="1">
      <alignment vertical="center"/>
    </xf>
    <xf numFmtId="0" fontId="6" fillId="0" borderId="9" xfId="0" applyFont="1" applyBorder="1" applyAlignment="1">
      <alignment vertical="center"/>
    </xf>
    <xf numFmtId="164" fontId="4" fillId="0" borderId="16" xfId="0" applyNumberFormat="1" applyFont="1" applyBorder="1" applyAlignment="1">
      <alignment vertical="center"/>
    </xf>
    <xf numFmtId="164" fontId="4" fillId="0" borderId="9" xfId="0" applyNumberFormat="1" applyFont="1" applyBorder="1" applyAlignment="1">
      <alignment vertical="center"/>
    </xf>
    <xf numFmtId="164" fontId="7" fillId="0" borderId="9" xfId="0" applyNumberFormat="1" applyFont="1" applyBorder="1" applyAlignment="1">
      <alignment vertical="center"/>
    </xf>
    <xf numFmtId="164" fontId="4" fillId="0" borderId="9" xfId="0" applyNumberFormat="1" applyFont="1" applyFill="1" applyBorder="1" applyAlignment="1">
      <alignment vertical="center"/>
    </xf>
    <xf numFmtId="164" fontId="4" fillId="0" borderId="41" xfId="0" applyNumberFormat="1" applyFont="1" applyFill="1" applyBorder="1" applyAlignment="1">
      <alignment vertical="center"/>
    </xf>
    <xf numFmtId="0" fontId="55" fillId="0" borderId="13" xfId="0" applyFont="1" applyBorder="1" applyAlignment="1">
      <alignment horizontal="center" vertical="center"/>
    </xf>
    <xf numFmtId="0" fontId="55" fillId="0" borderId="13" xfId="0" quotePrefix="1" applyFont="1" applyBorder="1" applyAlignment="1">
      <alignment horizontal="center" vertical="center"/>
    </xf>
    <xf numFmtId="0" fontId="4" fillId="0" borderId="16" xfId="0" applyFont="1" applyBorder="1" applyAlignment="1">
      <alignment horizontal="center"/>
    </xf>
    <xf numFmtId="0" fontId="4" fillId="0" borderId="16" xfId="0" applyFont="1" applyBorder="1"/>
    <xf numFmtId="0" fontId="4" fillId="0" borderId="9" xfId="0" applyFont="1" applyBorder="1" applyAlignment="1">
      <alignment horizontal="center"/>
    </xf>
    <xf numFmtId="0" fontId="4" fillId="0" borderId="9" xfId="0" applyFont="1" applyBorder="1"/>
    <xf numFmtId="0" fontId="7" fillId="0" borderId="9" xfId="0" applyFont="1" applyBorder="1" applyAlignment="1">
      <alignment horizontal="center"/>
    </xf>
    <xf numFmtId="0" fontId="6" fillId="0" borderId="9" xfId="0" applyFont="1" applyBorder="1" applyAlignment="1">
      <alignment horizontal="center"/>
    </xf>
    <xf numFmtId="0" fontId="6" fillId="0" borderId="9" xfId="0" quotePrefix="1" applyFont="1" applyBorder="1" applyAlignment="1">
      <alignment horizontal="center"/>
    </xf>
    <xf numFmtId="0" fontId="6" fillId="0" borderId="9" xfId="0" applyFont="1" applyBorder="1"/>
    <xf numFmtId="0" fontId="4" fillId="0" borderId="16" xfId="0" applyFont="1" applyBorder="1" applyAlignment="1">
      <alignment vertical="center"/>
    </xf>
    <xf numFmtId="164" fontId="4" fillId="0" borderId="16" xfId="7" applyNumberFormat="1" applyFont="1" applyBorder="1" applyAlignment="1">
      <alignment vertical="center"/>
    </xf>
    <xf numFmtId="164" fontId="4" fillId="0" borderId="9" xfId="7" applyNumberFormat="1" applyFont="1" applyBorder="1" applyAlignment="1">
      <alignment vertical="center"/>
    </xf>
    <xf numFmtId="164" fontId="7" fillId="0" borderId="9" xfId="7" applyNumberFormat="1" applyFont="1" applyBorder="1" applyAlignment="1">
      <alignment vertical="center"/>
    </xf>
    <xf numFmtId="0" fontId="6" fillId="0" borderId="9" xfId="0" applyFont="1" applyBorder="1" applyAlignment="1">
      <alignment horizontal="center" vertical="center"/>
    </xf>
    <xf numFmtId="164" fontId="6" fillId="0" borderId="9" xfId="7" applyNumberFormat="1" applyFont="1" applyBorder="1" applyAlignment="1">
      <alignment vertical="center"/>
    </xf>
    <xf numFmtId="0" fontId="6" fillId="0" borderId="9" xfId="0" quotePrefix="1" applyFont="1" applyBorder="1" applyAlignment="1">
      <alignment horizontal="center" vertical="center"/>
    </xf>
    <xf numFmtId="0" fontId="7" fillId="0" borderId="9" xfId="0" applyFont="1" applyBorder="1" applyAlignment="1">
      <alignment vertical="center" wrapText="1"/>
    </xf>
    <xf numFmtId="164" fontId="4" fillId="0" borderId="41" xfId="7" applyNumberFormat="1" applyFont="1" applyBorder="1" applyAlignment="1">
      <alignment vertical="center"/>
    </xf>
    <xf numFmtId="0" fontId="55" fillId="0" borderId="13" xfId="7" applyFont="1" applyBorder="1" applyAlignment="1">
      <alignment horizontal="center" vertical="center"/>
    </xf>
    <xf numFmtId="0" fontId="55" fillId="0" borderId="13" xfId="7" quotePrefix="1" applyFont="1" applyBorder="1" applyAlignment="1">
      <alignment horizontal="center" vertical="center"/>
    </xf>
    <xf numFmtId="0" fontId="7" fillId="0" borderId="9" xfId="0" applyFont="1" applyBorder="1" applyAlignment="1">
      <alignment horizontal="left" vertical="center" wrapText="1"/>
    </xf>
    <xf numFmtId="0" fontId="14" fillId="0" borderId="9" xfId="0" applyFont="1" applyBorder="1"/>
    <xf numFmtId="0" fontId="4" fillId="0" borderId="41" xfId="0" applyFont="1" applyBorder="1" applyAlignment="1">
      <alignment horizontal="center"/>
    </xf>
    <xf numFmtId="0" fontId="4" fillId="0" borderId="41" xfId="0" applyFont="1" applyBorder="1"/>
    <xf numFmtId="0" fontId="7" fillId="0" borderId="59" xfId="0" applyFont="1" applyBorder="1" applyAlignment="1">
      <alignment horizontal="center" vertical="center"/>
    </xf>
    <xf numFmtId="0" fontId="7" fillId="0" borderId="59" xfId="0" applyFont="1" applyBorder="1" applyAlignment="1">
      <alignment horizontal="justify" vertical="center" wrapText="1"/>
    </xf>
    <xf numFmtId="0" fontId="6" fillId="0" borderId="59" xfId="0" applyFont="1" applyBorder="1" applyAlignment="1">
      <alignment horizontal="center" vertical="center"/>
    </xf>
    <xf numFmtId="0" fontId="6" fillId="0" borderId="59" xfId="0" applyFont="1" applyBorder="1" applyAlignment="1">
      <alignment horizontal="justify" vertical="center" wrapText="1"/>
    </xf>
    <xf numFmtId="0" fontId="7" fillId="0" borderId="60" xfId="0" applyFont="1" applyBorder="1" applyAlignment="1">
      <alignment horizontal="center" vertical="center"/>
    </xf>
    <xf numFmtId="0" fontId="7" fillId="0" borderId="60" xfId="0" applyFont="1" applyBorder="1" applyAlignment="1">
      <alignment horizontal="justify" vertical="center" wrapText="1"/>
    </xf>
    <xf numFmtId="0" fontId="14" fillId="0" borderId="9" xfId="0"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164" fontId="7" fillId="0" borderId="41" xfId="7" applyNumberFormat="1" applyFont="1" applyBorder="1" applyAlignment="1">
      <alignment vertical="center"/>
    </xf>
    <xf numFmtId="0" fontId="4" fillId="0" borderId="2" xfId="0" applyFont="1" applyBorder="1" applyAlignment="1">
      <alignment horizontal="centerContinuous" vertical="center" wrapText="1"/>
    </xf>
    <xf numFmtId="0" fontId="4" fillId="0" borderId="25" xfId="0" applyFont="1" applyBorder="1" applyAlignment="1">
      <alignment horizontal="centerContinuous" vertical="center" wrapText="1"/>
    </xf>
    <xf numFmtId="0" fontId="6" fillId="0" borderId="0" xfId="0" applyFont="1" applyAlignment="1">
      <alignment horizontal="left" vertical="center"/>
    </xf>
    <xf numFmtId="0" fontId="7" fillId="0" borderId="0" xfId="0" applyFont="1" applyAlignment="1">
      <alignment vertical="center"/>
    </xf>
    <xf numFmtId="0" fontId="4" fillId="0" borderId="16" xfId="0" applyNumberFormat="1" applyFont="1" applyBorder="1" applyAlignment="1">
      <alignment horizontal="center" vertical="center"/>
    </xf>
    <xf numFmtId="0" fontId="4" fillId="0" borderId="16" xfId="0" applyNumberFormat="1" applyFont="1" applyBorder="1" applyAlignment="1">
      <alignment vertical="center"/>
    </xf>
    <xf numFmtId="0" fontId="4" fillId="0" borderId="9" xfId="0" applyNumberFormat="1" applyFont="1" applyBorder="1" applyAlignment="1">
      <alignment horizontal="center" vertical="center"/>
    </xf>
    <xf numFmtId="0" fontId="4" fillId="0" borderId="9" xfId="0" applyNumberFormat="1" applyFont="1" applyBorder="1" applyAlignment="1">
      <alignment vertical="center"/>
    </xf>
    <xf numFmtId="0" fontId="7" fillId="0" borderId="9" xfId="0" applyNumberFormat="1" applyFont="1" applyBorder="1" applyAlignment="1">
      <alignment horizontal="center" vertical="center"/>
    </xf>
    <xf numFmtId="0" fontId="7" fillId="0" borderId="9" xfId="0" applyNumberFormat="1" applyFont="1" applyBorder="1" applyAlignment="1">
      <alignment vertical="center"/>
    </xf>
    <xf numFmtId="0" fontId="7" fillId="0" borderId="9" xfId="0" quotePrefix="1" applyNumberFormat="1" applyFont="1" applyBorder="1" applyAlignment="1">
      <alignment horizontal="center" vertical="center"/>
    </xf>
    <xf numFmtId="0" fontId="7" fillId="0" borderId="9" xfId="14" applyNumberFormat="1" applyFont="1" applyFill="1" applyBorder="1" applyAlignment="1">
      <alignment vertical="center" wrapText="1"/>
    </xf>
    <xf numFmtId="0" fontId="7" fillId="0" borderId="9" xfId="0" applyNumberFormat="1" applyFont="1" applyBorder="1" applyAlignment="1">
      <alignment horizontal="left" vertical="center" wrapText="1"/>
    </xf>
    <xf numFmtId="0" fontId="4" fillId="0" borderId="41" xfId="0" applyNumberFormat="1" applyFont="1" applyBorder="1" applyAlignment="1">
      <alignment horizontal="center" vertical="center"/>
    </xf>
    <xf numFmtId="0" fontId="4" fillId="0" borderId="41" xfId="0" applyNumberFormat="1" applyFont="1" applyBorder="1" applyAlignment="1">
      <alignment vertical="center"/>
    </xf>
    <xf numFmtId="164" fontId="4" fillId="0" borderId="9" xfId="0" applyNumberFormat="1" applyFont="1" applyBorder="1" applyAlignment="1">
      <alignment horizontal="right" vertical="center"/>
    </xf>
    <xf numFmtId="164" fontId="7" fillId="0" borderId="9" xfId="0" applyNumberFormat="1" applyFont="1" applyBorder="1" applyAlignment="1">
      <alignment horizontal="right" vertical="center"/>
    </xf>
    <xf numFmtId="164" fontId="4" fillId="0" borderId="41" xfId="0" applyNumberFormat="1" applyFont="1" applyBorder="1" applyAlignment="1">
      <alignment vertical="center"/>
    </xf>
    <xf numFmtId="3" fontId="6" fillId="0" borderId="9" xfId="0" applyNumberFormat="1" applyFont="1" applyBorder="1"/>
    <xf numFmtId="3" fontId="7" fillId="0" borderId="9" xfId="0" applyNumberFormat="1" applyFont="1" applyBorder="1"/>
    <xf numFmtId="0" fontId="7" fillId="0" borderId="9" xfId="0" applyFont="1" applyBorder="1" applyAlignment="1">
      <alignment horizontal="justify" vertical="center" wrapText="1"/>
    </xf>
    <xf numFmtId="0" fontId="6" fillId="0" borderId="9" xfId="0" applyFont="1" applyBorder="1" applyAlignment="1">
      <alignment horizontal="justify" vertical="center" wrapText="1"/>
    </xf>
    <xf numFmtId="3" fontId="4" fillId="0" borderId="9" xfId="0" applyNumberFormat="1" applyFont="1" applyBorder="1"/>
    <xf numFmtId="164" fontId="6" fillId="0" borderId="9" xfId="0" applyNumberFormat="1" applyFont="1" applyBorder="1"/>
    <xf numFmtId="164" fontId="28" fillId="0" borderId="41" xfId="0" applyNumberFormat="1" applyFont="1" applyBorder="1"/>
    <xf numFmtId="164" fontId="28" fillId="0" borderId="9" xfId="0" applyNumberFormat="1" applyFont="1" applyBorder="1"/>
    <xf numFmtId="164" fontId="4" fillId="0" borderId="16" xfId="0" applyNumberFormat="1" applyFont="1" applyBorder="1"/>
    <xf numFmtId="3" fontId="4" fillId="0" borderId="16" xfId="0" applyNumberFormat="1" applyFont="1" applyBorder="1"/>
    <xf numFmtId="164" fontId="4" fillId="0" borderId="9" xfId="0" applyNumberFormat="1" applyFont="1" applyBorder="1"/>
    <xf numFmtId="164" fontId="7" fillId="0" borderId="9" xfId="0" applyNumberFormat="1" applyFont="1" applyBorder="1"/>
    <xf numFmtId="3" fontId="4" fillId="0" borderId="41" xfId="0" applyNumberFormat="1" applyFont="1" applyBorder="1"/>
    <xf numFmtId="0" fontId="8"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3" xfId="0" applyFont="1" applyBorder="1" applyAlignment="1">
      <alignment horizontal="center" vertical="center"/>
    </xf>
    <xf numFmtId="0" fontId="8" fillId="0" borderId="13" xfId="0" quotePrefix="1" applyFont="1" applyBorder="1" applyAlignment="1">
      <alignment horizontal="center" vertical="center"/>
    </xf>
    <xf numFmtId="0" fontId="8" fillId="0" borderId="0" xfId="0" applyFont="1" applyAlignment="1">
      <alignment vertical="center"/>
    </xf>
    <xf numFmtId="164" fontId="7" fillId="0" borderId="41" xfId="0" applyNumberFormat="1" applyFont="1" applyBorder="1"/>
    <xf numFmtId="164" fontId="4" fillId="0" borderId="41" xfId="0" applyNumberFormat="1" applyFont="1" applyBorder="1"/>
    <xf numFmtId="0" fontId="7" fillId="0" borderId="41" xfId="0" applyFont="1" applyBorder="1" applyAlignment="1">
      <alignment horizontal="center"/>
    </xf>
    <xf numFmtId="0" fontId="7" fillId="0" borderId="41" xfId="0" applyFont="1" applyBorder="1"/>
    <xf numFmtId="0" fontId="7" fillId="0" borderId="2" xfId="0" applyFont="1" applyBorder="1" applyAlignment="1">
      <alignment horizontal="center" vertical="center" wrapText="1"/>
    </xf>
    <xf numFmtId="0" fontId="7" fillId="0" borderId="31" xfId="0" applyFont="1" applyBorder="1" applyAlignment="1">
      <alignment horizontal="center" vertical="center" wrapText="1"/>
    </xf>
    <xf numFmtId="0" fontId="10" fillId="0" borderId="16" xfId="0" applyFont="1" applyBorder="1" applyAlignment="1">
      <alignment horizontal="center"/>
    </xf>
    <xf numFmtId="0" fontId="7" fillId="0" borderId="9" xfId="7" applyFont="1" applyBorder="1"/>
    <xf numFmtId="0" fontId="6" fillId="0" borderId="0" xfId="7" applyFont="1" applyBorder="1" applyAlignment="1"/>
    <xf numFmtId="0" fontId="4" fillId="0" borderId="16" xfId="7" applyFont="1" applyBorder="1" applyAlignment="1">
      <alignment horizontal="center" vertical="center"/>
    </xf>
    <xf numFmtId="0" fontId="4" fillId="0" borderId="9" xfId="7" applyFont="1" applyBorder="1" applyAlignment="1">
      <alignment horizontal="center" vertical="center"/>
    </xf>
    <xf numFmtId="0" fontId="4" fillId="0" borderId="9" xfId="7" applyFont="1" applyBorder="1" applyAlignment="1">
      <alignment vertical="center"/>
    </xf>
    <xf numFmtId="0" fontId="7" fillId="0" borderId="9" xfId="7" applyFont="1" applyBorder="1" applyAlignment="1">
      <alignment vertical="center"/>
    </xf>
    <xf numFmtId="0" fontId="7" fillId="0" borderId="41" xfId="0" applyFont="1" applyBorder="1" applyAlignment="1">
      <alignment horizontal="center" vertical="center"/>
    </xf>
    <xf numFmtId="0" fontId="7" fillId="0" borderId="41" xfId="0" applyFont="1" applyBorder="1" applyAlignment="1">
      <alignment vertical="center"/>
    </xf>
    <xf numFmtId="0" fontId="4" fillId="0" borderId="0" xfId="7" applyFont="1"/>
    <xf numFmtId="0" fontId="4" fillId="0" borderId="42" xfId="7" applyFont="1" applyBorder="1" applyAlignment="1">
      <alignment horizontal="centerContinuous"/>
    </xf>
    <xf numFmtId="0" fontId="4" fillId="0" borderId="43" xfId="7" applyFont="1" applyBorder="1" applyAlignment="1">
      <alignment horizontal="centerContinuous"/>
    </xf>
    <xf numFmtId="0" fontId="4" fillId="0" borderId="23" xfId="7" applyFont="1" applyBorder="1" applyAlignment="1">
      <alignment horizontal="center"/>
    </xf>
    <xf numFmtId="0" fontId="4" fillId="0" borderId="25" xfId="7" applyFont="1" applyBorder="1" applyAlignment="1">
      <alignment horizontal="center"/>
    </xf>
    <xf numFmtId="0" fontId="4" fillId="0" borderId="23" xfId="7" applyFont="1" applyBorder="1" applyAlignment="1">
      <alignment horizontal="center" vertical="center"/>
    </xf>
    <xf numFmtId="0" fontId="4" fillId="0" borderId="44" xfId="7" applyFont="1" applyBorder="1" applyAlignment="1">
      <alignment horizontal="center" vertical="center"/>
    </xf>
    <xf numFmtId="170" fontId="6" fillId="0" borderId="59" xfId="0" applyNumberFormat="1" applyFont="1" applyBorder="1" applyAlignment="1">
      <alignment vertical="center"/>
    </xf>
    <xf numFmtId="170" fontId="7" fillId="0" borderId="59" xfId="0" applyNumberFormat="1" applyFont="1" applyBorder="1" applyAlignment="1">
      <alignment vertical="center"/>
    </xf>
    <xf numFmtId="0" fontId="4" fillId="2" borderId="9" xfId="0" applyFont="1" applyFill="1" applyBorder="1" applyAlignment="1">
      <alignment horizontal="center" vertical="center"/>
    </xf>
    <xf numFmtId="0" fontId="4" fillId="2" borderId="9" xfId="0" applyNumberFormat="1" applyFont="1" applyFill="1" applyBorder="1" applyAlignment="1">
      <alignment horizontal="left" vertical="center"/>
    </xf>
    <xf numFmtId="0" fontId="4" fillId="2" borderId="41" xfId="0" applyFont="1" applyFill="1" applyBorder="1" applyAlignment="1">
      <alignment horizontal="center" vertical="center"/>
    </xf>
    <xf numFmtId="0" fontId="4" fillId="2" borderId="41" xfId="0" applyNumberFormat="1" applyFont="1" applyFill="1" applyBorder="1" applyAlignment="1">
      <alignment horizontal="left" vertical="center" wrapText="1"/>
    </xf>
    <xf numFmtId="41" fontId="4" fillId="0" borderId="16" xfId="0" applyNumberFormat="1" applyFont="1" applyBorder="1" applyAlignment="1">
      <alignment vertical="center"/>
    </xf>
    <xf numFmtId="41" fontId="4" fillId="0" borderId="9" xfId="0" applyNumberFormat="1" applyFont="1" applyBorder="1" applyAlignment="1">
      <alignment vertical="center"/>
    </xf>
    <xf numFmtId="41" fontId="7" fillId="0" borderId="9" xfId="0" applyNumberFormat="1" applyFont="1" applyBorder="1" applyAlignment="1">
      <alignment vertical="center"/>
    </xf>
    <xf numFmtId="171" fontId="7" fillId="0" borderId="0" xfId="0" applyNumberFormat="1" applyFont="1"/>
    <xf numFmtId="170" fontId="7" fillId="0" borderId="60" xfId="0" applyNumberFormat="1" applyFont="1" applyBorder="1" applyAlignment="1">
      <alignment vertical="center"/>
    </xf>
    <xf numFmtId="0" fontId="4" fillId="0" borderId="12" xfId="0"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170" fontId="7" fillId="0" borderId="59" xfId="0" applyNumberFormat="1" applyFont="1" applyBorder="1" applyAlignment="1">
      <alignment vertical="center" wrapText="1"/>
    </xf>
    <xf numFmtId="170" fontId="6" fillId="0" borderId="59" xfId="0" applyNumberFormat="1" applyFont="1" applyBorder="1" applyAlignment="1">
      <alignment vertical="center" wrapText="1"/>
    </xf>
    <xf numFmtId="170" fontId="4" fillId="0" borderId="59" xfId="0" applyNumberFormat="1" applyFont="1" applyBorder="1" applyAlignment="1">
      <alignment vertical="center" wrapText="1"/>
    </xf>
    <xf numFmtId="164" fontId="4" fillId="0" borderId="9" xfId="0" applyNumberFormat="1" applyFont="1" applyBorder="1" applyAlignment="1">
      <alignment horizontal="left" vertical="center" wrapText="1"/>
    </xf>
    <xf numFmtId="164" fontId="7" fillId="0" borderId="9" xfId="0" applyNumberFormat="1" applyFont="1" applyBorder="1" applyAlignment="1">
      <alignment horizontal="left" vertical="center" wrapText="1"/>
    </xf>
    <xf numFmtId="164" fontId="6" fillId="0" borderId="9" xfId="0" applyNumberFormat="1" applyFont="1" applyBorder="1" applyAlignment="1">
      <alignment horizontal="left" vertical="center" wrapText="1"/>
    </xf>
    <xf numFmtId="164" fontId="4" fillId="0" borderId="41" xfId="0" applyNumberFormat="1" applyFont="1" applyBorder="1" applyAlignment="1">
      <alignment horizontal="left" vertical="center" wrapText="1"/>
    </xf>
    <xf numFmtId="164" fontId="83" fillId="0" borderId="9" xfId="0" applyNumberFormat="1" applyFont="1" applyBorder="1" applyAlignment="1">
      <alignment horizontal="left" vertical="center" wrapText="1"/>
    </xf>
    <xf numFmtId="164" fontId="6" fillId="4" borderId="9" xfId="0" applyNumberFormat="1" applyFont="1" applyFill="1" applyBorder="1" applyAlignment="1">
      <alignment horizontal="left" vertical="center" wrapText="1"/>
    </xf>
    <xf numFmtId="164" fontId="7" fillId="4" borderId="9" xfId="0" applyNumberFormat="1" applyFont="1" applyFill="1" applyBorder="1" applyAlignment="1">
      <alignment horizontal="left" vertical="center" wrapText="1"/>
    </xf>
    <xf numFmtId="164" fontId="7" fillId="0" borderId="0" xfId="0" applyNumberFormat="1" applyFont="1"/>
    <xf numFmtId="164" fontId="7" fillId="0" borderId="9" xfId="0" applyNumberFormat="1" applyFont="1" applyFill="1" applyBorder="1"/>
    <xf numFmtId="164" fontId="6" fillId="5" borderId="9" xfId="0" applyNumberFormat="1" applyFont="1" applyFill="1" applyBorder="1" applyAlignment="1">
      <alignment horizontal="left" vertical="center" wrapText="1"/>
    </xf>
    <xf numFmtId="172" fontId="4" fillId="0" borderId="16" xfId="0" applyNumberFormat="1" applyFont="1" applyBorder="1"/>
    <xf numFmtId="172" fontId="4" fillId="0" borderId="9" xfId="0" applyNumberFormat="1" applyFont="1" applyBorder="1"/>
    <xf numFmtId="172" fontId="7" fillId="0" borderId="9" xfId="0" applyNumberFormat="1" applyFont="1" applyBorder="1"/>
    <xf numFmtId="172" fontId="7" fillId="0" borderId="45" xfId="0" applyNumberFormat="1" applyFont="1" applyBorder="1"/>
    <xf numFmtId="172" fontId="7" fillId="0" borderId="16" xfId="0" applyNumberFormat="1" applyFont="1" applyBorder="1"/>
    <xf numFmtId="172" fontId="4" fillId="0" borderId="41" xfId="0" applyNumberFormat="1" applyFont="1" applyBorder="1"/>
    <xf numFmtId="164" fontId="83" fillId="0" borderId="9" xfId="0" applyNumberFormat="1" applyFont="1" applyBorder="1"/>
    <xf numFmtId="164" fontId="83" fillId="0" borderId="9" xfId="0" applyNumberFormat="1" applyFont="1" applyBorder="1" applyAlignment="1">
      <alignment vertical="center"/>
    </xf>
    <xf numFmtId="172" fontId="7" fillId="0" borderId="9" xfId="0" applyNumberFormat="1" applyFont="1" applyBorder="1" applyAlignment="1">
      <alignment vertical="center"/>
    </xf>
    <xf numFmtId="0" fontId="83" fillId="0" borderId="9" xfId="0" applyFont="1" applyBorder="1"/>
    <xf numFmtId="164" fontId="85" fillId="0" borderId="9" xfId="0" applyNumberFormat="1" applyFont="1" applyBorder="1"/>
    <xf numFmtId="169" fontId="86" fillId="0" borderId="54" xfId="1" applyNumberFormat="1" applyFont="1" applyBorder="1" applyAlignment="1">
      <alignment horizontal="center" vertical="center" wrapText="1"/>
    </xf>
    <xf numFmtId="169" fontId="7" fillId="0" borderId="0" xfId="1" applyNumberFormat="1" applyFont="1"/>
    <xf numFmtId="169" fontId="3" fillId="0" borderId="0" xfId="1" applyNumberFormat="1" applyFont="1"/>
    <xf numFmtId="169" fontId="9" fillId="0" borderId="0" xfId="1" applyNumberFormat="1" applyFont="1"/>
    <xf numFmtId="169" fontId="8" fillId="0" borderId="0" xfId="1" applyNumberFormat="1" applyFont="1" applyAlignment="1">
      <alignment vertical="center"/>
    </xf>
    <xf numFmtId="169" fontId="7" fillId="0" borderId="0" xfId="1" applyNumberFormat="1" applyFont="1" applyAlignment="1">
      <alignment vertical="center"/>
    </xf>
    <xf numFmtId="169" fontId="4" fillId="0" borderId="0" xfId="1" applyNumberFormat="1" applyFont="1"/>
    <xf numFmtId="164" fontId="4" fillId="0" borderId="23" xfId="0" applyNumberFormat="1" applyFont="1" applyBorder="1" applyAlignment="1">
      <alignment horizontal="center" vertical="center"/>
    </xf>
    <xf numFmtId="164" fontId="83" fillId="4" borderId="9" xfId="0" applyNumberFormat="1" applyFont="1" applyFill="1" applyBorder="1"/>
    <xf numFmtId="0" fontId="8" fillId="0" borderId="16" xfId="0" applyFont="1" applyBorder="1" applyAlignment="1">
      <alignment horizontal="center"/>
    </xf>
    <xf numFmtId="0" fontId="87" fillId="0" borderId="16" xfId="0" applyFont="1" applyBorder="1"/>
    <xf numFmtId="164" fontId="8" fillId="0" borderId="16" xfId="0" applyNumberFormat="1" applyFont="1" applyBorder="1"/>
    <xf numFmtId="0" fontId="9" fillId="0" borderId="9" xfId="0" applyFont="1" applyBorder="1" applyAlignment="1">
      <alignment horizontal="center"/>
    </xf>
    <xf numFmtId="0" fontId="9" fillId="0" borderId="9" xfId="7" applyFont="1" applyBorder="1"/>
    <xf numFmtId="164" fontId="9" fillId="0" borderId="9" xfId="0" applyNumberFormat="1" applyFont="1" applyBorder="1"/>
    <xf numFmtId="0" fontId="9" fillId="0" borderId="9" xfId="0" applyFont="1" applyBorder="1"/>
    <xf numFmtId="0" fontId="9" fillId="0" borderId="41" xfId="0" applyFont="1" applyBorder="1" applyAlignment="1">
      <alignment horizontal="center"/>
    </xf>
    <xf numFmtId="0" fontId="9" fillId="0" borderId="41" xfId="0" applyFont="1" applyBorder="1"/>
    <xf numFmtId="164" fontId="9" fillId="0" borderId="41" xfId="0" applyNumberFormat="1" applyFont="1" applyBorder="1"/>
    <xf numFmtId="4" fontId="8" fillId="0" borderId="16" xfId="0" applyNumberFormat="1" applyFont="1" applyBorder="1"/>
    <xf numFmtId="4" fontId="9" fillId="0" borderId="9" xfId="0" applyNumberFormat="1" applyFont="1" applyBorder="1"/>
    <xf numFmtId="4" fontId="9" fillId="0" borderId="41" xfId="0" applyNumberFormat="1" applyFont="1" applyBorder="1"/>
    <xf numFmtId="164" fontId="9" fillId="0" borderId="9" xfId="0" applyNumberFormat="1" applyFont="1" applyFill="1" applyBorder="1"/>
    <xf numFmtId="164" fontId="9" fillId="0" borderId="41" xfId="0" applyNumberFormat="1" applyFont="1" applyFill="1" applyBorder="1"/>
    <xf numFmtId="164" fontId="4" fillId="0" borderId="16" xfId="0" applyNumberFormat="1" applyFont="1" applyFill="1" applyBorder="1"/>
    <xf numFmtId="164" fontId="7" fillId="0" borderId="41" xfId="0" applyNumberFormat="1" applyFont="1" applyFill="1" applyBorder="1"/>
    <xf numFmtId="0" fontId="2" fillId="0" borderId="0" xfId="7" applyFont="1"/>
    <xf numFmtId="0" fontId="7" fillId="0" borderId="9" xfId="0" applyFont="1" applyBorder="1" applyAlignment="1">
      <alignment horizontal="justify" wrapText="1"/>
    </xf>
    <xf numFmtId="0" fontId="7" fillId="0" borderId="9" xfId="7" applyFont="1" applyBorder="1" applyAlignment="1">
      <alignment horizontal="justify" vertical="center" wrapText="1"/>
    </xf>
    <xf numFmtId="172" fontId="4" fillId="0" borderId="16" xfId="7" applyNumberFormat="1" applyFont="1" applyBorder="1" applyAlignment="1">
      <alignment vertical="center"/>
    </xf>
    <xf numFmtId="172" fontId="4" fillId="0" borderId="9" xfId="7" applyNumberFormat="1" applyFont="1" applyBorder="1" applyAlignment="1">
      <alignment vertical="center"/>
    </xf>
    <xf numFmtId="172" fontId="7" fillId="0" borderId="9" xfId="7" applyNumberFormat="1" applyFont="1" applyBorder="1" applyAlignment="1">
      <alignment vertical="center"/>
    </xf>
    <xf numFmtId="172" fontId="7" fillId="0" borderId="41" xfId="7" applyNumberFormat="1" applyFont="1" applyBorder="1" applyAlignment="1">
      <alignment vertical="center"/>
    </xf>
    <xf numFmtId="172" fontId="4" fillId="0" borderId="16" xfId="0" applyNumberFormat="1" applyFont="1" applyBorder="1" applyAlignment="1">
      <alignment vertical="center"/>
    </xf>
    <xf numFmtId="172" fontId="4" fillId="0" borderId="9" xfId="0" applyNumberFormat="1" applyFont="1" applyBorder="1" applyAlignment="1">
      <alignment vertical="center"/>
    </xf>
    <xf numFmtId="164" fontId="7" fillId="0" borderId="9" xfId="0" applyNumberFormat="1" applyFont="1" applyFill="1" applyBorder="1" applyAlignment="1">
      <alignment vertical="center"/>
    </xf>
    <xf numFmtId="172" fontId="7" fillId="0" borderId="45" xfId="0" applyNumberFormat="1" applyFont="1" applyBorder="1" applyAlignment="1">
      <alignment vertical="center"/>
    </xf>
    <xf numFmtId="172" fontId="7" fillId="0" borderId="16" xfId="0" applyNumberFormat="1" applyFont="1" applyBorder="1" applyAlignment="1">
      <alignment vertical="center"/>
    </xf>
    <xf numFmtId="172" fontId="4" fillId="0" borderId="41" xfId="0" applyNumberFormat="1" applyFont="1" applyBorder="1" applyAlignment="1">
      <alignment vertical="center"/>
    </xf>
    <xf numFmtId="0" fontId="4" fillId="0" borderId="2"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3" xfId="0" applyFont="1" applyBorder="1" applyAlignment="1">
      <alignment horizontal="center" vertical="center"/>
    </xf>
    <xf numFmtId="164" fontId="6" fillId="0" borderId="9" xfId="0" applyNumberFormat="1" applyFont="1" applyFill="1" applyBorder="1"/>
    <xf numFmtId="164" fontId="83" fillId="0" borderId="9" xfId="0" applyNumberFormat="1" applyFont="1" applyFill="1" applyBorder="1" applyAlignment="1">
      <alignment vertical="center"/>
    </xf>
    <xf numFmtId="164" fontId="7" fillId="0" borderId="9" xfId="0" applyNumberFormat="1" applyFont="1" applyFill="1" applyBorder="1" applyAlignment="1">
      <alignment horizontal="left" vertical="center" wrapText="1"/>
    </xf>
    <xf numFmtId="164" fontId="6" fillId="0" borderId="9" xfId="0" applyNumberFormat="1" applyFont="1" applyFill="1" applyBorder="1" applyAlignment="1">
      <alignment horizontal="left" vertical="center" wrapText="1"/>
    </xf>
    <xf numFmtId="41" fontId="7" fillId="0" borderId="9" xfId="0" applyNumberFormat="1" applyFont="1" applyFill="1" applyBorder="1" applyAlignment="1">
      <alignment vertical="center"/>
    </xf>
    <xf numFmtId="41" fontId="4" fillId="0" borderId="41" xfId="0" applyNumberFormat="1" applyFont="1" applyFill="1" applyBorder="1" applyAlignment="1">
      <alignment vertical="center"/>
    </xf>
    <xf numFmtId="0" fontId="4" fillId="0" borderId="0" xfId="9" applyNumberFormat="1" applyFont="1" applyFill="1" applyBorder="1" applyAlignment="1">
      <alignment horizontal="center" vertical="center" wrapText="1"/>
    </xf>
    <xf numFmtId="0" fontId="6" fillId="0" borderId="14" xfId="0" applyFont="1" applyBorder="1" applyAlignment="1">
      <alignment horizontal="right"/>
    </xf>
    <xf numFmtId="0" fontId="4" fillId="0" borderId="13" xfId="7" applyFont="1" applyBorder="1" applyAlignment="1">
      <alignment horizontal="center" vertical="center" wrapText="1"/>
    </xf>
    <xf numFmtId="0" fontId="4" fillId="0" borderId="0" xfId="0" applyFont="1" applyAlignment="1">
      <alignment horizontal="right"/>
    </xf>
    <xf numFmtId="0" fontId="6" fillId="0" borderId="0" xfId="0" applyFont="1" applyBorder="1" applyAlignment="1">
      <alignment horizontal="right"/>
    </xf>
    <xf numFmtId="172" fontId="7" fillId="0" borderId="41" xfId="0" applyNumberFormat="1" applyFont="1" applyBorder="1"/>
    <xf numFmtId="0" fontId="4" fillId="0" borderId="13" xfId="0" applyFont="1" applyBorder="1" applyAlignment="1">
      <alignment horizontal="centerContinuous" vertical="center" wrapText="1"/>
    </xf>
    <xf numFmtId="164" fontId="4" fillId="0" borderId="41" xfId="0" applyNumberFormat="1" applyFont="1" applyBorder="1" applyAlignment="1">
      <alignment horizontal="right" vertical="center"/>
    </xf>
    <xf numFmtId="0" fontId="7" fillId="0" borderId="0" xfId="7" applyFont="1" applyAlignment="1">
      <alignment vertical="center"/>
    </xf>
    <xf numFmtId="169" fontId="86" fillId="0" borderId="0" xfId="1" applyNumberFormat="1" applyFont="1" applyBorder="1" applyAlignment="1">
      <alignment horizontal="center" vertical="center" wrapText="1"/>
    </xf>
    <xf numFmtId="0" fontId="4" fillId="0" borderId="41" xfId="0" applyFont="1" applyBorder="1" applyAlignment="1">
      <alignment horizontal="justify" vertical="center"/>
    </xf>
    <xf numFmtId="41" fontId="7" fillId="0" borderId="0" xfId="0" applyNumberFormat="1" applyFont="1"/>
    <xf numFmtId="0" fontId="6" fillId="0" borderId="9" xfId="0" applyFont="1" applyBorder="1" applyAlignment="1">
      <alignment horizontal="justify" vertical="center"/>
    </xf>
    <xf numFmtId="0" fontId="4" fillId="0" borderId="54" xfId="0" applyFont="1" applyBorder="1" applyAlignment="1">
      <alignment horizontal="center" vertical="center"/>
    </xf>
    <xf numFmtId="0" fontId="12" fillId="0" borderId="54" xfId="0" applyFont="1" applyBorder="1" applyAlignment="1">
      <alignment horizontal="justify" vertical="center"/>
    </xf>
    <xf numFmtId="164" fontId="4" fillId="0" borderId="54" xfId="0" applyNumberFormat="1" applyFont="1" applyBorder="1" applyAlignment="1">
      <alignment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176" fontId="4" fillId="0" borderId="16" xfId="0" applyNumberFormat="1" applyFont="1" applyBorder="1" applyAlignment="1">
      <alignment vertical="center"/>
    </xf>
    <xf numFmtId="176" fontId="4" fillId="0" borderId="54" xfId="0" applyNumberFormat="1" applyFont="1" applyBorder="1" applyAlignment="1">
      <alignment vertical="center"/>
    </xf>
    <xf numFmtId="176" fontId="4" fillId="0" borderId="9" xfId="0" applyNumberFormat="1" applyFont="1" applyBorder="1" applyAlignment="1">
      <alignment vertical="center"/>
    </xf>
    <xf numFmtId="176" fontId="7" fillId="0" borderId="9" xfId="0" applyNumberFormat="1" applyFont="1" applyBorder="1" applyAlignment="1">
      <alignment vertical="center"/>
    </xf>
    <xf numFmtId="176" fontId="4" fillId="0" borderId="41" xfId="0" applyNumberFormat="1" applyFont="1" applyBorder="1" applyAlignment="1">
      <alignment vertical="center"/>
    </xf>
    <xf numFmtId="165" fontId="4" fillId="0" borderId="16" xfId="7" applyNumberFormat="1" applyFont="1" applyBorder="1" applyAlignment="1">
      <alignment vertical="center"/>
    </xf>
    <xf numFmtId="165" fontId="4" fillId="0" borderId="9" xfId="7" applyNumberFormat="1" applyFont="1" applyBorder="1" applyAlignment="1">
      <alignment vertical="center"/>
    </xf>
    <xf numFmtId="165" fontId="7" fillId="0" borderId="9" xfId="7" applyNumberFormat="1" applyFont="1" applyBorder="1" applyAlignment="1">
      <alignment vertical="center"/>
    </xf>
    <xf numFmtId="165" fontId="6" fillId="0" borderId="9" xfId="7" applyNumberFormat="1" applyFont="1" applyBorder="1" applyAlignment="1">
      <alignment vertical="center"/>
    </xf>
    <xf numFmtId="165" fontId="4" fillId="0" borderId="41" xfId="7" applyNumberFormat="1" applyFont="1" applyBorder="1" applyAlignment="1">
      <alignment vertical="center"/>
    </xf>
    <xf numFmtId="177" fontId="4" fillId="0" borderId="16" xfId="7" applyNumberFormat="1" applyFont="1" applyBorder="1" applyAlignment="1">
      <alignment vertical="center"/>
    </xf>
    <xf numFmtId="177" fontId="4" fillId="0" borderId="9" xfId="7" applyNumberFormat="1" applyFont="1" applyBorder="1" applyAlignment="1">
      <alignment vertical="center"/>
    </xf>
    <xf numFmtId="177" fontId="7" fillId="0" borderId="9" xfId="7" applyNumberFormat="1" applyFont="1" applyBorder="1" applyAlignment="1">
      <alignment vertical="center"/>
    </xf>
    <xf numFmtId="177" fontId="6" fillId="0" borderId="9" xfId="7" applyNumberFormat="1" applyFont="1" applyBorder="1" applyAlignment="1">
      <alignment vertical="center"/>
    </xf>
    <xf numFmtId="177" fontId="7" fillId="0" borderId="41" xfId="7" applyNumberFormat="1" applyFont="1" applyBorder="1" applyAlignment="1">
      <alignment vertical="center"/>
    </xf>
    <xf numFmtId="177" fontId="4" fillId="0" borderId="16" xfId="0" applyNumberFormat="1" applyFont="1" applyBorder="1" applyAlignment="1">
      <alignment horizontal="right" vertical="center"/>
    </xf>
    <xf numFmtId="177" fontId="4" fillId="0" borderId="9" xfId="0" applyNumberFormat="1" applyFont="1" applyBorder="1" applyAlignment="1">
      <alignment horizontal="right" vertical="center"/>
    </xf>
    <xf numFmtId="177" fontId="7" fillId="0" borderId="9" xfId="0" applyNumberFormat="1" applyFont="1" applyBorder="1" applyAlignment="1">
      <alignment horizontal="right" vertical="center"/>
    </xf>
    <xf numFmtId="177" fontId="4" fillId="0" borderId="41" xfId="0" applyNumberFormat="1" applyFont="1" applyBorder="1" applyAlignment="1">
      <alignment horizontal="right" vertical="center"/>
    </xf>
    <xf numFmtId="177" fontId="4" fillId="0" borderId="16" xfId="0" applyNumberFormat="1" applyFont="1" applyBorder="1"/>
    <xf numFmtId="177" fontId="4" fillId="0" borderId="9" xfId="0" applyNumberFormat="1" applyFont="1" applyBorder="1"/>
    <xf numFmtId="177" fontId="7" fillId="0" borderId="9" xfId="0" applyNumberFormat="1" applyFont="1" applyBorder="1"/>
    <xf numFmtId="177" fontId="6" fillId="0" borderId="9" xfId="0" applyNumberFormat="1" applyFont="1" applyBorder="1"/>
    <xf numFmtId="177" fontId="4" fillId="0" borderId="41" xfId="0" applyNumberFormat="1" applyFont="1" applyBorder="1"/>
    <xf numFmtId="0" fontId="5" fillId="0" borderId="0" xfId="0" applyFont="1"/>
    <xf numFmtId="0" fontId="59" fillId="0" borderId="0" xfId="0" applyFont="1" applyAlignment="1"/>
    <xf numFmtId="0" fontId="25" fillId="0" borderId="0" xfId="0" applyFont="1" applyAlignment="1">
      <alignment horizontal="left"/>
    </xf>
    <xf numFmtId="0" fontId="8" fillId="0" borderId="31" xfId="0" applyFont="1" applyBorder="1" applyAlignment="1">
      <alignment horizontal="center" vertical="center" wrapText="1"/>
    </xf>
    <xf numFmtId="0" fontId="8" fillId="0" borderId="28" xfId="0" applyFont="1" applyBorder="1" applyAlignment="1">
      <alignment horizontal="center" vertical="center"/>
    </xf>
    <xf numFmtId="0" fontId="4" fillId="0" borderId="0" xfId="0" applyFont="1" applyAlignment="1">
      <alignment horizontal="right"/>
    </xf>
    <xf numFmtId="0" fontId="88" fillId="0" borderId="0" xfId="0" applyFont="1" applyAlignment="1"/>
    <xf numFmtId="0" fontId="4" fillId="0" borderId="46" xfId="0" applyFont="1" applyBorder="1" applyAlignment="1">
      <alignment horizontal="center"/>
    </xf>
    <xf numFmtId="0" fontId="4" fillId="0" borderId="42" xfId="0" applyFont="1" applyBorder="1" applyAlignment="1">
      <alignment horizontal="center"/>
    </xf>
    <xf numFmtId="0" fontId="4" fillId="0" borderId="47" xfId="0" applyFont="1" applyBorder="1" applyAlignment="1">
      <alignment horizontal="center"/>
    </xf>
    <xf numFmtId="0" fontId="4" fillId="0" borderId="39"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right"/>
    </xf>
    <xf numFmtId="0" fontId="3" fillId="0" borderId="0" xfId="0" applyFont="1" applyAlignment="1">
      <alignment horizontal="right"/>
    </xf>
    <xf numFmtId="0" fontId="18" fillId="0" borderId="0" xfId="0" applyFont="1" applyBorder="1" applyAlignment="1">
      <alignment horizontal="left" wrapText="1"/>
    </xf>
    <xf numFmtId="165" fontId="6" fillId="0" borderId="14" xfId="9" applyNumberFormat="1" applyFont="1" applyFill="1" applyBorder="1" applyAlignment="1">
      <alignment horizontal="center" vertical="center"/>
    </xf>
    <xf numFmtId="0" fontId="2" fillId="0" borderId="0" xfId="0" applyFont="1" applyAlignment="1">
      <alignment horizontal="right"/>
    </xf>
    <xf numFmtId="0" fontId="18" fillId="0" borderId="30" xfId="0" applyFont="1" applyBorder="1" applyAlignment="1">
      <alignment horizontal="left" wrapText="1"/>
    </xf>
    <xf numFmtId="49" fontId="18" fillId="0" borderId="0" xfId="9" quotePrefix="1" applyNumberFormat="1" applyFont="1" applyFill="1" applyBorder="1" applyAlignment="1">
      <alignment horizontal="left" vertical="center" wrapText="1"/>
    </xf>
    <xf numFmtId="49" fontId="29" fillId="0" borderId="0" xfId="9" quotePrefix="1" applyNumberFormat="1" applyFont="1" applyFill="1" applyBorder="1" applyAlignment="1">
      <alignment horizontal="left" vertical="center" wrapText="1"/>
    </xf>
    <xf numFmtId="0" fontId="4" fillId="0" borderId="0" xfId="9" applyNumberFormat="1" applyFont="1" applyFill="1" applyBorder="1" applyAlignment="1">
      <alignment horizontal="center" vertical="center" wrapText="1"/>
    </xf>
    <xf numFmtId="49" fontId="2" fillId="0" borderId="49" xfId="9" applyNumberFormat="1" applyFont="1" applyFill="1" applyBorder="1" applyAlignment="1">
      <alignment horizontal="center" vertical="center" wrapText="1"/>
    </xf>
    <xf numFmtId="49" fontId="2" fillId="0" borderId="12" xfId="9" applyNumberFormat="1" applyFont="1" applyFill="1" applyBorder="1" applyAlignment="1">
      <alignment horizontal="center" vertical="center" wrapText="1"/>
    </xf>
    <xf numFmtId="49" fontId="4" fillId="0" borderId="37" xfId="9" applyNumberFormat="1" applyFont="1" applyFill="1" applyBorder="1" applyAlignment="1">
      <alignment horizontal="center" vertical="center" wrapText="1"/>
    </xf>
    <xf numFmtId="49" fontId="4" fillId="0" borderId="13" xfId="9" applyNumberFormat="1" applyFont="1" applyFill="1" applyBorder="1" applyAlignment="1">
      <alignment horizontal="center" vertical="center" wrapText="1"/>
    </xf>
    <xf numFmtId="0" fontId="4" fillId="0" borderId="37" xfId="9" applyNumberFormat="1" applyFont="1" applyFill="1" applyBorder="1" applyAlignment="1">
      <alignment horizontal="center" vertical="center" wrapText="1"/>
    </xf>
    <xf numFmtId="0" fontId="4" fillId="0" borderId="50" xfId="9" applyNumberFormat="1" applyFont="1" applyFill="1" applyBorder="1" applyAlignment="1">
      <alignment horizontal="center" vertical="center" wrapText="1"/>
    </xf>
    <xf numFmtId="0" fontId="4" fillId="0" borderId="28" xfId="9" applyNumberFormat="1" applyFont="1" applyFill="1" applyBorder="1" applyAlignment="1">
      <alignment horizontal="center" vertical="center" wrapText="1"/>
    </xf>
    <xf numFmtId="3" fontId="23" fillId="0" borderId="37" xfId="12" applyNumberFormat="1" applyFont="1" applyFill="1" applyBorder="1" applyAlignment="1">
      <alignment horizontal="center" vertical="center" wrapText="1"/>
    </xf>
    <xf numFmtId="3" fontId="23" fillId="0" borderId="50" xfId="12" applyNumberFormat="1" applyFont="1" applyFill="1" applyBorder="1" applyAlignment="1">
      <alignment horizontal="center" vertical="center" wrapText="1"/>
    </xf>
    <xf numFmtId="3" fontId="23" fillId="0" borderId="31" xfId="12" applyNumberFormat="1" applyFont="1" applyFill="1" applyBorder="1" applyAlignment="1">
      <alignment horizontal="center" vertical="center" wrapText="1"/>
    </xf>
    <xf numFmtId="3" fontId="23" fillId="0" borderId="2" xfId="12" applyNumberFormat="1" applyFont="1" applyFill="1" applyBorder="1" applyAlignment="1">
      <alignment horizontal="center" vertical="center" wrapText="1"/>
    </xf>
    <xf numFmtId="3" fontId="23" fillId="0" borderId="3" xfId="12" applyNumberFormat="1" applyFont="1" applyFill="1" applyBorder="1" applyAlignment="1">
      <alignment horizontal="center" vertical="center" wrapText="1"/>
    </xf>
    <xf numFmtId="3" fontId="4" fillId="0" borderId="13" xfId="12" applyNumberFormat="1" applyFont="1" applyFill="1" applyBorder="1" applyAlignment="1">
      <alignment horizontal="center" vertical="center" wrapText="1"/>
    </xf>
    <xf numFmtId="0" fontId="4" fillId="0" borderId="0" xfId="12" applyFont="1" applyFill="1" applyBorder="1" applyAlignment="1">
      <alignment horizontal="center" vertical="center" wrapText="1"/>
    </xf>
    <xf numFmtId="0" fontId="6" fillId="0" borderId="14" xfId="12" applyFont="1" applyFill="1" applyBorder="1" applyAlignment="1">
      <alignment horizontal="right" vertical="center" wrapText="1"/>
    </xf>
    <xf numFmtId="3" fontId="4" fillId="0" borderId="28" xfId="12" applyNumberFormat="1" applyFont="1" applyFill="1" applyBorder="1" applyAlignment="1">
      <alignment horizontal="center" vertical="center" wrapText="1"/>
    </xf>
    <xf numFmtId="3" fontId="23" fillId="0" borderId="13" xfId="12" applyNumberFormat="1" applyFont="1" applyFill="1" applyBorder="1" applyAlignment="1">
      <alignment horizontal="center" vertical="center" wrapText="1"/>
    </xf>
    <xf numFmtId="3" fontId="23" fillId="0" borderId="28" xfId="12" applyNumberFormat="1" applyFont="1" applyFill="1" applyBorder="1" applyAlignment="1">
      <alignment horizontal="center" vertical="center" wrapText="1"/>
    </xf>
    <xf numFmtId="3" fontId="4" fillId="0" borderId="31" xfId="12" applyNumberFormat="1" applyFont="1" applyFill="1" applyBorder="1" applyAlignment="1">
      <alignment horizontal="center" vertical="center" wrapText="1"/>
    </xf>
    <xf numFmtId="3" fontId="4" fillId="0" borderId="2" xfId="12" applyNumberFormat="1" applyFont="1" applyFill="1" applyBorder="1" applyAlignment="1">
      <alignment horizontal="center" vertical="center" wrapText="1"/>
    </xf>
    <xf numFmtId="3" fontId="4" fillId="0" borderId="3" xfId="12" applyNumberFormat="1" applyFont="1" applyFill="1" applyBorder="1" applyAlignment="1">
      <alignment horizontal="center" vertical="center" wrapText="1"/>
    </xf>
    <xf numFmtId="3" fontId="4" fillId="0" borderId="37" xfId="12" applyNumberFormat="1" applyFont="1" applyFill="1" applyBorder="1" applyAlignment="1">
      <alignment horizontal="center" vertical="center" wrapText="1"/>
    </xf>
    <xf numFmtId="0" fontId="2" fillId="0" borderId="49" xfId="12" applyFont="1" applyFill="1" applyBorder="1" applyAlignment="1">
      <alignment horizontal="center" vertical="center" wrapText="1"/>
    </xf>
    <xf numFmtId="0" fontId="2" fillId="0" borderId="12" xfId="12" applyFont="1" applyFill="1" applyBorder="1" applyAlignment="1">
      <alignment horizontal="center" vertical="center" wrapText="1"/>
    </xf>
    <xf numFmtId="0" fontId="4" fillId="0" borderId="37" xfId="12" applyFont="1" applyFill="1" applyBorder="1" applyAlignment="1">
      <alignment horizontal="center" vertical="center" wrapText="1"/>
    </xf>
    <xf numFmtId="0" fontId="4" fillId="0" borderId="13" xfId="12" applyFont="1" applyFill="1" applyBorder="1" applyAlignment="1">
      <alignment horizontal="center" vertical="center" wrapText="1"/>
    </xf>
    <xf numFmtId="0" fontId="33" fillId="0" borderId="13" xfId="6" applyFont="1" applyFill="1" applyBorder="1" applyAlignment="1">
      <alignment horizontal="center" vertical="center"/>
    </xf>
    <xf numFmtId="0" fontId="33" fillId="0" borderId="27" xfId="6" applyFont="1" applyFill="1" applyBorder="1" applyAlignment="1">
      <alignment horizontal="center" vertical="center"/>
    </xf>
    <xf numFmtId="1" fontId="4" fillId="0" borderId="0" xfId="13" applyNumberFormat="1" applyFont="1" applyFill="1" applyAlignment="1">
      <alignment horizontal="center" vertical="center" wrapText="1"/>
    </xf>
    <xf numFmtId="1" fontId="6" fillId="0" borderId="0" xfId="13" applyNumberFormat="1" applyFont="1" applyFill="1" applyBorder="1" applyAlignment="1">
      <alignment horizontal="right" vertical="center"/>
    </xf>
    <xf numFmtId="49" fontId="2" fillId="0" borderId="49" xfId="13" applyNumberFormat="1" applyFont="1" applyBorder="1" applyAlignment="1">
      <alignment horizontal="center" vertical="center" wrapText="1"/>
    </xf>
    <xf numFmtId="49" fontId="2" fillId="0" borderId="12" xfId="13" applyNumberFormat="1" applyFont="1" applyBorder="1" applyAlignment="1">
      <alignment horizontal="center" vertical="center" wrapText="1"/>
    </xf>
    <xf numFmtId="3" fontId="4" fillId="0" borderId="37" xfId="13" applyNumberFormat="1" applyFont="1" applyBorder="1" applyAlignment="1">
      <alignment horizontal="center" vertical="center" wrapText="1"/>
    </xf>
    <xf numFmtId="3" fontId="4" fillId="0" borderId="13" xfId="13" applyNumberFormat="1" applyFont="1" applyBorder="1" applyAlignment="1">
      <alignment horizontal="center" vertical="center" wrapText="1"/>
    </xf>
    <xf numFmtId="3" fontId="4" fillId="0" borderId="37" xfId="13" applyNumberFormat="1" applyFont="1" applyFill="1" applyBorder="1" applyAlignment="1">
      <alignment horizontal="center" vertical="center" wrapText="1"/>
    </xf>
    <xf numFmtId="0" fontId="4" fillId="0" borderId="26" xfId="9" applyNumberFormat="1" applyFont="1" applyFill="1" applyBorder="1" applyAlignment="1">
      <alignment horizontal="center" vertical="center" wrapText="1"/>
    </xf>
    <xf numFmtId="0" fontId="4" fillId="0" borderId="20" xfId="9" applyNumberFormat="1" applyFont="1" applyFill="1" applyBorder="1" applyAlignment="1">
      <alignment horizontal="center" vertical="center" wrapText="1"/>
    </xf>
    <xf numFmtId="0" fontId="4" fillId="0" borderId="51" xfId="9" applyNumberFormat="1" applyFont="1" applyFill="1" applyBorder="1" applyAlignment="1">
      <alignment horizontal="center" vertical="center" wrapText="1"/>
    </xf>
    <xf numFmtId="0" fontId="4" fillId="0" borderId="21" xfId="9" applyNumberFormat="1" applyFont="1" applyFill="1" applyBorder="1" applyAlignment="1">
      <alignment horizontal="center" vertical="center" wrapText="1"/>
    </xf>
    <xf numFmtId="0" fontId="4" fillId="0" borderId="30" xfId="9" applyNumberFormat="1" applyFont="1" applyFill="1" applyBorder="1" applyAlignment="1">
      <alignment horizontal="center" vertical="center" wrapText="1"/>
    </xf>
    <xf numFmtId="0" fontId="4" fillId="0" borderId="52" xfId="9" applyNumberFormat="1" applyFont="1" applyFill="1" applyBorder="1" applyAlignment="1">
      <alignment horizontal="center" vertical="center" wrapText="1"/>
    </xf>
    <xf numFmtId="3" fontId="4" fillId="0" borderId="50" xfId="13" applyNumberFormat="1" applyFont="1" applyBorder="1" applyAlignment="1">
      <alignment horizontal="center" vertical="center" wrapText="1"/>
    </xf>
    <xf numFmtId="3" fontId="4" fillId="0" borderId="28" xfId="13" applyNumberFormat="1" applyFont="1" applyBorder="1" applyAlignment="1">
      <alignment horizontal="center" vertical="center" wrapText="1"/>
    </xf>
    <xf numFmtId="3" fontId="4" fillId="0" borderId="13" xfId="13" applyNumberFormat="1" applyFont="1" applyFill="1" applyBorder="1" applyAlignment="1">
      <alignment horizontal="center" vertical="center" wrapText="1"/>
    </xf>
    <xf numFmtId="3" fontId="4" fillId="0" borderId="46" xfId="13" applyNumberFormat="1" applyFont="1" applyBorder="1" applyAlignment="1">
      <alignment horizontal="center" vertical="center" wrapText="1"/>
    </xf>
    <xf numFmtId="3" fontId="4" fillId="0" borderId="42" xfId="13" applyNumberFormat="1" applyFont="1" applyBorder="1" applyAlignment="1">
      <alignment horizontal="center" vertical="center" wrapText="1"/>
    </xf>
    <xf numFmtId="3" fontId="4" fillId="0" borderId="47" xfId="13" applyNumberFormat="1" applyFont="1" applyBorder="1" applyAlignment="1">
      <alignment horizontal="center" vertical="center" wrapText="1"/>
    </xf>
    <xf numFmtId="3" fontId="4" fillId="0" borderId="13" xfId="13" applyNumberFormat="1" applyFont="1" applyFill="1" applyBorder="1" applyAlignment="1">
      <alignment horizontal="center" vertical="top" wrapText="1"/>
    </xf>
    <xf numFmtId="3" fontId="4" fillId="0" borderId="31" xfId="13" applyNumberFormat="1" applyFont="1" applyFill="1" applyBorder="1" applyAlignment="1">
      <alignment horizontal="center" vertical="center" wrapText="1"/>
    </xf>
    <xf numFmtId="3" fontId="4" fillId="0" borderId="2" xfId="13" applyNumberFormat="1" applyFont="1" applyFill="1" applyBorder="1" applyAlignment="1">
      <alignment horizontal="center" vertical="center" wrapText="1"/>
    </xf>
    <xf numFmtId="3" fontId="4" fillId="0" borderId="3" xfId="13" applyNumberFormat="1" applyFont="1" applyFill="1" applyBorder="1" applyAlignment="1">
      <alignment horizontal="center" vertical="center" wrapText="1"/>
    </xf>
    <xf numFmtId="3" fontId="4" fillId="0" borderId="31" xfId="13" applyNumberFormat="1" applyFont="1" applyFill="1" applyBorder="1" applyAlignment="1">
      <alignment horizontal="center" vertical="top" wrapText="1"/>
    </xf>
    <xf numFmtId="3" fontId="4" fillId="0" borderId="2" xfId="13" applyNumberFormat="1" applyFont="1" applyFill="1" applyBorder="1" applyAlignment="1">
      <alignment horizontal="center" vertical="top" wrapText="1"/>
    </xf>
    <xf numFmtId="3" fontId="4" fillId="0" borderId="3" xfId="13" applyNumberFormat="1" applyFont="1" applyFill="1" applyBorder="1" applyAlignment="1">
      <alignment horizontal="center" vertical="top" wrapText="1"/>
    </xf>
    <xf numFmtId="3" fontId="4" fillId="0" borderId="2" xfId="13" applyNumberFormat="1" applyFont="1" applyBorder="1" applyAlignment="1">
      <alignment horizontal="center" vertical="top" wrapText="1"/>
    </xf>
    <xf numFmtId="3" fontId="4" fillId="0" borderId="3" xfId="13" applyNumberFormat="1" applyFont="1" applyBorder="1" applyAlignment="1">
      <alignment horizontal="center" vertical="top" wrapText="1"/>
    </xf>
    <xf numFmtId="3" fontId="4" fillId="0" borderId="10" xfId="13"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3" fontId="4" fillId="0" borderId="11" xfId="13" applyNumberFormat="1" applyFont="1" applyBorder="1" applyAlignment="1">
      <alignment horizontal="center" vertical="center" wrapText="1"/>
    </xf>
    <xf numFmtId="3" fontId="4" fillId="0" borderId="38" xfId="13" applyNumberFormat="1" applyFont="1" applyBorder="1" applyAlignment="1">
      <alignment horizontal="center" vertical="center" wrapText="1"/>
    </xf>
    <xf numFmtId="3" fontId="4" fillId="0" borderId="2" xfId="13" applyNumberFormat="1" applyFont="1" applyBorder="1" applyAlignment="1">
      <alignment horizontal="center" vertical="center" wrapText="1"/>
    </xf>
    <xf numFmtId="3" fontId="4" fillId="0" borderId="3" xfId="13" applyNumberFormat="1" applyFont="1" applyBorder="1" applyAlignment="1">
      <alignment horizontal="center" vertical="center" wrapText="1"/>
    </xf>
    <xf numFmtId="3" fontId="4" fillId="0" borderId="46" xfId="13" applyNumberFormat="1" applyFont="1" applyFill="1" applyBorder="1" applyAlignment="1">
      <alignment horizontal="center" vertical="center" wrapText="1"/>
    </xf>
    <xf numFmtId="3" fontId="4" fillId="0" borderId="42" xfId="13" applyNumberFormat="1" applyFont="1" applyFill="1" applyBorder="1" applyAlignment="1">
      <alignment horizontal="center" vertical="center" wrapText="1"/>
    </xf>
    <xf numFmtId="3" fontId="4" fillId="0" borderId="47" xfId="13" applyNumberFormat="1" applyFont="1" applyFill="1" applyBorder="1" applyAlignment="1">
      <alignment horizontal="center" vertical="center" wrapText="1"/>
    </xf>
    <xf numFmtId="3" fontId="4" fillId="0" borderId="39" xfId="13" applyNumberFormat="1" applyFont="1" applyBorder="1" applyAlignment="1">
      <alignment horizontal="center" vertical="center" wrapText="1"/>
    </xf>
    <xf numFmtId="3" fontId="4" fillId="0" borderId="25" xfId="13" applyNumberFormat="1" applyFont="1" applyBorder="1" applyAlignment="1">
      <alignment horizontal="center" vertical="center" wrapText="1"/>
    </xf>
    <xf numFmtId="3" fontId="4" fillId="0" borderId="48" xfId="13" applyNumberFormat="1" applyFont="1" applyBorder="1" applyAlignment="1">
      <alignment horizontal="center" vertical="center" wrapText="1"/>
    </xf>
    <xf numFmtId="0" fontId="18" fillId="0" borderId="0" xfId="0" applyFont="1" applyBorder="1" applyAlignment="1">
      <alignment horizontal="left" vertical="center" wrapText="1"/>
    </xf>
    <xf numFmtId="0" fontId="18" fillId="0" borderId="30" xfId="0" applyFont="1" applyBorder="1" applyAlignment="1">
      <alignment horizont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38"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37" xfId="0" applyNumberFormat="1" applyFont="1" applyFill="1" applyBorder="1" applyAlignment="1">
      <alignment horizontal="center" vertical="center" wrapText="1"/>
    </xf>
    <xf numFmtId="0" fontId="4" fillId="0" borderId="23" xfId="0" applyNumberFormat="1" applyFont="1" applyBorder="1" applyAlignment="1">
      <alignment horizontal="center" vertical="center" wrapText="1"/>
    </xf>
    <xf numFmtId="0" fontId="4" fillId="0" borderId="21" xfId="0" applyNumberFormat="1" applyFont="1" applyBorder="1" applyAlignment="1">
      <alignment horizontal="center" vertical="center" wrapText="1"/>
    </xf>
    <xf numFmtId="0" fontId="4" fillId="0" borderId="39" xfId="0" applyNumberFormat="1" applyFont="1" applyBorder="1" applyAlignment="1">
      <alignment horizontal="center" vertical="center" wrapText="1"/>
    </xf>
    <xf numFmtId="0" fontId="4" fillId="0" borderId="25" xfId="0" applyNumberFormat="1" applyFont="1" applyBorder="1" applyAlignment="1">
      <alignment horizontal="center" vertical="center" wrapText="1"/>
    </xf>
    <xf numFmtId="0" fontId="4" fillId="0" borderId="48" xfId="0" applyNumberFormat="1" applyFont="1" applyBorder="1" applyAlignment="1">
      <alignment horizontal="center" vertical="center" wrapText="1"/>
    </xf>
    <xf numFmtId="0" fontId="4" fillId="0" borderId="31" xfId="0" applyFont="1" applyBorder="1" applyAlignment="1">
      <alignment horizontal="center" vertical="center" wrapText="1"/>
    </xf>
    <xf numFmtId="0" fontId="2" fillId="0" borderId="1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1" xfId="0" applyFont="1" applyFill="1" applyBorder="1" applyAlignment="1">
      <alignment horizontal="center" vertical="center"/>
    </xf>
    <xf numFmtId="0" fontId="18" fillId="0" borderId="14" xfId="14" applyNumberFormat="1" applyFont="1" applyFill="1" applyBorder="1" applyAlignment="1">
      <alignment horizontal="center" vertical="center"/>
    </xf>
    <xf numFmtId="0" fontId="4" fillId="0" borderId="10" xfId="14" applyNumberFormat="1" applyFont="1" applyFill="1" applyBorder="1" applyAlignment="1">
      <alignment horizontal="center" vertical="center" wrapText="1"/>
    </xf>
    <xf numFmtId="0" fontId="4" fillId="0" borderId="1" xfId="14" applyNumberFormat="1" applyFont="1" applyFill="1" applyBorder="1" applyAlignment="1">
      <alignment horizontal="center" vertical="center" wrapText="1"/>
    </xf>
    <xf numFmtId="0" fontId="4" fillId="0" borderId="11" xfId="14" applyNumberFormat="1" applyFont="1" applyFill="1" applyBorder="1" applyAlignment="1">
      <alignment horizontal="center" vertical="center" wrapText="1"/>
    </xf>
    <xf numFmtId="0" fontId="4" fillId="0" borderId="38" xfId="14" applyFont="1" applyFill="1" applyBorder="1" applyAlignment="1">
      <alignment horizontal="center" vertical="center" wrapText="1"/>
    </xf>
    <xf numFmtId="0" fontId="4" fillId="0" borderId="2" xfId="14" applyFont="1" applyFill="1" applyBorder="1" applyAlignment="1">
      <alignment horizontal="center" vertical="center" wrapText="1"/>
    </xf>
    <xf numFmtId="0" fontId="4" fillId="0" borderId="3" xfId="14" applyFont="1" applyFill="1" applyBorder="1" applyAlignment="1">
      <alignment horizontal="center" vertical="center" wrapText="1"/>
    </xf>
    <xf numFmtId="0" fontId="18" fillId="0" borderId="0" xfId="0" applyFont="1" applyBorder="1" applyAlignment="1">
      <alignment horizontal="center" wrapText="1"/>
    </xf>
    <xf numFmtId="0" fontId="8" fillId="0" borderId="0" xfId="0" applyFont="1" applyAlignment="1">
      <alignment horizontal="center"/>
    </xf>
    <xf numFmtId="0" fontId="56" fillId="0" borderId="0" xfId="0" applyFont="1" applyAlignment="1">
      <alignment horizontal="center"/>
    </xf>
    <xf numFmtId="0" fontId="72" fillId="0" borderId="10" xfId="0" applyFont="1" applyBorder="1" applyAlignment="1">
      <alignment horizontal="center" vertical="center" wrapText="1"/>
    </xf>
    <xf numFmtId="0" fontId="72" fillId="0" borderId="1" xfId="0" applyFont="1" applyBorder="1" applyAlignment="1">
      <alignment horizontal="center" vertical="center" wrapText="1"/>
    </xf>
    <xf numFmtId="0" fontId="52" fillId="0" borderId="11" xfId="0" applyFont="1" applyBorder="1" applyAlignment="1">
      <alignment horizontal="center" vertical="center" wrapText="1"/>
    </xf>
    <xf numFmtId="0" fontId="0" fillId="0" borderId="0" xfId="0" applyAlignment="1"/>
    <xf numFmtId="0" fontId="72" fillId="0" borderId="31" xfId="0" applyFont="1" applyBorder="1" applyAlignment="1">
      <alignment horizontal="center" vertical="top" wrapText="1"/>
    </xf>
    <xf numFmtId="0" fontId="72" fillId="0" borderId="2" xfId="0" applyFont="1" applyBorder="1" applyAlignment="1">
      <alignment horizontal="center" vertical="top" wrapText="1"/>
    </xf>
    <xf numFmtId="0" fontId="72" fillId="0" borderId="3" xfId="0" applyFont="1" applyBorder="1" applyAlignment="1">
      <alignment horizontal="center" vertical="top" wrapText="1"/>
    </xf>
    <xf numFmtId="0" fontId="72" fillId="0" borderId="32" xfId="0" applyFont="1" applyBorder="1" applyAlignment="1">
      <alignment horizontal="center" vertical="top" wrapText="1"/>
    </xf>
    <xf numFmtId="0" fontId="72" fillId="0" borderId="25" xfId="0" applyFont="1" applyBorder="1" applyAlignment="1">
      <alignment horizontal="center" vertical="top" wrapText="1"/>
    </xf>
    <xf numFmtId="0" fontId="72" fillId="0" borderId="48" xfId="0" applyFont="1" applyBorder="1" applyAlignment="1">
      <alignment horizontal="center" vertical="top" wrapText="1"/>
    </xf>
    <xf numFmtId="0" fontId="57" fillId="0" borderId="0" xfId="0" applyFont="1" applyAlignment="1">
      <alignment horizontal="center"/>
    </xf>
    <xf numFmtId="0" fontId="60" fillId="0" borderId="0" xfId="0" applyFont="1" applyAlignment="1">
      <alignment horizontal="center"/>
    </xf>
    <xf numFmtId="0" fontId="6" fillId="0" borderId="0" xfId="0" applyFont="1" applyBorder="1" applyAlignment="1">
      <alignment horizontal="right"/>
    </xf>
    <xf numFmtId="0" fontId="4" fillId="0" borderId="13" xfId="0" applyFont="1" applyBorder="1" applyAlignment="1">
      <alignment horizontal="center" vertical="center"/>
    </xf>
    <xf numFmtId="0" fontId="84" fillId="0" borderId="0" xfId="0" applyFont="1" applyAlignment="1">
      <alignment horizontal="center" vertical="center"/>
    </xf>
    <xf numFmtId="0" fontId="4" fillId="0" borderId="13" xfId="0" applyFont="1" applyBorder="1" applyAlignment="1">
      <alignment horizontal="center" vertical="center" wrapText="1"/>
    </xf>
    <xf numFmtId="170" fontId="6" fillId="0" borderId="61" xfId="0" applyNumberFormat="1" applyFont="1" applyBorder="1" applyAlignment="1">
      <alignment horizontal="center" vertical="center"/>
    </xf>
    <xf numFmtId="170" fontId="6" fillId="0" borderId="44" xfId="0" applyNumberFormat="1" applyFont="1" applyBorder="1" applyAlignment="1">
      <alignment horizontal="center" vertical="center"/>
    </xf>
    <xf numFmtId="170" fontId="6" fillId="0" borderId="53" xfId="0" applyNumberFormat="1" applyFont="1" applyBorder="1" applyAlignment="1">
      <alignment horizontal="center" vertical="center"/>
    </xf>
    <xf numFmtId="170" fontId="6" fillId="0" borderId="62" xfId="0" applyNumberFormat="1" applyFont="1" applyBorder="1" applyAlignment="1">
      <alignment horizontal="center" vertical="center"/>
    </xf>
    <xf numFmtId="170" fontId="6" fillId="0" borderId="2" xfId="0" applyNumberFormat="1" applyFont="1" applyBorder="1" applyAlignment="1">
      <alignment horizontal="center" vertical="center"/>
    </xf>
    <xf numFmtId="170" fontId="6" fillId="0" borderId="54" xfId="0" applyNumberFormat="1" applyFont="1" applyBorder="1" applyAlignment="1">
      <alignment horizontal="center" vertical="center"/>
    </xf>
    <xf numFmtId="0" fontId="4" fillId="0" borderId="13" xfId="7" applyFont="1" applyBorder="1" applyAlignment="1">
      <alignment horizontal="center" vertical="center"/>
    </xf>
    <xf numFmtId="0" fontId="59" fillId="0" borderId="0" xfId="7" applyFont="1" applyAlignment="1">
      <alignment horizontal="center"/>
    </xf>
    <xf numFmtId="0" fontId="4" fillId="0" borderId="13" xfId="7" quotePrefix="1" applyFont="1" applyBorder="1" applyAlignment="1">
      <alignment horizontal="center" vertical="center"/>
    </xf>
    <xf numFmtId="0" fontId="60" fillId="0" borderId="0" xfId="7" applyFont="1" applyAlignment="1">
      <alignment horizontal="center"/>
    </xf>
    <xf numFmtId="0" fontId="6" fillId="0" borderId="0" xfId="7" applyFont="1" applyBorder="1" applyAlignment="1">
      <alignment horizontal="right"/>
    </xf>
    <xf numFmtId="0" fontId="4" fillId="0" borderId="0" xfId="7" applyFont="1" applyAlignment="1">
      <alignment horizontal="center"/>
    </xf>
    <xf numFmtId="0" fontId="6" fillId="0" borderId="0" xfId="7" applyFont="1" applyAlignment="1">
      <alignment horizontal="center"/>
    </xf>
    <xf numFmtId="0" fontId="25" fillId="0" borderId="0" xfId="0" applyFont="1" applyAlignment="1">
      <alignment horizontal="center"/>
    </xf>
    <xf numFmtId="0" fontId="59" fillId="0" borderId="0" xfId="0" applyFont="1" applyAlignment="1">
      <alignment horizontal="center"/>
    </xf>
    <xf numFmtId="0" fontId="90" fillId="0" borderId="0" xfId="0" applyFont="1" applyAlignment="1">
      <alignment horizontal="center"/>
    </xf>
    <xf numFmtId="0" fontId="6" fillId="0" borderId="14" xfId="0" applyFont="1" applyBorder="1" applyAlignment="1">
      <alignment horizontal="right" vertical="center"/>
    </xf>
    <xf numFmtId="0" fontId="4" fillId="0" borderId="46"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3" xfId="0" quotePrefix="1"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2" xfId="0" applyFont="1" applyBorder="1" applyAlignment="1">
      <alignment horizontal="center" vertical="center"/>
    </xf>
    <xf numFmtId="0" fontId="4" fillId="0" borderId="43" xfId="0" applyFont="1" applyBorder="1" applyAlignment="1">
      <alignment horizontal="center" vertical="center"/>
    </xf>
    <xf numFmtId="0" fontId="6" fillId="0" borderId="0" xfId="0" applyFont="1" applyAlignment="1">
      <alignment horizontal="center"/>
    </xf>
    <xf numFmtId="0" fontId="6" fillId="0" borderId="14" xfId="0" applyFont="1" applyBorder="1" applyAlignment="1">
      <alignment horizontal="right"/>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38" xfId="0" quotePrefix="1" applyFont="1" applyBorder="1" applyAlignment="1">
      <alignment horizontal="center" vertical="center"/>
    </xf>
    <xf numFmtId="0" fontId="4" fillId="0" borderId="3" xfId="0" quotePrefix="1"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21" xfId="0" applyFont="1" applyBorder="1" applyAlignment="1">
      <alignment horizontal="center" vertical="center"/>
    </xf>
    <xf numFmtId="0" fontId="4" fillId="0" borderId="42" xfId="0" applyFont="1" applyBorder="1" applyAlignment="1">
      <alignment horizontal="center" vertical="center" wrapText="1"/>
    </xf>
    <xf numFmtId="0" fontId="89" fillId="0" borderId="0" xfId="0" applyFont="1" applyAlignment="1">
      <alignment horizontal="center"/>
    </xf>
    <xf numFmtId="0" fontId="4" fillId="0" borderId="1" xfId="0" applyFont="1" applyBorder="1" applyAlignment="1">
      <alignment horizontal="center" vertical="center"/>
    </xf>
    <xf numFmtId="0" fontId="4" fillId="0" borderId="47" xfId="0" applyFont="1" applyBorder="1" applyAlignment="1">
      <alignment horizontal="center" vertical="center" wrapText="1"/>
    </xf>
    <xf numFmtId="0" fontId="6" fillId="0" borderId="14" xfId="0" applyFont="1" applyBorder="1" applyAlignment="1">
      <alignment horizontal="center"/>
    </xf>
    <xf numFmtId="0" fontId="4" fillId="0" borderId="55" xfId="0" applyFont="1" applyBorder="1" applyAlignment="1">
      <alignment horizontal="center" vertical="center" wrapText="1"/>
    </xf>
    <xf numFmtId="0" fontId="4" fillId="0" borderId="56"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7"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8" xfId="0" quotePrefix="1" applyFont="1" applyBorder="1" applyAlignment="1">
      <alignment horizontal="center" vertical="center" wrapText="1"/>
    </xf>
    <xf numFmtId="0" fontId="4"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174" fontId="7" fillId="0" borderId="0" xfId="0" applyNumberFormat="1" applyFont="1" applyAlignment="1">
      <alignment horizontal="center"/>
    </xf>
    <xf numFmtId="175" fontId="7" fillId="0" borderId="0" xfId="0" applyNumberFormat="1" applyFont="1" applyAlignment="1">
      <alignment horizontal="center"/>
    </xf>
    <xf numFmtId="173" fontId="7" fillId="0" borderId="0" xfId="1" applyNumberFormat="1" applyFont="1" applyAlignment="1">
      <alignment horizontal="center"/>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57" xfId="0" applyFont="1" applyBorder="1" applyAlignment="1">
      <alignment horizontal="center" vertical="center" wrapText="1"/>
    </xf>
    <xf numFmtId="0" fontId="8" fillId="0" borderId="22" xfId="0" applyFont="1" applyBorder="1" applyAlignment="1">
      <alignment horizontal="center" vertical="center" wrapText="1"/>
    </xf>
    <xf numFmtId="0" fontId="25" fillId="0" borderId="14" xfId="0" applyFont="1" applyBorder="1" applyAlignment="1">
      <alignment horizontal="center"/>
    </xf>
    <xf numFmtId="0" fontId="60" fillId="0" borderId="0" xfId="9" applyNumberFormat="1" applyFont="1" applyFill="1" applyBorder="1" applyAlignment="1">
      <alignment horizontal="center" vertical="center" wrapText="1"/>
    </xf>
    <xf numFmtId="0" fontId="25" fillId="0" borderId="14" xfId="0" applyFont="1" applyBorder="1" applyAlignment="1">
      <alignment horizontal="right"/>
    </xf>
    <xf numFmtId="0" fontId="9" fillId="0" borderId="38"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5" xfId="0" applyFont="1" applyBorder="1" applyAlignment="1">
      <alignment horizontal="center" vertical="center" wrapText="1"/>
    </xf>
    <xf numFmtId="0" fontId="8" fillId="0" borderId="46"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58"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44" xfId="0" applyFont="1" applyBorder="1" applyAlignment="1">
      <alignment horizontal="center" vertical="center" wrapText="1"/>
    </xf>
    <xf numFmtId="0" fontId="8" fillId="0" borderId="47" xfId="0" applyFont="1" applyBorder="1" applyAlignment="1">
      <alignment horizontal="center" vertical="center"/>
    </xf>
    <xf numFmtId="0" fontId="88" fillId="0" borderId="0" xfId="7" applyFont="1" applyAlignment="1">
      <alignment horizontal="center"/>
    </xf>
    <xf numFmtId="0" fontId="6" fillId="0" borderId="0" xfId="7" applyFont="1" applyBorder="1" applyAlignment="1">
      <alignment horizontal="center"/>
    </xf>
    <xf numFmtId="0" fontId="4" fillId="0" borderId="13" xfId="7" applyFont="1" applyBorder="1" applyAlignment="1">
      <alignment horizontal="center" vertical="center" wrapText="1"/>
    </xf>
    <xf numFmtId="0" fontId="89" fillId="0" borderId="0" xfId="9" applyNumberFormat="1" applyFont="1" applyFill="1" applyBorder="1" applyAlignment="1">
      <alignment horizontal="center" vertical="center" wrapText="1"/>
    </xf>
    <xf numFmtId="3" fontId="4" fillId="0" borderId="13" xfId="7" applyNumberFormat="1" applyFont="1" applyBorder="1" applyAlignment="1">
      <alignment horizontal="center" vertical="center"/>
    </xf>
  </cellXfs>
  <cellStyles count="15">
    <cellStyle name="Comma" xfId="1" builtinId="3"/>
    <cellStyle name="Comma [0]" xfId="2" builtinId="6"/>
    <cellStyle name="Comma 28" xfId="3"/>
    <cellStyle name="HAI" xfId="4"/>
    <cellStyle name="Normal" xfId="0" builtinId="0"/>
    <cellStyle name="Normal 11 3" xfId="5"/>
    <cellStyle name="Normal 16" xfId="6"/>
    <cellStyle name="Normal 2" xfId="7"/>
    <cellStyle name="Normal 3" xfId="8"/>
    <cellStyle name="Normal 3 4" xfId="9"/>
    <cellStyle name="Normal 4" xfId="10"/>
    <cellStyle name="Normal 5" xfId="11"/>
    <cellStyle name="Normal_Bieu ban co (2003)" xfId="12"/>
    <cellStyle name="Normal_Bieu mau (CV )" xfId="13"/>
    <cellStyle name="Normal_Chi NSTW NSDP 2002 - PL"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161925</xdr:rowOff>
    </xdr:from>
    <xdr:to>
      <xdr:col>2</xdr:col>
      <xdr:colOff>1123950</xdr:colOff>
      <xdr:row>7</xdr:row>
      <xdr:rowOff>161925</xdr:rowOff>
    </xdr:to>
    <xdr:cxnSp macro="">
      <xdr:nvCxnSpPr>
        <xdr:cNvPr id="3" name="Straight Connector 2"/>
        <xdr:cNvCxnSpPr/>
      </xdr:nvCxnSpPr>
      <xdr:spPr>
        <a:xfrm>
          <a:off x="5057775" y="962025"/>
          <a:ext cx="6953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176893</xdr:colOff>
      <xdr:row>2</xdr:row>
      <xdr:rowOff>68035</xdr:rowOff>
    </xdr:from>
    <xdr:to>
      <xdr:col>1</xdr:col>
      <xdr:colOff>489858</xdr:colOff>
      <xdr:row>2</xdr:row>
      <xdr:rowOff>69623</xdr:rowOff>
    </xdr:to>
    <xdr:cxnSp macro="">
      <xdr:nvCxnSpPr>
        <xdr:cNvPr id="2" name="Straight Connector 1"/>
        <xdr:cNvCxnSpPr/>
      </xdr:nvCxnSpPr>
      <xdr:spPr>
        <a:xfrm>
          <a:off x="567418" y="601435"/>
          <a:ext cx="312965"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TC15\SHARE_QLNSDPNSNN$\Hang\Bieu%20mau%20thu%202003%20vong%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ony%20Vaio\Downloads\Bieu%20mau%20theo%20TT%20342%20-%20nam%20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u NSNN(V2)"/>
      <sheetName val="Dt 2001"/>
      <sheetName val="tinh CD DT"/>
      <sheetName val="Thu NSNN (V1)"/>
      <sheetName val="mau"/>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60"/>
      <sheetName val="61"/>
      <sheetName val="62"/>
      <sheetName val="63"/>
      <sheetName val="64"/>
      <sheetName val="65"/>
      <sheetName val="66"/>
      <sheetName val="67"/>
      <sheetName val="68"/>
      <sheetName val="69"/>
      <sheetName val="70"/>
      <sheetName val="Sheet1"/>
    </sheetNames>
    <sheetDataSet>
      <sheetData sheetId="0">
        <row r="23">
          <cell r="B23">
            <v>428816.83668099914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M69"/>
  <sheetViews>
    <sheetView workbookViewId="0">
      <pane xSplit="2" ySplit="14" topLeftCell="C15" activePane="bottomRight" state="frozen"/>
      <selection activeCell="A36" sqref="A36"/>
      <selection pane="topRight" activeCell="A36" sqref="A36"/>
      <selection pane="bottomLeft" activeCell="A36" sqref="A36"/>
      <selection pane="bottomRight" activeCell="B1" sqref="B1"/>
    </sheetView>
  </sheetViews>
  <sheetFormatPr defaultColWidth="9" defaultRowHeight="15.75"/>
  <cols>
    <col min="1" max="1" width="5.125" style="213" customWidth="1"/>
    <col min="2" max="2" width="48.875" style="4" customWidth="1"/>
    <col min="3" max="3" width="14.75" style="4" customWidth="1"/>
    <col min="4" max="10" width="7.875" style="4" customWidth="1"/>
    <col min="11" max="11" width="7.5" style="4" customWidth="1"/>
    <col min="12" max="16384" width="9" style="4"/>
  </cols>
  <sheetData>
    <row r="1" spans="1:13" ht="21" customHeight="1">
      <c r="A1" s="2"/>
      <c r="B1" s="2"/>
      <c r="C1" s="84">
        <v>5</v>
      </c>
      <c r="D1" s="2"/>
      <c r="E1" s="2"/>
      <c r="F1" s="544"/>
      <c r="G1" s="544"/>
      <c r="H1" s="544"/>
      <c r="I1" s="544"/>
      <c r="J1" s="544"/>
      <c r="K1" s="84"/>
    </row>
    <row r="2" spans="1:13" ht="12.75" hidden="1" customHeight="1">
      <c r="A2" s="5"/>
      <c r="B2" s="5"/>
      <c r="C2" s="2"/>
      <c r="D2" s="2"/>
      <c r="E2" s="2"/>
      <c r="F2" s="2"/>
      <c r="G2" s="2"/>
      <c r="H2" s="2"/>
      <c r="I2" s="2"/>
      <c r="J2" s="2"/>
      <c r="K2" s="2"/>
    </row>
    <row r="3" spans="1:13" ht="27" customHeight="1">
      <c r="A3" s="5"/>
      <c r="B3" s="5"/>
      <c r="C3" s="2"/>
      <c r="D3" s="2"/>
      <c r="E3" s="2"/>
      <c r="F3" s="2"/>
      <c r="G3" s="2"/>
      <c r="H3" s="2"/>
      <c r="I3" s="815" t="s">
        <v>162</v>
      </c>
      <c r="J3" s="816"/>
      <c r="K3" s="816"/>
    </row>
    <row r="4" spans="1:13" ht="21" customHeight="1">
      <c r="A4" s="3" t="s">
        <v>257</v>
      </c>
      <c r="B4" s="3"/>
      <c r="C4" s="6"/>
      <c r="D4" s="6"/>
      <c r="E4" s="6"/>
      <c r="F4" s="6"/>
      <c r="G4" s="6"/>
      <c r="H4" s="6"/>
      <c r="I4" s="6"/>
      <c r="J4" s="6"/>
      <c r="K4" s="6"/>
    </row>
    <row r="5" spans="1:13" ht="21" customHeight="1">
      <c r="A5" s="3" t="s">
        <v>426</v>
      </c>
      <c r="B5" s="3"/>
      <c r="C5" s="2"/>
      <c r="D5" s="2"/>
      <c r="E5" s="2"/>
      <c r="F5" s="2"/>
      <c r="G5" s="2"/>
      <c r="H5" s="2"/>
      <c r="I5" s="2"/>
      <c r="J5" s="2"/>
      <c r="K5" s="2"/>
    </row>
    <row r="6" spans="1:13" ht="14.25" hidden="1" customHeight="1">
      <c r="A6" s="7"/>
      <c r="B6" s="7"/>
      <c r="C6" s="2"/>
      <c r="D6" s="2"/>
      <c r="E6" s="2"/>
      <c r="F6" s="2"/>
      <c r="G6" s="2"/>
      <c r="H6" s="2"/>
      <c r="I6" s="2"/>
      <c r="J6" s="2"/>
      <c r="K6" s="2"/>
    </row>
    <row r="7" spans="1:13" ht="9.75" hidden="1" customHeight="1">
      <c r="A7" s="7"/>
      <c r="B7" s="7"/>
      <c r="C7" s="2"/>
      <c r="D7" s="2"/>
      <c r="E7" s="2"/>
      <c r="F7" s="2"/>
      <c r="G7" s="2"/>
      <c r="H7" s="2"/>
      <c r="I7" s="2"/>
      <c r="J7" s="2"/>
      <c r="K7" s="2"/>
    </row>
    <row r="8" spans="1:13" ht="38.25" customHeight="1" thickBot="1">
      <c r="A8" s="206"/>
      <c r="B8" s="8"/>
      <c r="C8" s="38"/>
      <c r="D8" s="9"/>
      <c r="E8" s="9"/>
      <c r="F8" s="8"/>
      <c r="G8" s="8"/>
      <c r="H8" s="8"/>
      <c r="I8" s="8"/>
      <c r="J8" s="8"/>
      <c r="K8" s="38"/>
    </row>
    <row r="9" spans="1:13" s="10" customFormat="1" ht="25.5" customHeight="1">
      <c r="A9" s="106"/>
      <c r="B9" s="107"/>
      <c r="C9" s="812" t="s">
        <v>133</v>
      </c>
      <c r="D9" s="90" t="s">
        <v>181</v>
      </c>
      <c r="E9" s="806" t="s">
        <v>127</v>
      </c>
      <c r="F9" s="807"/>
      <c r="G9" s="807"/>
      <c r="H9" s="807"/>
      <c r="I9" s="807"/>
      <c r="J9" s="808"/>
      <c r="K9" s="809" t="s">
        <v>423</v>
      </c>
    </row>
    <row r="10" spans="1:13" s="10" customFormat="1" ht="25.5" customHeight="1">
      <c r="A10" s="108" t="s">
        <v>13</v>
      </c>
      <c r="B10" s="105"/>
      <c r="C10" s="813"/>
      <c r="D10" s="12" t="s">
        <v>86</v>
      </c>
      <c r="E10" s="12" t="s">
        <v>51</v>
      </c>
      <c r="F10" s="12" t="s">
        <v>97</v>
      </c>
      <c r="G10" s="12" t="s">
        <v>97</v>
      </c>
      <c r="H10" s="12" t="s">
        <v>97</v>
      </c>
      <c r="I10" s="12" t="s">
        <v>97</v>
      </c>
      <c r="J10" s="12" t="s">
        <v>97</v>
      </c>
      <c r="K10" s="810"/>
    </row>
    <row r="11" spans="1:13" s="10" customFormat="1" ht="25.5" customHeight="1">
      <c r="A11" s="108" t="s">
        <v>14</v>
      </c>
      <c r="B11" s="105" t="s">
        <v>11</v>
      </c>
      <c r="C11" s="813"/>
      <c r="D11" s="12" t="s">
        <v>95</v>
      </c>
      <c r="E11" s="12" t="s">
        <v>95</v>
      </c>
      <c r="F11" s="12" t="s">
        <v>98</v>
      </c>
      <c r="G11" s="12" t="s">
        <v>98</v>
      </c>
      <c r="H11" s="12" t="s">
        <v>98</v>
      </c>
      <c r="I11" s="12" t="s">
        <v>98</v>
      </c>
      <c r="J11" s="12" t="s">
        <v>98</v>
      </c>
      <c r="K11" s="810"/>
      <c r="M11" s="12" t="s">
        <v>12</v>
      </c>
    </row>
    <row r="12" spans="1:13" s="10" customFormat="1" ht="25.5" customHeight="1">
      <c r="A12" s="108" t="s">
        <v>14</v>
      </c>
      <c r="B12" s="105"/>
      <c r="C12" s="813"/>
      <c r="D12" s="12" t="s">
        <v>96</v>
      </c>
      <c r="E12" s="12" t="s">
        <v>96</v>
      </c>
      <c r="F12" s="12" t="s">
        <v>99</v>
      </c>
      <c r="G12" s="12" t="s">
        <v>100</v>
      </c>
      <c r="H12" s="12" t="s">
        <v>101</v>
      </c>
      <c r="I12" s="12" t="s">
        <v>58</v>
      </c>
      <c r="J12" s="12" t="s">
        <v>71</v>
      </c>
      <c r="K12" s="810"/>
      <c r="M12" s="82"/>
    </row>
    <row r="13" spans="1:13" s="10" customFormat="1" ht="25.5" customHeight="1">
      <c r="A13" s="109"/>
      <c r="B13" s="110"/>
      <c r="C13" s="814"/>
      <c r="D13" s="13" t="s">
        <v>57</v>
      </c>
      <c r="E13" s="13"/>
      <c r="F13" s="13"/>
      <c r="G13" s="13"/>
      <c r="H13" s="13"/>
      <c r="I13" s="13"/>
      <c r="J13" s="13"/>
      <c r="K13" s="811"/>
    </row>
    <row r="14" spans="1:13" s="36" customFormat="1" ht="17.25" customHeight="1">
      <c r="A14" s="33" t="s">
        <v>15</v>
      </c>
      <c r="B14" s="66" t="s">
        <v>16</v>
      </c>
      <c r="C14" s="34">
        <v>1</v>
      </c>
      <c r="D14" s="34">
        <f t="shared" ref="D14:K14" si="0">C14+1</f>
        <v>2</v>
      </c>
      <c r="E14" s="34">
        <f t="shared" si="0"/>
        <v>3</v>
      </c>
      <c r="F14" s="34">
        <f t="shared" si="0"/>
        <v>4</v>
      </c>
      <c r="G14" s="34">
        <f t="shared" si="0"/>
        <v>5</v>
      </c>
      <c r="H14" s="34">
        <f t="shared" si="0"/>
        <v>6</v>
      </c>
      <c r="I14" s="34">
        <f t="shared" si="0"/>
        <v>7</v>
      </c>
      <c r="J14" s="34">
        <f t="shared" si="0"/>
        <v>8</v>
      </c>
      <c r="K14" s="94">
        <f t="shared" si="0"/>
        <v>9</v>
      </c>
    </row>
    <row r="15" spans="1:13" s="36" customFormat="1" ht="33" customHeight="1">
      <c r="A15" s="11">
        <v>1</v>
      </c>
      <c r="B15" s="70" t="s">
        <v>136</v>
      </c>
      <c r="C15" s="52" t="s">
        <v>144</v>
      </c>
      <c r="D15" s="53"/>
      <c r="E15" s="53"/>
      <c r="F15" s="52"/>
      <c r="G15" s="52"/>
      <c r="H15" s="52"/>
      <c r="I15" s="52"/>
      <c r="J15" s="52"/>
      <c r="K15" s="91"/>
    </row>
    <row r="16" spans="1:13" s="36" customFormat="1" ht="33" customHeight="1">
      <c r="A16" s="11">
        <v>2</v>
      </c>
      <c r="B16" s="70" t="s">
        <v>137</v>
      </c>
      <c r="C16" s="52" t="s">
        <v>134</v>
      </c>
      <c r="D16" s="53"/>
      <c r="E16" s="53"/>
      <c r="F16" s="52"/>
      <c r="G16" s="52"/>
      <c r="H16" s="52"/>
      <c r="I16" s="52"/>
      <c r="J16" s="52"/>
      <c r="K16" s="91"/>
    </row>
    <row r="17" spans="1:11" s="36" customFormat="1" ht="33" customHeight="1">
      <c r="A17" s="11">
        <v>3</v>
      </c>
      <c r="B17" s="70" t="s">
        <v>138</v>
      </c>
      <c r="C17" s="52"/>
      <c r="D17" s="53"/>
      <c r="E17" s="53"/>
      <c r="F17" s="52"/>
      <c r="G17" s="52"/>
      <c r="H17" s="52"/>
      <c r="I17" s="52"/>
      <c r="J17" s="52"/>
      <c r="K17" s="91"/>
    </row>
    <row r="18" spans="1:11" s="36" customFormat="1" ht="33" customHeight="1">
      <c r="A18" s="207" t="s">
        <v>24</v>
      </c>
      <c r="B18" s="71" t="s">
        <v>102</v>
      </c>
      <c r="C18" s="52" t="s">
        <v>134</v>
      </c>
      <c r="D18" s="53"/>
      <c r="E18" s="53"/>
      <c r="F18" s="52"/>
      <c r="G18" s="52"/>
      <c r="H18" s="52"/>
      <c r="I18" s="52"/>
      <c r="J18" s="52"/>
      <c r="K18" s="91"/>
    </row>
    <row r="19" spans="1:11" s="36" customFormat="1" ht="33" customHeight="1">
      <c r="A19" s="207" t="s">
        <v>24</v>
      </c>
      <c r="B19" s="71" t="s">
        <v>103</v>
      </c>
      <c r="C19" s="52" t="s">
        <v>134</v>
      </c>
      <c r="D19" s="53"/>
      <c r="E19" s="53"/>
      <c r="F19" s="52"/>
      <c r="G19" s="52"/>
      <c r="H19" s="52"/>
      <c r="I19" s="52"/>
      <c r="J19" s="52"/>
      <c r="K19" s="91"/>
    </row>
    <row r="20" spans="1:11" s="36" customFormat="1" ht="33" customHeight="1">
      <c r="A20" s="207" t="s">
        <v>24</v>
      </c>
      <c r="B20" s="71" t="s">
        <v>104</v>
      </c>
      <c r="C20" s="52" t="s">
        <v>134</v>
      </c>
      <c r="D20" s="53"/>
      <c r="E20" s="53"/>
      <c r="F20" s="52"/>
      <c r="G20" s="52"/>
      <c r="H20" s="52"/>
      <c r="I20" s="52"/>
      <c r="J20" s="52"/>
      <c r="K20" s="91"/>
    </row>
    <row r="21" spans="1:11" s="36" customFormat="1" ht="33" customHeight="1">
      <c r="A21" s="11">
        <f>A17+1</f>
        <v>4</v>
      </c>
      <c r="B21" s="70" t="s">
        <v>139</v>
      </c>
      <c r="C21" s="52" t="s">
        <v>134</v>
      </c>
      <c r="D21" s="53"/>
      <c r="E21" s="53"/>
      <c r="F21" s="52"/>
      <c r="G21" s="52"/>
      <c r="H21" s="52"/>
      <c r="I21" s="52"/>
      <c r="J21" s="52"/>
      <c r="K21" s="91"/>
    </row>
    <row r="22" spans="1:11" s="36" customFormat="1" ht="33" customHeight="1">
      <c r="A22" s="11">
        <f>A21+1</f>
        <v>5</v>
      </c>
      <c r="B22" s="70" t="s">
        <v>212</v>
      </c>
      <c r="C22" s="52" t="s">
        <v>144</v>
      </c>
      <c r="D22" s="53"/>
      <c r="E22" s="53"/>
      <c r="F22" s="52"/>
      <c r="G22" s="52"/>
      <c r="H22" s="52"/>
      <c r="I22" s="52"/>
      <c r="J22" s="52"/>
      <c r="K22" s="91"/>
    </row>
    <row r="23" spans="1:11" s="81" customFormat="1" ht="33" customHeight="1">
      <c r="A23" s="208"/>
      <c r="B23" s="71" t="s">
        <v>377</v>
      </c>
      <c r="C23" s="52" t="s">
        <v>134</v>
      </c>
      <c r="D23" s="80"/>
      <c r="E23" s="80"/>
      <c r="F23" s="79"/>
      <c r="G23" s="79"/>
      <c r="H23" s="79"/>
      <c r="I23" s="79"/>
      <c r="J23" s="79"/>
      <c r="K23" s="95"/>
    </row>
    <row r="24" spans="1:11" s="36" customFormat="1" ht="33" customHeight="1">
      <c r="A24" s="78" t="s">
        <v>24</v>
      </c>
      <c r="B24" s="70" t="s">
        <v>201</v>
      </c>
      <c r="C24" s="52" t="s">
        <v>144</v>
      </c>
      <c r="D24" s="53"/>
      <c r="E24" s="53"/>
      <c r="F24" s="52"/>
      <c r="G24" s="52"/>
      <c r="H24" s="52"/>
      <c r="I24" s="52"/>
      <c r="J24" s="52"/>
      <c r="K24" s="91"/>
    </row>
    <row r="25" spans="1:11" s="36" customFormat="1" ht="33" customHeight="1">
      <c r="A25" s="78" t="s">
        <v>24</v>
      </c>
      <c r="B25" s="70" t="s">
        <v>105</v>
      </c>
      <c r="C25" s="52" t="s">
        <v>144</v>
      </c>
      <c r="D25" s="53"/>
      <c r="E25" s="53"/>
      <c r="F25" s="52"/>
      <c r="G25" s="52"/>
      <c r="H25" s="52"/>
      <c r="I25" s="52"/>
      <c r="J25" s="52"/>
      <c r="K25" s="91"/>
    </row>
    <row r="26" spans="1:11" s="36" customFormat="1" ht="33" customHeight="1">
      <c r="A26" s="78" t="s">
        <v>24</v>
      </c>
      <c r="B26" s="70" t="s">
        <v>106</v>
      </c>
      <c r="C26" s="52" t="s">
        <v>144</v>
      </c>
      <c r="D26" s="53"/>
      <c r="E26" s="53"/>
      <c r="F26" s="52"/>
      <c r="G26" s="52"/>
      <c r="H26" s="52"/>
      <c r="I26" s="52"/>
      <c r="J26" s="52"/>
      <c r="K26" s="91"/>
    </row>
    <row r="27" spans="1:11" s="36" customFormat="1" ht="33" customHeight="1">
      <c r="A27" s="78" t="s">
        <v>24</v>
      </c>
      <c r="B27" s="70" t="s">
        <v>107</v>
      </c>
      <c r="C27" s="52" t="s">
        <v>144</v>
      </c>
      <c r="D27" s="53"/>
      <c r="E27" s="53"/>
      <c r="F27" s="52"/>
      <c r="G27" s="52"/>
      <c r="H27" s="52"/>
      <c r="I27" s="52"/>
      <c r="J27" s="52"/>
      <c r="K27" s="91"/>
    </row>
    <row r="28" spans="1:11" s="36" customFormat="1" ht="33" customHeight="1">
      <c r="A28" s="11">
        <f>A22+1</f>
        <v>6</v>
      </c>
      <c r="B28" s="70" t="s">
        <v>141</v>
      </c>
      <c r="C28" s="52" t="s">
        <v>135</v>
      </c>
      <c r="D28" s="53"/>
      <c r="E28" s="53"/>
      <c r="F28" s="52"/>
      <c r="G28" s="52"/>
      <c r="H28" s="52"/>
      <c r="I28" s="52"/>
      <c r="J28" s="52"/>
      <c r="K28" s="91"/>
    </row>
    <row r="29" spans="1:11" s="81" customFormat="1" ht="33" customHeight="1">
      <c r="A29" s="208"/>
      <c r="B29" s="71" t="s">
        <v>140</v>
      </c>
      <c r="C29" s="52" t="s">
        <v>134</v>
      </c>
      <c r="D29" s="80"/>
      <c r="E29" s="80"/>
      <c r="F29" s="79"/>
      <c r="G29" s="79"/>
      <c r="H29" s="79"/>
      <c r="I29" s="79"/>
      <c r="J29" s="79"/>
      <c r="K29" s="95"/>
    </row>
    <row r="30" spans="1:11" s="36" customFormat="1" ht="33" customHeight="1">
      <c r="A30" s="11">
        <f>A28+1</f>
        <v>7</v>
      </c>
      <c r="B30" s="70" t="s">
        <v>142</v>
      </c>
      <c r="C30" s="52" t="s">
        <v>135</v>
      </c>
      <c r="D30" s="53"/>
      <c r="E30" s="53"/>
      <c r="F30" s="52"/>
      <c r="G30" s="52"/>
      <c r="H30" s="52"/>
      <c r="I30" s="52"/>
      <c r="J30" s="52"/>
      <c r="K30" s="91"/>
    </row>
    <row r="31" spans="1:11" s="36" customFormat="1" ht="33" customHeight="1">
      <c r="A31" s="11"/>
      <c r="B31" s="71" t="s">
        <v>140</v>
      </c>
      <c r="C31" s="52" t="s">
        <v>134</v>
      </c>
      <c r="D31" s="53"/>
      <c r="E31" s="53"/>
      <c r="F31" s="52"/>
      <c r="G31" s="52"/>
      <c r="H31" s="52"/>
      <c r="I31" s="52"/>
      <c r="J31" s="52"/>
      <c r="K31" s="91"/>
    </row>
    <row r="32" spans="1:11" s="36" customFormat="1" ht="33" customHeight="1">
      <c r="A32" s="11">
        <f>A30+1</f>
        <v>8</v>
      </c>
      <c r="B32" s="70" t="s">
        <v>143</v>
      </c>
      <c r="C32" s="52" t="s">
        <v>156</v>
      </c>
      <c r="D32" s="53"/>
      <c r="E32" s="53"/>
      <c r="F32" s="52"/>
      <c r="G32" s="52"/>
      <c r="H32" s="52"/>
      <c r="I32" s="52"/>
      <c r="J32" s="52"/>
      <c r="K32" s="91"/>
    </row>
    <row r="33" spans="1:11" s="36" customFormat="1" ht="33" customHeight="1">
      <c r="A33" s="11">
        <f t="shared" ref="A33:A40" si="1">A32+1</f>
        <v>9</v>
      </c>
      <c r="B33" s="70" t="s">
        <v>146</v>
      </c>
      <c r="C33" s="52" t="s">
        <v>144</v>
      </c>
      <c r="D33" s="53"/>
      <c r="E33" s="53"/>
      <c r="F33" s="52"/>
      <c r="G33" s="52"/>
      <c r="H33" s="52"/>
      <c r="I33" s="52"/>
      <c r="J33" s="52"/>
      <c r="K33" s="91"/>
    </row>
    <row r="34" spans="1:11" s="36" customFormat="1" ht="33" customHeight="1">
      <c r="A34" s="11">
        <f t="shared" si="1"/>
        <v>10</v>
      </c>
      <c r="B34" s="70" t="s">
        <v>147</v>
      </c>
      <c r="C34" s="52" t="s">
        <v>145</v>
      </c>
      <c r="D34" s="53"/>
      <c r="E34" s="53"/>
      <c r="F34" s="52"/>
      <c r="G34" s="52"/>
      <c r="H34" s="52"/>
      <c r="I34" s="52"/>
      <c r="J34" s="52"/>
      <c r="K34" s="91"/>
    </row>
    <row r="35" spans="1:11" s="36" customFormat="1" ht="33" customHeight="1">
      <c r="A35" s="11">
        <f t="shared" si="1"/>
        <v>11</v>
      </c>
      <c r="B35" s="70" t="s">
        <v>151</v>
      </c>
      <c r="C35" s="52" t="s">
        <v>134</v>
      </c>
      <c r="D35" s="53"/>
      <c r="E35" s="53"/>
      <c r="F35" s="52"/>
      <c r="G35" s="52"/>
      <c r="H35" s="52"/>
      <c r="I35" s="52"/>
      <c r="J35" s="52"/>
      <c r="K35" s="91"/>
    </row>
    <row r="36" spans="1:11" s="36" customFormat="1" ht="33" customHeight="1">
      <c r="A36" s="11">
        <f t="shared" si="1"/>
        <v>12</v>
      </c>
      <c r="B36" s="70" t="s">
        <v>150</v>
      </c>
      <c r="C36" s="52" t="s">
        <v>134</v>
      </c>
      <c r="D36" s="53"/>
      <c r="E36" s="53"/>
      <c r="F36" s="52"/>
      <c r="G36" s="52"/>
      <c r="H36" s="52"/>
      <c r="I36" s="52"/>
      <c r="J36" s="52"/>
      <c r="K36" s="91"/>
    </row>
    <row r="37" spans="1:11" s="36" customFormat="1" ht="33" customHeight="1">
      <c r="A37" s="11">
        <f t="shared" si="1"/>
        <v>13</v>
      </c>
      <c r="B37" s="70" t="s">
        <v>149</v>
      </c>
      <c r="C37" s="52" t="s">
        <v>148</v>
      </c>
      <c r="D37" s="53"/>
      <c r="E37" s="53"/>
      <c r="F37" s="52"/>
      <c r="G37" s="52"/>
      <c r="H37" s="52"/>
      <c r="I37" s="52"/>
      <c r="J37" s="52"/>
      <c r="K37" s="91"/>
    </row>
    <row r="38" spans="1:11" s="36" customFormat="1" ht="33" customHeight="1">
      <c r="A38" s="11">
        <f t="shared" si="1"/>
        <v>14</v>
      </c>
      <c r="B38" s="70" t="s">
        <v>153</v>
      </c>
      <c r="C38" s="52" t="s">
        <v>134</v>
      </c>
      <c r="D38" s="53"/>
      <c r="E38" s="53"/>
      <c r="F38" s="52"/>
      <c r="G38" s="52"/>
      <c r="H38" s="52"/>
      <c r="I38" s="52"/>
      <c r="J38" s="52"/>
      <c r="K38" s="91"/>
    </row>
    <row r="39" spans="1:11" s="36" customFormat="1" ht="33" customHeight="1">
      <c r="A39" s="11">
        <f t="shared" si="1"/>
        <v>15</v>
      </c>
      <c r="B39" s="70" t="s">
        <v>108</v>
      </c>
      <c r="C39" s="52" t="s">
        <v>152</v>
      </c>
      <c r="D39" s="53"/>
      <c r="E39" s="53"/>
      <c r="F39" s="52"/>
      <c r="G39" s="52"/>
      <c r="H39" s="52"/>
      <c r="I39" s="52"/>
      <c r="J39" s="52"/>
      <c r="K39" s="91"/>
    </row>
    <row r="40" spans="1:11" s="36" customFormat="1" ht="33" customHeight="1">
      <c r="A40" s="11">
        <f t="shared" si="1"/>
        <v>16</v>
      </c>
      <c r="B40" s="70" t="s">
        <v>118</v>
      </c>
      <c r="C40" s="52"/>
      <c r="D40" s="53"/>
      <c r="E40" s="53"/>
      <c r="F40" s="52"/>
      <c r="G40" s="52"/>
      <c r="H40" s="52"/>
      <c r="I40" s="52"/>
      <c r="J40" s="52"/>
      <c r="K40" s="91"/>
    </row>
    <row r="41" spans="1:11" ht="15.95" customHeight="1" thickBot="1">
      <c r="A41" s="209"/>
      <c r="B41" s="73"/>
      <c r="C41" s="18"/>
      <c r="D41" s="18"/>
      <c r="E41" s="18"/>
      <c r="F41" s="18"/>
      <c r="G41" s="18"/>
      <c r="H41" s="18"/>
      <c r="I41" s="18"/>
      <c r="J41" s="18"/>
      <c r="K41" s="96"/>
    </row>
    <row r="42" spans="1:11" ht="20.25" customHeight="1">
      <c r="A42" s="19" t="s">
        <v>427</v>
      </c>
      <c r="B42" s="19"/>
      <c r="C42" s="9"/>
      <c r="D42" s="9"/>
      <c r="E42" s="9"/>
      <c r="F42" s="9"/>
      <c r="G42" s="9"/>
      <c r="H42" s="9"/>
      <c r="I42" s="9"/>
      <c r="J42" s="9"/>
      <c r="K42" s="9"/>
    </row>
    <row r="43" spans="1:11" ht="20.100000000000001" hidden="1" customHeight="1">
      <c r="A43" s="20" t="s">
        <v>1</v>
      </c>
      <c r="B43" s="20" t="s">
        <v>1</v>
      </c>
      <c r="C43" s="21"/>
      <c r="D43" s="21"/>
      <c r="E43" s="21"/>
      <c r="F43" s="21"/>
      <c r="G43" s="21"/>
      <c r="H43" s="21"/>
      <c r="I43" s="21"/>
      <c r="J43" s="21"/>
      <c r="K43" s="21"/>
    </row>
    <row r="44" spans="1:11" ht="20.100000000000001" hidden="1" customHeight="1">
      <c r="A44" s="211" t="s">
        <v>2</v>
      </c>
      <c r="B44" s="22" t="s">
        <v>2</v>
      </c>
      <c r="C44" s="23"/>
      <c r="D44" s="23"/>
      <c r="E44" s="23"/>
      <c r="F44" s="23"/>
      <c r="G44" s="23"/>
      <c r="H44" s="23"/>
      <c r="I44" s="23"/>
      <c r="J44" s="23"/>
      <c r="K44" s="23"/>
    </row>
    <row r="45" spans="1:11" ht="20.100000000000001" hidden="1" customHeight="1">
      <c r="A45" s="211" t="s">
        <v>3</v>
      </c>
      <c r="B45" s="22" t="s">
        <v>3</v>
      </c>
      <c r="C45" s="23"/>
      <c r="D45" s="23"/>
      <c r="E45" s="23"/>
      <c r="F45" s="23"/>
      <c r="G45" s="23"/>
      <c r="H45" s="23"/>
      <c r="I45" s="23"/>
      <c r="J45" s="23"/>
      <c r="K45" s="23"/>
    </row>
    <row r="46" spans="1:11" ht="20.100000000000001" hidden="1" customHeight="1">
      <c r="A46" s="24" t="s">
        <v>4</v>
      </c>
      <c r="B46" s="24" t="s">
        <v>4</v>
      </c>
      <c r="C46" s="25"/>
      <c r="D46" s="25"/>
      <c r="E46" s="25"/>
      <c r="F46" s="25"/>
      <c r="G46" s="25"/>
      <c r="H46" s="25"/>
      <c r="I46" s="25"/>
      <c r="J46" s="25"/>
      <c r="K46" s="25"/>
    </row>
    <row r="47" spans="1:11" ht="20.100000000000001" hidden="1" customHeight="1">
      <c r="A47" s="211" t="s">
        <v>5</v>
      </c>
      <c r="B47" s="22" t="s">
        <v>5</v>
      </c>
      <c r="C47" s="23"/>
      <c r="D47" s="23"/>
      <c r="E47" s="23"/>
      <c r="F47" s="23"/>
      <c r="G47" s="23"/>
      <c r="H47" s="23"/>
      <c r="I47" s="23"/>
      <c r="J47" s="23"/>
      <c r="K47" s="23"/>
    </row>
    <row r="48" spans="1:11" ht="20.100000000000001" hidden="1" customHeight="1">
      <c r="A48" s="211" t="s">
        <v>6</v>
      </c>
      <c r="B48" s="22" t="s">
        <v>6</v>
      </c>
      <c r="C48" s="23"/>
      <c r="D48" s="23"/>
      <c r="E48" s="23"/>
      <c r="F48" s="23"/>
      <c r="G48" s="23"/>
      <c r="H48" s="23"/>
      <c r="I48" s="23"/>
      <c r="J48" s="23"/>
      <c r="K48" s="23"/>
    </row>
    <row r="49" spans="1:11" ht="20.100000000000001" hidden="1" customHeight="1">
      <c r="A49" s="211" t="s">
        <v>7</v>
      </c>
      <c r="B49" s="22" t="s">
        <v>7</v>
      </c>
      <c r="C49" s="23"/>
      <c r="D49" s="23"/>
      <c r="E49" s="23"/>
      <c r="F49" s="23"/>
      <c r="G49" s="23"/>
      <c r="H49" s="23"/>
      <c r="I49" s="23"/>
      <c r="J49" s="23"/>
      <c r="K49" s="23"/>
    </row>
    <row r="50" spans="1:11" ht="20.100000000000001" hidden="1" customHeight="1">
      <c r="A50" s="211" t="s">
        <v>8</v>
      </c>
      <c r="B50" s="22" t="s">
        <v>8</v>
      </c>
      <c r="C50" s="23"/>
      <c r="D50" s="23"/>
      <c r="E50" s="23"/>
      <c r="F50" s="23"/>
      <c r="G50" s="23"/>
      <c r="H50" s="23"/>
      <c r="I50" s="23"/>
      <c r="J50" s="23"/>
      <c r="K50" s="23"/>
    </row>
    <row r="51" spans="1:11" ht="20.25" hidden="1" customHeight="1">
      <c r="A51" s="211" t="s">
        <v>9</v>
      </c>
      <c r="B51" s="22" t="s">
        <v>9</v>
      </c>
      <c r="C51" s="23"/>
      <c r="D51" s="23"/>
      <c r="E51" s="23"/>
      <c r="F51" s="23"/>
      <c r="G51" s="23"/>
      <c r="H51" s="23"/>
      <c r="I51" s="23"/>
      <c r="J51" s="23"/>
      <c r="K51" s="23"/>
    </row>
    <row r="52" spans="1:11" ht="23.25" hidden="1" customHeight="1">
      <c r="A52" s="211" t="s">
        <v>10</v>
      </c>
      <c r="B52" s="22" t="s">
        <v>10</v>
      </c>
      <c r="C52" s="23"/>
      <c r="D52" s="23"/>
      <c r="E52" s="23"/>
      <c r="F52" s="23"/>
      <c r="G52" s="23"/>
      <c r="H52" s="23"/>
      <c r="I52" s="23"/>
      <c r="J52" s="23"/>
      <c r="K52" s="23"/>
    </row>
    <row r="53" spans="1:11" ht="19.5" hidden="1" thickBot="1">
      <c r="A53" s="209"/>
      <c r="B53" s="17"/>
      <c r="C53" s="18"/>
      <c r="D53" s="18"/>
      <c r="E53" s="18"/>
      <c r="F53" s="18"/>
      <c r="G53" s="18"/>
      <c r="H53" s="18"/>
      <c r="I53" s="18"/>
      <c r="J53" s="18"/>
      <c r="K53" s="18"/>
    </row>
    <row r="54" spans="1:11" ht="18.75" hidden="1">
      <c r="A54" s="212"/>
      <c r="B54" s="26"/>
      <c r="C54" s="26"/>
      <c r="D54" s="26"/>
      <c r="E54" s="26"/>
      <c r="F54" s="26"/>
      <c r="G54" s="26"/>
      <c r="H54" s="26"/>
      <c r="I54" s="26"/>
      <c r="J54" s="26"/>
      <c r="K54" s="26"/>
    </row>
    <row r="55" spans="1:11" ht="18.75" hidden="1">
      <c r="A55" s="32"/>
      <c r="B55" s="9"/>
      <c r="C55" s="9"/>
      <c r="D55" s="9"/>
      <c r="E55" s="9"/>
      <c r="F55" s="9"/>
      <c r="G55" s="9"/>
      <c r="H55" s="9"/>
      <c r="I55" s="9"/>
      <c r="J55" s="9"/>
      <c r="K55" s="9"/>
    </row>
    <row r="56" spans="1:11" ht="18.75" hidden="1">
      <c r="A56" s="32"/>
      <c r="B56" s="9"/>
      <c r="C56" s="9"/>
      <c r="D56" s="9"/>
      <c r="E56" s="9"/>
      <c r="F56" s="9"/>
      <c r="G56" s="9"/>
      <c r="H56" s="9"/>
      <c r="I56" s="9"/>
      <c r="J56" s="9"/>
      <c r="K56" s="9"/>
    </row>
    <row r="57" spans="1:11" ht="18.75" hidden="1">
      <c r="A57" s="32"/>
      <c r="B57" s="9"/>
      <c r="C57" s="9"/>
      <c r="D57" s="9"/>
      <c r="E57" s="9"/>
      <c r="F57" s="9"/>
      <c r="G57" s="9"/>
      <c r="H57" s="9"/>
      <c r="I57" s="9"/>
      <c r="J57" s="9"/>
      <c r="K57" s="9"/>
    </row>
    <row r="58" spans="1:11" ht="18.75" hidden="1">
      <c r="A58" s="32"/>
      <c r="B58" s="9"/>
      <c r="C58" s="9"/>
      <c r="D58" s="9"/>
      <c r="E58" s="9"/>
      <c r="F58" s="9"/>
      <c r="G58" s="9"/>
      <c r="H58" s="9"/>
      <c r="I58" s="9"/>
      <c r="J58" s="9"/>
      <c r="K58" s="9"/>
    </row>
    <row r="59" spans="1:11" ht="18.75" hidden="1">
      <c r="A59" s="32"/>
      <c r="B59" s="9"/>
      <c r="C59" s="9"/>
      <c r="D59" s="9"/>
      <c r="E59" s="9"/>
      <c r="F59" s="9"/>
      <c r="G59" s="9"/>
      <c r="H59" s="9"/>
      <c r="I59" s="9"/>
      <c r="J59" s="9"/>
      <c r="K59" s="9"/>
    </row>
    <row r="60" spans="1:11" ht="18.75" hidden="1">
      <c r="A60" s="32"/>
      <c r="B60" s="9"/>
      <c r="C60" s="9"/>
      <c r="D60" s="9"/>
      <c r="E60" s="9"/>
      <c r="F60" s="9"/>
      <c r="G60" s="9"/>
      <c r="H60" s="9"/>
      <c r="I60" s="9"/>
      <c r="J60" s="9"/>
      <c r="K60" s="9"/>
    </row>
    <row r="61" spans="1:11" ht="18.75" hidden="1">
      <c r="A61" s="32"/>
      <c r="B61" s="9"/>
      <c r="C61" s="9"/>
      <c r="D61" s="9"/>
      <c r="E61" s="9"/>
      <c r="F61" s="9"/>
      <c r="G61" s="9"/>
      <c r="H61" s="9"/>
      <c r="I61" s="9"/>
      <c r="J61" s="9"/>
      <c r="K61" s="9"/>
    </row>
    <row r="62" spans="1:11" ht="18.75" hidden="1">
      <c r="A62" s="32"/>
      <c r="B62" s="9"/>
      <c r="C62" s="9"/>
      <c r="D62" s="9"/>
      <c r="E62" s="9"/>
      <c r="F62" s="9"/>
      <c r="G62" s="9"/>
      <c r="H62" s="9"/>
      <c r="I62" s="9"/>
      <c r="J62" s="9"/>
      <c r="K62" s="9"/>
    </row>
    <row r="63" spans="1:11" ht="18.75" hidden="1">
      <c r="A63" s="32"/>
      <c r="B63" s="9"/>
      <c r="C63" s="9"/>
      <c r="D63" s="9"/>
      <c r="E63" s="9"/>
      <c r="F63" s="9"/>
      <c r="G63" s="9"/>
      <c r="H63" s="9"/>
      <c r="I63" s="9"/>
      <c r="J63" s="9"/>
      <c r="K63" s="9"/>
    </row>
    <row r="64" spans="1:11" ht="18.75" hidden="1">
      <c r="A64" s="32"/>
      <c r="B64" s="9"/>
      <c r="C64" s="9"/>
      <c r="D64" s="9"/>
      <c r="E64" s="9"/>
      <c r="F64" s="9"/>
      <c r="G64" s="9"/>
      <c r="H64" s="9"/>
      <c r="I64" s="9"/>
      <c r="J64" s="9"/>
      <c r="K64" s="9"/>
    </row>
    <row r="65" spans="1:11" ht="22.5" customHeight="1">
      <c r="A65" s="32"/>
      <c r="B65" s="9"/>
      <c r="C65" s="9"/>
      <c r="D65" s="9"/>
      <c r="E65" s="9"/>
      <c r="F65" s="9"/>
      <c r="G65" s="9"/>
      <c r="H65" s="9"/>
      <c r="I65" s="9"/>
      <c r="J65" s="9"/>
      <c r="K65" s="9"/>
    </row>
    <row r="66" spans="1:11" ht="18.75">
      <c r="A66" s="32"/>
      <c r="B66" s="9"/>
      <c r="C66" s="9"/>
      <c r="D66" s="9"/>
      <c r="E66" s="9"/>
      <c r="F66" s="9"/>
      <c r="G66" s="9"/>
      <c r="H66" s="9"/>
      <c r="I66" s="9"/>
      <c r="J66" s="9"/>
      <c r="K66" s="9"/>
    </row>
    <row r="67" spans="1:11" ht="18.75">
      <c r="A67" s="32"/>
      <c r="B67" s="9"/>
      <c r="C67" s="9"/>
      <c r="D67" s="9"/>
      <c r="E67" s="9"/>
      <c r="F67" s="9"/>
      <c r="G67" s="9"/>
      <c r="H67" s="9"/>
      <c r="I67" s="9"/>
      <c r="J67" s="9"/>
      <c r="K67" s="9"/>
    </row>
    <row r="68" spans="1:11" ht="18.75">
      <c r="A68" s="32"/>
      <c r="B68" s="9"/>
      <c r="C68" s="9"/>
      <c r="D68" s="9"/>
      <c r="E68" s="9"/>
      <c r="F68" s="9"/>
      <c r="G68" s="9"/>
      <c r="H68" s="9"/>
      <c r="I68" s="9"/>
      <c r="J68" s="9"/>
      <c r="K68" s="9"/>
    </row>
    <row r="69" spans="1:11" ht="18.75">
      <c r="A69" s="32"/>
      <c r="B69" s="9"/>
      <c r="C69" s="9"/>
      <c r="D69" s="9"/>
      <c r="E69" s="9"/>
      <c r="F69" s="9"/>
      <c r="G69" s="9"/>
      <c r="H69" s="9"/>
      <c r="I69" s="9"/>
      <c r="J69" s="9"/>
      <c r="K69" s="9"/>
    </row>
  </sheetData>
  <mergeCells count="4">
    <mergeCell ref="E9:J9"/>
    <mergeCell ref="K9:K13"/>
    <mergeCell ref="C9:C13"/>
    <mergeCell ref="I3:K3"/>
  </mergeCells>
  <printOptions horizontalCentered="1"/>
  <pageMargins left="0.27" right="0.33" top="0.78" bottom="0.2" header="0.53" footer="0.16"/>
  <pageSetup paperSize="9" scale="69" fitToHeight="5" orientation="portrait" r:id="rId1"/>
  <headerFooter alignWithMargins="0">
    <oddHeader xml:space="preserve">&amp;C                                                                                                                                  </oddHeader>
    <oddFooter>&amp;C&amp;".VnTime,Italic"&amp;8</oddFooter>
  </headerFooter>
  <drawing r:id="rId2"/>
</worksheet>
</file>

<file path=xl/worksheets/sheet10.xml><?xml version="1.0" encoding="utf-8"?>
<worksheet xmlns="http://schemas.openxmlformats.org/spreadsheetml/2006/main" xmlns:r="http://schemas.openxmlformats.org/officeDocument/2006/relationships">
  <sheetPr>
    <pageSetUpPr fitToPage="1"/>
  </sheetPr>
  <dimension ref="A1:G69"/>
  <sheetViews>
    <sheetView workbookViewId="0">
      <selection activeCell="B70" sqref="B70"/>
    </sheetView>
  </sheetViews>
  <sheetFormatPr defaultColWidth="9" defaultRowHeight="18.75"/>
  <cols>
    <col min="1" max="1" width="3.875" style="406" customWidth="1"/>
    <col min="2" max="2" width="65.75" style="367" customWidth="1"/>
    <col min="3" max="4" width="16.125" style="367" customWidth="1"/>
    <col min="5" max="5" width="17" style="367" customWidth="1"/>
    <col min="6" max="7" width="16.125" style="367" customWidth="1"/>
    <col min="8" max="16384" width="9" style="367"/>
  </cols>
  <sheetData>
    <row r="1" spans="1:7">
      <c r="A1" s="400"/>
      <c r="B1" s="366"/>
      <c r="C1" s="366"/>
      <c r="D1" s="366"/>
      <c r="E1" s="366"/>
      <c r="G1" s="39" t="s">
        <v>171</v>
      </c>
    </row>
    <row r="2" spans="1:7" ht="21" customHeight="1">
      <c r="A2" s="368" t="s">
        <v>316</v>
      </c>
      <c r="B2" s="369"/>
      <c r="C2" s="369"/>
      <c r="D2" s="369"/>
      <c r="E2" s="370"/>
      <c r="F2" s="371"/>
      <c r="G2" s="371"/>
    </row>
    <row r="3" spans="1:7" s="548" customFormat="1" ht="16.5">
      <c r="A3" s="547"/>
      <c r="B3" s="918" t="s">
        <v>435</v>
      </c>
      <c r="C3" s="919"/>
      <c r="D3" s="919"/>
      <c r="E3" s="919"/>
      <c r="F3" s="919"/>
      <c r="G3" s="919"/>
    </row>
    <row r="4" spans="1:7" ht="19.5" thickBot="1">
      <c r="A4" s="400"/>
      <c r="B4" s="372"/>
      <c r="C4" s="372"/>
      <c r="D4" s="372"/>
      <c r="E4" s="372"/>
      <c r="F4" s="51"/>
      <c r="G4" s="38" t="s">
        <v>187</v>
      </c>
    </row>
    <row r="5" spans="1:7" ht="20.25" customHeight="1">
      <c r="A5" s="920" t="s">
        <v>439</v>
      </c>
      <c r="B5" s="897" t="s">
        <v>11</v>
      </c>
      <c r="C5" s="519" t="s">
        <v>291</v>
      </c>
      <c r="D5" s="519"/>
      <c r="E5" s="520" t="s">
        <v>422</v>
      </c>
      <c r="F5" s="520"/>
      <c r="G5" s="521"/>
    </row>
    <row r="6" spans="1:7" ht="20.25" customHeight="1">
      <c r="A6" s="921"/>
      <c r="B6" s="898"/>
      <c r="C6" s="924" t="s">
        <v>292</v>
      </c>
      <c r="D6" s="924" t="s">
        <v>293</v>
      </c>
      <c r="E6" s="924" t="s">
        <v>418</v>
      </c>
      <c r="F6" s="924" t="s">
        <v>294</v>
      </c>
      <c r="G6" s="927" t="s">
        <v>295</v>
      </c>
    </row>
    <row r="7" spans="1:7" ht="20.25" customHeight="1">
      <c r="A7" s="921"/>
      <c r="B7" s="898"/>
      <c r="C7" s="925"/>
      <c r="D7" s="925"/>
      <c r="E7" s="925"/>
      <c r="F7" s="925"/>
      <c r="G7" s="928"/>
    </row>
    <row r="8" spans="1:7" ht="20.25" customHeight="1">
      <c r="A8" s="922"/>
      <c r="B8" s="899"/>
      <c r="C8" s="926"/>
      <c r="D8" s="926"/>
      <c r="E8" s="926"/>
      <c r="F8" s="926"/>
      <c r="G8" s="929"/>
    </row>
    <row r="9" spans="1:7" s="399" customFormat="1" ht="17.25" customHeight="1">
      <c r="A9" s="401" t="s">
        <v>15</v>
      </c>
      <c r="B9" s="394" t="s">
        <v>16</v>
      </c>
      <c r="C9" s="395">
        <v>1</v>
      </c>
      <c r="D9" s="396">
        <v>2</v>
      </c>
      <c r="E9" s="397">
        <v>3</v>
      </c>
      <c r="F9" s="397">
        <v>4</v>
      </c>
      <c r="G9" s="398">
        <v>5</v>
      </c>
    </row>
    <row r="10" spans="1:7" s="378" customFormat="1" ht="18.75" customHeight="1">
      <c r="A10" s="402"/>
      <c r="B10" s="524" t="s">
        <v>229</v>
      </c>
      <c r="C10" s="373"/>
      <c r="D10" s="375"/>
      <c r="E10" s="373"/>
      <c r="F10" s="376"/>
      <c r="G10" s="377"/>
    </row>
    <row r="11" spans="1:7" s="379" customFormat="1" ht="18.75" customHeight="1">
      <c r="A11" s="403"/>
      <c r="B11" s="221" t="s">
        <v>62</v>
      </c>
      <c r="C11" s="374"/>
      <c r="D11" s="383"/>
      <c r="E11" s="374"/>
      <c r="F11" s="384"/>
      <c r="G11" s="385"/>
    </row>
    <row r="12" spans="1:7" s="379" customFormat="1" ht="18.75" customHeight="1">
      <c r="A12" s="404" t="s">
        <v>24</v>
      </c>
      <c r="B12" s="224" t="s">
        <v>317</v>
      </c>
      <c r="C12" s="374"/>
      <c r="D12" s="383"/>
      <c r="E12" s="374"/>
      <c r="F12" s="384"/>
      <c r="G12" s="385"/>
    </row>
    <row r="13" spans="1:7" s="380" customFormat="1" ht="18.75" customHeight="1">
      <c r="A13" s="404" t="s">
        <v>24</v>
      </c>
      <c r="B13" s="224" t="s">
        <v>256</v>
      </c>
      <c r="C13" s="386"/>
      <c r="D13" s="387"/>
      <c r="E13" s="386"/>
      <c r="F13" s="388"/>
      <c r="G13" s="389"/>
    </row>
    <row r="14" spans="1:7" s="379" customFormat="1" ht="18.75" customHeight="1">
      <c r="A14" s="404" t="s">
        <v>15</v>
      </c>
      <c r="B14" s="522" t="s">
        <v>249</v>
      </c>
      <c r="C14" s="374"/>
      <c r="D14" s="383"/>
      <c r="E14" s="374"/>
      <c r="F14" s="384"/>
      <c r="G14" s="385"/>
    </row>
    <row r="15" spans="1:7" s="380" customFormat="1" ht="18.75" customHeight="1">
      <c r="A15" s="403"/>
      <c r="B15" s="221" t="s">
        <v>62</v>
      </c>
      <c r="C15" s="386"/>
      <c r="D15" s="387"/>
      <c r="E15" s="386"/>
      <c r="F15" s="388"/>
      <c r="G15" s="389"/>
    </row>
    <row r="16" spans="1:7" s="380" customFormat="1" ht="18.75" customHeight="1">
      <c r="A16" s="404" t="s">
        <v>24</v>
      </c>
      <c r="B16" s="224" t="s">
        <v>317</v>
      </c>
      <c r="C16" s="386"/>
      <c r="D16" s="387"/>
      <c r="E16" s="386"/>
      <c r="F16" s="388"/>
      <c r="G16" s="389"/>
    </row>
    <row r="17" spans="1:7" s="379" customFormat="1" ht="18.75" customHeight="1">
      <c r="A17" s="404" t="s">
        <v>24</v>
      </c>
      <c r="B17" s="224" t="s">
        <v>256</v>
      </c>
      <c r="C17" s="374"/>
      <c r="D17" s="383"/>
      <c r="E17" s="374"/>
      <c r="F17" s="384"/>
      <c r="G17" s="385"/>
    </row>
    <row r="18" spans="1:7" s="380" customFormat="1" ht="18.75" customHeight="1">
      <c r="A18" s="404" t="s">
        <v>32</v>
      </c>
      <c r="B18" s="523" t="s">
        <v>320</v>
      </c>
      <c r="C18" s="386"/>
      <c r="D18" s="387"/>
      <c r="E18" s="386"/>
      <c r="F18" s="388"/>
      <c r="G18" s="389"/>
    </row>
    <row r="19" spans="1:7" s="539" customFormat="1" ht="18.75" customHeight="1">
      <c r="A19" s="404" t="s">
        <v>232</v>
      </c>
      <c r="B19" s="237" t="s">
        <v>321</v>
      </c>
      <c r="C19" s="535"/>
      <c r="D19" s="536"/>
      <c r="E19" s="535"/>
      <c r="F19" s="537"/>
      <c r="G19" s="538"/>
    </row>
    <row r="20" spans="1:7" s="379" customFormat="1" ht="18.75" customHeight="1">
      <c r="A20" s="403"/>
      <c r="B20" s="221" t="s">
        <v>62</v>
      </c>
      <c r="C20" s="374"/>
      <c r="D20" s="383"/>
      <c r="E20" s="374"/>
      <c r="F20" s="384"/>
      <c r="G20" s="385"/>
    </row>
    <row r="21" spans="1:7" s="380" customFormat="1" ht="18.75" customHeight="1">
      <c r="A21" s="404" t="s">
        <v>24</v>
      </c>
      <c r="B21" s="224" t="s">
        <v>317</v>
      </c>
      <c r="C21" s="386"/>
      <c r="D21" s="387"/>
      <c r="E21" s="386"/>
      <c r="F21" s="388"/>
      <c r="G21" s="389"/>
    </row>
    <row r="22" spans="1:7" s="380" customFormat="1" ht="18.75" customHeight="1">
      <c r="A22" s="404" t="s">
        <v>24</v>
      </c>
      <c r="B22" s="224" t="s">
        <v>256</v>
      </c>
      <c r="C22" s="386"/>
      <c r="D22" s="387"/>
      <c r="E22" s="386"/>
      <c r="F22" s="388"/>
      <c r="G22" s="389"/>
    </row>
    <row r="23" spans="1:7" s="380" customFormat="1" ht="18.75" customHeight="1">
      <c r="A23" s="404" t="s">
        <v>125</v>
      </c>
      <c r="B23" s="228" t="s">
        <v>252</v>
      </c>
      <c r="C23" s="386"/>
      <c r="D23" s="387"/>
      <c r="E23" s="386"/>
      <c r="F23" s="388"/>
      <c r="G23" s="389"/>
    </row>
    <row r="24" spans="1:7" s="379" customFormat="1" ht="18.75" customHeight="1">
      <c r="A24" s="404" t="s">
        <v>126</v>
      </c>
      <c r="B24" s="228" t="s">
        <v>254</v>
      </c>
      <c r="C24" s="374"/>
      <c r="D24" s="383"/>
      <c r="E24" s="374"/>
      <c r="F24" s="384"/>
      <c r="G24" s="385"/>
    </row>
    <row r="25" spans="1:7" s="380" customFormat="1" ht="18.75" customHeight="1">
      <c r="A25" s="404" t="s">
        <v>224</v>
      </c>
      <c r="B25" s="228" t="s">
        <v>253</v>
      </c>
      <c r="C25" s="386"/>
      <c r="D25" s="387"/>
      <c r="E25" s="386"/>
      <c r="F25" s="388"/>
      <c r="G25" s="389"/>
    </row>
    <row r="26" spans="1:7" s="380" customFormat="1" ht="18.75" customHeight="1">
      <c r="A26" s="404" t="s">
        <v>24</v>
      </c>
      <c r="B26" s="228" t="s">
        <v>318</v>
      </c>
      <c r="C26" s="386"/>
      <c r="D26" s="387"/>
      <c r="E26" s="386"/>
      <c r="F26" s="388"/>
      <c r="G26" s="389"/>
    </row>
    <row r="27" spans="1:7" s="539" customFormat="1" ht="18.75" customHeight="1">
      <c r="A27" s="404" t="s">
        <v>233</v>
      </c>
      <c r="B27" s="233" t="s">
        <v>319</v>
      </c>
      <c r="C27" s="535"/>
      <c r="D27" s="536"/>
      <c r="E27" s="535"/>
      <c r="F27" s="537"/>
      <c r="G27" s="538"/>
    </row>
    <row r="28" spans="1:7" s="379" customFormat="1" ht="18.75" customHeight="1">
      <c r="A28" s="403"/>
      <c r="B28" s="221" t="s">
        <v>62</v>
      </c>
      <c r="C28" s="374"/>
      <c r="D28" s="383"/>
      <c r="E28" s="374"/>
      <c r="F28" s="384"/>
      <c r="G28" s="385"/>
    </row>
    <row r="29" spans="1:7" s="380" customFormat="1" ht="18.75" customHeight="1">
      <c r="A29" s="404" t="s">
        <v>24</v>
      </c>
      <c r="B29" s="224" t="s">
        <v>317</v>
      </c>
      <c r="C29" s="386"/>
      <c r="D29" s="387"/>
      <c r="E29" s="386"/>
      <c r="F29" s="388"/>
      <c r="G29" s="389"/>
    </row>
    <row r="30" spans="1:7" s="380" customFormat="1" ht="18.75" customHeight="1">
      <c r="A30" s="404" t="s">
        <v>24</v>
      </c>
      <c r="B30" s="224" t="s">
        <v>256</v>
      </c>
      <c r="C30" s="386"/>
      <c r="D30" s="387"/>
      <c r="E30" s="386"/>
      <c r="F30" s="388"/>
      <c r="G30" s="389"/>
    </row>
    <row r="31" spans="1:7" s="380" customFormat="1" ht="18.75" customHeight="1">
      <c r="A31" s="403"/>
      <c r="B31" s="221" t="s">
        <v>62</v>
      </c>
      <c r="C31" s="386"/>
      <c r="D31" s="387"/>
      <c r="E31" s="386"/>
      <c r="F31" s="388"/>
      <c r="G31" s="389"/>
    </row>
    <row r="32" spans="1:7" s="380" customFormat="1" ht="18.75" customHeight="1">
      <c r="A32" s="404" t="s">
        <v>125</v>
      </c>
      <c r="B32" s="228" t="s">
        <v>252</v>
      </c>
      <c r="C32" s="386"/>
      <c r="D32" s="387"/>
      <c r="E32" s="386"/>
      <c r="F32" s="388"/>
      <c r="G32" s="389"/>
    </row>
    <row r="33" spans="1:7" s="379" customFormat="1" ht="18.75" customHeight="1">
      <c r="A33" s="404" t="s">
        <v>126</v>
      </c>
      <c r="B33" s="228" t="s">
        <v>348</v>
      </c>
      <c r="C33" s="374"/>
      <c r="D33" s="383"/>
      <c r="E33" s="374"/>
      <c r="F33" s="384"/>
      <c r="G33" s="385"/>
    </row>
    <row r="34" spans="1:7" s="380" customFormat="1" ht="18.75" customHeight="1">
      <c r="A34" s="404" t="s">
        <v>224</v>
      </c>
      <c r="B34" s="228" t="s">
        <v>253</v>
      </c>
      <c r="C34" s="386"/>
      <c r="D34" s="387"/>
      <c r="E34" s="386"/>
      <c r="F34" s="388"/>
      <c r="G34" s="389"/>
    </row>
    <row r="35" spans="1:7" ht="18.75" customHeight="1">
      <c r="A35" s="404" t="s">
        <v>33</v>
      </c>
      <c r="B35" s="390" t="s">
        <v>265</v>
      </c>
      <c r="C35" s="391"/>
      <c r="D35" s="391"/>
      <c r="E35" s="391"/>
      <c r="F35" s="391"/>
      <c r="G35" s="392"/>
    </row>
    <row r="36" spans="1:7" ht="18.75" customHeight="1">
      <c r="A36" s="403"/>
      <c r="B36" s="221" t="s">
        <v>62</v>
      </c>
      <c r="C36" s="391"/>
      <c r="D36" s="391"/>
      <c r="E36" s="391"/>
      <c r="F36" s="391"/>
      <c r="G36" s="392"/>
    </row>
    <row r="37" spans="1:7" ht="18.75" customHeight="1">
      <c r="A37" s="403"/>
      <c r="B37" s="228" t="s">
        <v>296</v>
      </c>
      <c r="C37" s="391"/>
      <c r="D37" s="391"/>
      <c r="E37" s="391"/>
      <c r="F37" s="391"/>
      <c r="G37" s="392"/>
    </row>
    <row r="38" spans="1:7" ht="18.75" customHeight="1">
      <c r="A38" s="403"/>
      <c r="B38" s="229" t="s">
        <v>297</v>
      </c>
      <c r="C38" s="391"/>
      <c r="D38" s="391"/>
      <c r="E38" s="391"/>
      <c r="F38" s="391"/>
      <c r="G38" s="392"/>
    </row>
    <row r="39" spans="1:7" ht="18.75" customHeight="1">
      <c r="A39" s="404" t="s">
        <v>232</v>
      </c>
      <c r="B39" s="233" t="s">
        <v>428</v>
      </c>
      <c r="C39" s="391"/>
      <c r="D39" s="391"/>
      <c r="E39" s="391"/>
      <c r="F39" s="391"/>
      <c r="G39" s="392"/>
    </row>
    <row r="40" spans="1:7" ht="18.75" customHeight="1">
      <c r="A40" s="403"/>
      <c r="B40" s="221" t="s">
        <v>62</v>
      </c>
      <c r="C40" s="391"/>
      <c r="D40" s="391"/>
      <c r="E40" s="391"/>
      <c r="F40" s="391"/>
      <c r="G40" s="392"/>
    </row>
    <row r="41" spans="1:7" ht="18.75" customHeight="1">
      <c r="A41" s="403"/>
      <c r="B41" s="228" t="s">
        <v>296</v>
      </c>
      <c r="C41" s="391"/>
      <c r="D41" s="391"/>
      <c r="E41" s="391"/>
      <c r="F41" s="391"/>
      <c r="G41" s="392"/>
    </row>
    <row r="42" spans="1:7" ht="18.75" customHeight="1">
      <c r="A42" s="403"/>
      <c r="B42" s="229" t="s">
        <v>297</v>
      </c>
      <c r="C42" s="391"/>
      <c r="D42" s="391"/>
      <c r="E42" s="391"/>
      <c r="F42" s="391"/>
      <c r="G42" s="392"/>
    </row>
    <row r="43" spans="1:7" ht="18.75" customHeight="1">
      <c r="A43" s="404" t="s">
        <v>125</v>
      </c>
      <c r="B43" s="234" t="s">
        <v>234</v>
      </c>
      <c r="C43" s="391"/>
      <c r="D43" s="391"/>
      <c r="E43" s="391"/>
      <c r="F43" s="391"/>
      <c r="G43" s="392"/>
    </row>
    <row r="44" spans="1:7" ht="18.75" customHeight="1">
      <c r="A44" s="403"/>
      <c r="B44" s="221" t="s">
        <v>62</v>
      </c>
      <c r="C44" s="391"/>
      <c r="D44" s="391"/>
      <c r="E44" s="391"/>
      <c r="F44" s="391"/>
      <c r="G44" s="392"/>
    </row>
    <row r="45" spans="1:7" ht="18.75" customHeight="1">
      <c r="A45" s="403"/>
      <c r="B45" s="224" t="s">
        <v>230</v>
      </c>
      <c r="C45" s="391"/>
      <c r="D45" s="391"/>
      <c r="E45" s="391"/>
      <c r="F45" s="391"/>
      <c r="G45" s="392"/>
    </row>
    <row r="46" spans="1:7" ht="18.75" customHeight="1">
      <c r="A46" s="403"/>
      <c r="B46" s="224" t="s">
        <v>231</v>
      </c>
      <c r="C46" s="391"/>
      <c r="D46" s="391"/>
      <c r="E46" s="391"/>
      <c r="F46" s="391"/>
      <c r="G46" s="392"/>
    </row>
    <row r="47" spans="1:7" ht="18.75" customHeight="1">
      <c r="A47" s="404" t="s">
        <v>126</v>
      </c>
      <c r="B47" s="234" t="s">
        <v>234</v>
      </c>
      <c r="C47" s="391"/>
      <c r="D47" s="391"/>
      <c r="E47" s="391"/>
      <c r="F47" s="391"/>
      <c r="G47" s="392"/>
    </row>
    <row r="48" spans="1:7" ht="18.75" customHeight="1">
      <c r="A48" s="403"/>
      <c r="B48" s="221" t="s">
        <v>235</v>
      </c>
      <c r="C48" s="391"/>
      <c r="D48" s="391"/>
      <c r="E48" s="391"/>
      <c r="F48" s="391"/>
      <c r="G48" s="392"/>
    </row>
    <row r="49" spans="1:7" ht="15" customHeight="1">
      <c r="A49" s="404" t="s">
        <v>113</v>
      </c>
      <c r="B49" s="234" t="s">
        <v>236</v>
      </c>
      <c r="C49" s="391"/>
      <c r="D49" s="391"/>
      <c r="E49" s="391"/>
      <c r="F49" s="391"/>
      <c r="G49" s="392"/>
    </row>
    <row r="50" spans="1:7" ht="18.75" customHeight="1">
      <c r="A50" s="404" t="s">
        <v>233</v>
      </c>
      <c r="B50" s="237" t="s">
        <v>237</v>
      </c>
      <c r="C50" s="391"/>
      <c r="D50" s="391"/>
      <c r="E50" s="391"/>
      <c r="F50" s="391"/>
      <c r="G50" s="392"/>
    </row>
    <row r="51" spans="1:7" ht="18.75" customHeight="1">
      <c r="A51" s="403"/>
      <c r="B51" s="221" t="s">
        <v>62</v>
      </c>
      <c r="C51" s="391"/>
      <c r="D51" s="391"/>
      <c r="E51" s="391"/>
      <c r="F51" s="391"/>
      <c r="G51" s="392"/>
    </row>
    <row r="52" spans="1:7" ht="18.75" customHeight="1">
      <c r="A52" s="403"/>
      <c r="B52" s="228" t="s">
        <v>296</v>
      </c>
      <c r="C52" s="391"/>
      <c r="D52" s="391"/>
      <c r="E52" s="391"/>
      <c r="F52" s="391"/>
      <c r="G52" s="392"/>
    </row>
    <row r="53" spans="1:7" ht="18.75" customHeight="1">
      <c r="A53" s="403"/>
      <c r="B53" s="229" t="s">
        <v>297</v>
      </c>
      <c r="C53" s="391"/>
      <c r="D53" s="391"/>
      <c r="E53" s="391"/>
      <c r="F53" s="391"/>
      <c r="G53" s="392"/>
    </row>
    <row r="54" spans="1:7" ht="18.75" customHeight="1">
      <c r="A54" s="404" t="s">
        <v>125</v>
      </c>
      <c r="B54" s="234" t="s">
        <v>238</v>
      </c>
      <c r="C54" s="391"/>
      <c r="D54" s="391"/>
      <c r="E54" s="391"/>
      <c r="F54" s="391"/>
      <c r="G54" s="392"/>
    </row>
    <row r="55" spans="1:7" ht="18.75" customHeight="1">
      <c r="A55" s="403"/>
      <c r="B55" s="221" t="s">
        <v>62</v>
      </c>
      <c r="C55" s="391"/>
      <c r="D55" s="391"/>
      <c r="E55" s="391"/>
      <c r="F55" s="391"/>
      <c r="G55" s="392"/>
    </row>
    <row r="56" spans="1:7" ht="18.75" customHeight="1">
      <c r="A56" s="403"/>
      <c r="B56" s="224" t="s">
        <v>230</v>
      </c>
      <c r="C56" s="391"/>
      <c r="D56" s="391"/>
      <c r="E56" s="391"/>
      <c r="F56" s="391"/>
      <c r="G56" s="392"/>
    </row>
    <row r="57" spans="1:7" ht="18.75" customHeight="1">
      <c r="A57" s="403"/>
      <c r="B57" s="224" t="s">
        <v>231</v>
      </c>
      <c r="C57" s="391"/>
      <c r="D57" s="391"/>
      <c r="E57" s="391"/>
      <c r="F57" s="391"/>
      <c r="G57" s="392"/>
    </row>
    <row r="58" spans="1:7" ht="18.75" customHeight="1">
      <c r="A58" s="404" t="s">
        <v>126</v>
      </c>
      <c r="B58" s="234" t="s">
        <v>238</v>
      </c>
      <c r="C58" s="391"/>
      <c r="D58" s="391"/>
      <c r="E58" s="391"/>
      <c r="F58" s="391"/>
      <c r="G58" s="392"/>
    </row>
    <row r="59" spans="1:7" ht="18.75" customHeight="1">
      <c r="A59" s="403"/>
      <c r="B59" s="221" t="s">
        <v>235</v>
      </c>
      <c r="C59" s="391"/>
      <c r="D59" s="391"/>
      <c r="E59" s="391"/>
      <c r="F59" s="391"/>
      <c r="G59" s="392"/>
    </row>
    <row r="60" spans="1:7" ht="15" customHeight="1">
      <c r="A60" s="404" t="s">
        <v>113</v>
      </c>
      <c r="B60" s="234" t="s">
        <v>236</v>
      </c>
      <c r="C60" s="391"/>
      <c r="D60" s="391"/>
      <c r="E60" s="391"/>
      <c r="F60" s="391"/>
      <c r="G60" s="392"/>
    </row>
    <row r="61" spans="1:7" ht="18.75" customHeight="1">
      <c r="A61" s="404" t="s">
        <v>16</v>
      </c>
      <c r="B61" s="393" t="s">
        <v>266</v>
      </c>
      <c r="C61" s="391"/>
      <c r="D61" s="391"/>
      <c r="E61" s="391"/>
      <c r="F61" s="391"/>
      <c r="G61" s="392"/>
    </row>
    <row r="62" spans="1:7" ht="18.75" customHeight="1">
      <c r="A62" s="404" t="s">
        <v>24</v>
      </c>
      <c r="B62" s="221" t="s">
        <v>175</v>
      </c>
      <c r="C62" s="391"/>
      <c r="D62" s="391"/>
      <c r="E62" s="391"/>
      <c r="F62" s="391"/>
      <c r="G62" s="392"/>
    </row>
    <row r="63" spans="1:7" ht="18.75" customHeight="1">
      <c r="A63" s="404" t="s">
        <v>24</v>
      </c>
      <c r="B63" s="221" t="s">
        <v>267</v>
      </c>
      <c r="C63" s="391"/>
      <c r="D63" s="391"/>
      <c r="E63" s="391"/>
      <c r="F63" s="391"/>
      <c r="G63" s="525"/>
    </row>
    <row r="64" spans="1:7" ht="15" customHeight="1" thickBot="1">
      <c r="A64" s="405"/>
      <c r="B64" s="214"/>
      <c r="C64" s="381"/>
      <c r="D64" s="381"/>
      <c r="E64" s="381"/>
      <c r="F64" s="381"/>
      <c r="G64" s="382"/>
    </row>
    <row r="65" spans="1:7" s="532" customFormat="1" ht="31.5" customHeight="1">
      <c r="A65" s="103" t="s">
        <v>389</v>
      </c>
    </row>
    <row r="66" spans="1:7" s="553" customFormat="1" ht="15.75">
      <c r="A66" s="817" t="s">
        <v>448</v>
      </c>
      <c r="B66" s="817"/>
      <c r="C66" s="817"/>
      <c r="D66" s="817"/>
      <c r="E66" s="817"/>
      <c r="F66" s="817"/>
      <c r="G66" s="817"/>
    </row>
    <row r="67" spans="1:7" s="532" customFormat="1" ht="15.75">
      <c r="A67" s="817" t="s">
        <v>449</v>
      </c>
      <c r="B67" s="817"/>
      <c r="C67" s="817"/>
      <c r="D67" s="817"/>
      <c r="E67" s="817"/>
      <c r="F67" s="817"/>
      <c r="G67" s="817"/>
    </row>
    <row r="68" spans="1:7" s="532" customFormat="1" ht="20.25" customHeight="1">
      <c r="A68" s="406"/>
      <c r="B68" s="892" t="s">
        <v>437</v>
      </c>
      <c r="C68" s="892"/>
      <c r="D68" s="892"/>
      <c r="E68" s="892"/>
      <c r="F68" s="892"/>
      <c r="G68" s="892"/>
    </row>
    <row r="69" spans="1:7" ht="3" customHeight="1">
      <c r="B69" s="822"/>
      <c r="C69" s="923"/>
      <c r="D69" s="923"/>
      <c r="E69" s="923"/>
      <c r="F69" s="923"/>
      <c r="G69" s="923"/>
    </row>
  </sheetData>
  <mergeCells count="12">
    <mergeCell ref="B3:G3"/>
    <mergeCell ref="A5:A8"/>
    <mergeCell ref="B5:B8"/>
    <mergeCell ref="B68:G68"/>
    <mergeCell ref="B69:G69"/>
    <mergeCell ref="C6:C8"/>
    <mergeCell ref="D6:D8"/>
    <mergeCell ref="E6:E8"/>
    <mergeCell ref="F6:F8"/>
    <mergeCell ref="A66:G66"/>
    <mergeCell ref="A67:G67"/>
    <mergeCell ref="G6:G8"/>
  </mergeCells>
  <printOptions horizontalCentered="1"/>
  <pageMargins left="0.17" right="0.23" top="0.68" bottom="0.23" header="0.39" footer="0.17"/>
  <pageSetup paperSize="9" scale="62" orientation="portrait" r:id="rId1"/>
  <headerFooter>
    <oddHeader>&amp;C15</oddHeader>
  </headerFooter>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J42"/>
  <sheetViews>
    <sheetView topLeftCell="A13" zoomScale="70" zoomScaleNormal="70" workbookViewId="0">
      <selection activeCell="A4" sqref="A4:BA4"/>
    </sheetView>
  </sheetViews>
  <sheetFormatPr defaultColWidth="9" defaultRowHeight="15.75"/>
  <cols>
    <col min="1" max="1" width="5.875" style="4" customWidth="1"/>
    <col min="2" max="2" width="54.125" style="4" customWidth="1"/>
    <col min="3" max="3" width="15" style="4" customWidth="1"/>
    <col min="4" max="4" width="14.375" style="4" customWidth="1"/>
    <col min="5" max="5" width="13.125" style="4" customWidth="1"/>
    <col min="6" max="6" width="12.75" style="4" customWidth="1"/>
    <col min="7" max="9" width="9" style="4"/>
    <col min="10" max="10" width="24.5" style="4" hidden="1" customWidth="1"/>
    <col min="11" max="16384" width="9" style="4"/>
  </cols>
  <sheetData>
    <row r="1" spans="1:10" ht="19.5">
      <c r="A1" s="930" t="s">
        <v>666</v>
      </c>
      <c r="B1" s="930"/>
      <c r="C1" s="930"/>
      <c r="D1" s="930"/>
      <c r="E1" s="930"/>
      <c r="F1" s="930"/>
    </row>
    <row r="2" spans="1:10" ht="19.5">
      <c r="A2" s="931" t="s">
        <v>674</v>
      </c>
      <c r="B2" s="931"/>
      <c r="C2" s="931"/>
      <c r="D2" s="931"/>
      <c r="E2" s="931"/>
      <c r="F2" s="931"/>
    </row>
    <row r="3" spans="1:10" ht="21" customHeight="1">
      <c r="A3" s="930" t="s">
        <v>453</v>
      </c>
      <c r="B3" s="930"/>
      <c r="C3" s="930"/>
      <c r="D3" s="930"/>
      <c r="E3" s="930"/>
      <c r="F3" s="930"/>
    </row>
    <row r="4" spans="1:10" ht="21" customHeight="1">
      <c r="A4" s="934" t="s">
        <v>682</v>
      </c>
      <c r="B4" s="934"/>
      <c r="C4" s="934"/>
      <c r="D4" s="934"/>
      <c r="E4" s="934"/>
      <c r="F4" s="934"/>
      <c r="G4" s="558"/>
      <c r="H4" s="558"/>
      <c r="I4" s="558"/>
      <c r="J4" s="558"/>
    </row>
    <row r="5" spans="1:10" ht="19.5" customHeight="1">
      <c r="A5" s="8"/>
      <c r="B5" s="8"/>
      <c r="C5" s="87"/>
      <c r="D5" s="932" t="s">
        <v>187</v>
      </c>
      <c r="E5" s="932"/>
      <c r="F5" s="932"/>
    </row>
    <row r="6" spans="1:10" s="10" customFormat="1" ht="23.25" customHeight="1">
      <c r="A6" s="933" t="s">
        <v>110</v>
      </c>
      <c r="B6" s="933" t="s">
        <v>11</v>
      </c>
      <c r="C6" s="935" t="s">
        <v>456</v>
      </c>
      <c r="D6" s="935" t="s">
        <v>457</v>
      </c>
      <c r="E6" s="933" t="s">
        <v>111</v>
      </c>
      <c r="F6" s="933"/>
    </row>
    <row r="7" spans="1:10" s="10" customFormat="1" ht="39" customHeight="1">
      <c r="A7" s="933"/>
      <c r="B7" s="933"/>
      <c r="C7" s="935"/>
      <c r="D7" s="935"/>
      <c r="E7" s="763" t="s">
        <v>196</v>
      </c>
      <c r="F7" s="763" t="s">
        <v>455</v>
      </c>
    </row>
    <row r="8" spans="1:10" s="36" customFormat="1" ht="17.25" customHeight="1">
      <c r="A8" s="578" t="s">
        <v>15</v>
      </c>
      <c r="B8" s="578" t="s">
        <v>16</v>
      </c>
      <c r="C8" s="578">
        <v>1</v>
      </c>
      <c r="D8" s="578">
        <f>C8+1</f>
        <v>2</v>
      </c>
      <c r="E8" s="578" t="s">
        <v>198</v>
      </c>
      <c r="F8" s="579" t="s">
        <v>199</v>
      </c>
    </row>
    <row r="9" spans="1:10" s="9" customFormat="1" ht="18.75">
      <c r="A9" s="559" t="s">
        <v>15</v>
      </c>
      <c r="B9" s="560" t="s">
        <v>300</v>
      </c>
      <c r="C9" s="573">
        <f>C13+C16+C19+C20+C21+C22</f>
        <v>8933277</v>
      </c>
      <c r="D9" s="573">
        <f>D13+D16+D19+D20+D21+D22</f>
        <v>11911218.126324998</v>
      </c>
      <c r="E9" s="573">
        <f>E13+E16+E19+E20+E21</f>
        <v>2937865.8930739998</v>
      </c>
      <c r="F9" s="775">
        <f t="shared" ref="F9:F34" si="0">IF(AND(D9&lt;&gt;0,C9&lt;&gt;0),D9/C9%,"")</f>
        <v>133.33537207370819</v>
      </c>
    </row>
    <row r="10" spans="1:10" s="9" customFormat="1" ht="18.75">
      <c r="A10" s="561"/>
      <c r="B10" s="769" t="s">
        <v>62</v>
      </c>
      <c r="C10" s="574"/>
      <c r="D10" s="574"/>
      <c r="E10" s="574"/>
      <c r="F10" s="777"/>
    </row>
    <row r="11" spans="1:10" s="32" customFormat="1" ht="18.75">
      <c r="A11" s="561" t="s">
        <v>663</v>
      </c>
      <c r="B11" s="562" t="s">
        <v>664</v>
      </c>
      <c r="C11" s="574"/>
      <c r="D11" s="574">
        <v>47500</v>
      </c>
      <c r="E11" s="574"/>
      <c r="F11" s="777"/>
    </row>
    <row r="12" spans="1:10" s="9" customFormat="1" ht="18.75">
      <c r="A12" s="770" t="s">
        <v>663</v>
      </c>
      <c r="B12" s="771" t="s">
        <v>665</v>
      </c>
      <c r="C12" s="772">
        <f>C9-C11</f>
        <v>8933277</v>
      </c>
      <c r="D12" s="772">
        <f>D9-D11</f>
        <v>11863718.126324998</v>
      </c>
      <c r="E12" s="772">
        <f>E10+E17+E20+E21+E22</f>
        <v>2485679.0341810002</v>
      </c>
      <c r="F12" s="776">
        <f t="shared" ref="F12" si="1">IF(AND(D12&lt;&gt;0,C12&lt;&gt;0),D12/C12%,"")</f>
        <v>132.80365230278875</v>
      </c>
    </row>
    <row r="13" spans="1:10" s="9" customFormat="1" ht="18.75">
      <c r="A13" s="561" t="s">
        <v>32</v>
      </c>
      <c r="B13" s="562" t="s">
        <v>91</v>
      </c>
      <c r="C13" s="574">
        <f>C14+C15</f>
        <v>3442300</v>
      </c>
      <c r="D13" s="574">
        <f>D14+D15</f>
        <v>3494170.2371789999</v>
      </c>
      <c r="E13" s="574">
        <f>E14+E15</f>
        <v>51870.237178999698</v>
      </c>
      <c r="F13" s="777">
        <f t="shared" si="0"/>
        <v>101.50684824620167</v>
      </c>
    </row>
    <row r="14" spans="1:10" s="9" customFormat="1" ht="18.75">
      <c r="A14" s="563" t="s">
        <v>24</v>
      </c>
      <c r="B14" s="564" t="s">
        <v>92</v>
      </c>
      <c r="C14" s="575">
        <v>1780840</v>
      </c>
      <c r="D14" s="575">
        <f>'PL50'!F17+'PL50'!F18+'PL50'!F23+'PL50'!F24+'PL50'!F29+'PL50'!F30+'PL50'!F35+'PL50'!F36+'PL50'!F41+'PL50'!F42+'PL50'!F47+'PL50'!F48+'PL50'!F49+'PL50'!F50+'PL50'!F51+'PL50'!F52+'PL50'!F58+'PL50'!F59+'PL50'!F60+'PL50'!F61+'PL50'!F62+'PL50'!F63</f>
        <v>1858222.5836059996</v>
      </c>
      <c r="E14" s="575">
        <f>D14-C14</f>
        <v>77382.583605999593</v>
      </c>
      <c r="F14" s="778">
        <f t="shared" si="0"/>
        <v>104.34528557343722</v>
      </c>
    </row>
    <row r="15" spans="1:10" s="9" customFormat="1" ht="18.75">
      <c r="A15" s="563" t="s">
        <v>24</v>
      </c>
      <c r="B15" s="564" t="s">
        <v>392</v>
      </c>
      <c r="C15" s="575">
        <v>1661460</v>
      </c>
      <c r="D15" s="575">
        <f>'PL50'!F14+'PL50'!F15+'PL50'!F16+'PL50'!F20+'PL50'!F21+'PL50'!F22+'PL50'!F26+'PL50'!F27+'PL50'!F28+'PL50'!F32+'PL50'!F33+'PL50'!F34+'PL50'!F37+'PL50'!F38</f>
        <v>1635947.6535730001</v>
      </c>
      <c r="E15" s="575">
        <f>D15-C15</f>
        <v>-25512.346426999895</v>
      </c>
      <c r="F15" s="778">
        <f t="shared" si="0"/>
        <v>98.46446219427493</v>
      </c>
    </row>
    <row r="16" spans="1:10" s="19" customFormat="1" ht="18.75">
      <c r="A16" s="561" t="s">
        <v>33</v>
      </c>
      <c r="B16" s="562" t="s">
        <v>68</v>
      </c>
      <c r="C16" s="574">
        <f>C17+C18</f>
        <v>5490977</v>
      </c>
      <c r="D16" s="574">
        <f>D17+D18</f>
        <v>5908608.6217139997</v>
      </c>
      <c r="E16" s="574">
        <f>E17+E18</f>
        <v>417631.62171400012</v>
      </c>
      <c r="F16" s="777">
        <f t="shared" si="0"/>
        <v>107.60577984052748</v>
      </c>
    </row>
    <row r="17" spans="1:10" s="9" customFormat="1" ht="18.75">
      <c r="A17" s="565">
        <v>1</v>
      </c>
      <c r="B17" s="564" t="s">
        <v>177</v>
      </c>
      <c r="C17" s="575">
        <v>3605852</v>
      </c>
      <c r="D17" s="575">
        <v>3623167</v>
      </c>
      <c r="E17" s="575">
        <f>D17-C17</f>
        <v>17315</v>
      </c>
      <c r="F17" s="778">
        <f t="shared" si="0"/>
        <v>100.48019164402756</v>
      </c>
    </row>
    <row r="18" spans="1:10" s="9" customFormat="1" ht="18.75">
      <c r="A18" s="565">
        <f>A17+1</f>
        <v>2</v>
      </c>
      <c r="B18" s="564" t="s">
        <v>184</v>
      </c>
      <c r="C18" s="575">
        <v>1885125</v>
      </c>
      <c r="D18" s="575">
        <v>2285441.6217140001</v>
      </c>
      <c r="E18" s="575">
        <f>D18-C18</f>
        <v>400316.62171400012</v>
      </c>
      <c r="F18" s="778">
        <f t="shared" si="0"/>
        <v>121.23554786626882</v>
      </c>
    </row>
    <row r="19" spans="1:10" s="210" customFormat="1" ht="19.5">
      <c r="A19" s="561" t="s">
        <v>34</v>
      </c>
      <c r="B19" s="562" t="s">
        <v>202</v>
      </c>
      <c r="C19" s="574">
        <v>0</v>
      </c>
      <c r="D19" s="574">
        <v>0</v>
      </c>
      <c r="E19" s="574"/>
      <c r="F19" s="777" t="str">
        <f t="shared" si="0"/>
        <v/>
      </c>
    </row>
    <row r="20" spans="1:10" s="210" customFormat="1" ht="19.5">
      <c r="A20" s="561" t="s">
        <v>35</v>
      </c>
      <c r="B20" s="562" t="s">
        <v>65</v>
      </c>
      <c r="C20" s="574">
        <v>0</v>
      </c>
      <c r="D20" s="574">
        <f>'PL50'!E75</f>
        <v>170486.81935999999</v>
      </c>
      <c r="E20" s="574">
        <f>D20-C20</f>
        <v>170486.81935999999</v>
      </c>
      <c r="F20" s="777" t="str">
        <f t="shared" si="0"/>
        <v/>
      </c>
    </row>
    <row r="21" spans="1:10" s="210" customFormat="1" ht="19.5">
      <c r="A21" s="561" t="s">
        <v>36</v>
      </c>
      <c r="B21" s="562" t="s">
        <v>155</v>
      </c>
      <c r="C21" s="574">
        <v>0</v>
      </c>
      <c r="D21" s="574">
        <f>'PL50'!E76</f>
        <v>2297877.2148210001</v>
      </c>
      <c r="E21" s="574">
        <f>D21-C21</f>
        <v>2297877.2148210001</v>
      </c>
      <c r="F21" s="777" t="str">
        <f t="shared" si="0"/>
        <v/>
      </c>
    </row>
    <row r="22" spans="1:10" s="210" customFormat="1" ht="19.5">
      <c r="A22" s="561" t="s">
        <v>61</v>
      </c>
      <c r="B22" s="562" t="s">
        <v>662</v>
      </c>
      <c r="C22" s="574"/>
      <c r="D22" s="574">
        <v>40075.233250999998</v>
      </c>
      <c r="E22" s="574"/>
      <c r="F22" s="777"/>
    </row>
    <row r="23" spans="1:10" s="9" customFormat="1" ht="18.75">
      <c r="A23" s="561" t="s">
        <v>16</v>
      </c>
      <c r="B23" s="562" t="s">
        <v>261</v>
      </c>
      <c r="C23" s="574">
        <f>C24+C31+C34</f>
        <v>8938477</v>
      </c>
      <c r="D23" s="574">
        <f>D24+D31+D34</f>
        <v>11436359.626620002</v>
      </c>
      <c r="E23" s="574">
        <f>E24+E31+E34</f>
        <v>2497882.6266200012</v>
      </c>
      <c r="F23" s="777">
        <f t="shared" si="0"/>
        <v>127.94528225132763</v>
      </c>
    </row>
    <row r="24" spans="1:10" s="9" customFormat="1" ht="18.75">
      <c r="A24" s="561" t="s">
        <v>32</v>
      </c>
      <c r="B24" s="562" t="s">
        <v>93</v>
      </c>
      <c r="C24" s="574">
        <f>SUM(C25:C30)</f>
        <v>7070667</v>
      </c>
      <c r="D24" s="574">
        <f>SUM(D25:D30)</f>
        <v>7179474.9933580011</v>
      </c>
      <c r="E24" s="574">
        <f>SUM(E25:E30)</f>
        <v>108807.99335800088</v>
      </c>
      <c r="F24" s="777">
        <f t="shared" si="0"/>
        <v>101.53886462702884</v>
      </c>
      <c r="J24" s="710">
        <f>D24+D31</f>
        <v>8046353.1607090011</v>
      </c>
    </row>
    <row r="25" spans="1:10" s="9" customFormat="1" ht="18.75">
      <c r="A25" s="565">
        <v>1</v>
      </c>
      <c r="B25" s="564" t="s">
        <v>64</v>
      </c>
      <c r="C25" s="575">
        <v>1714880</v>
      </c>
      <c r="D25" s="575">
        <f>'PL53'!F13</f>
        <v>1800944.097787</v>
      </c>
      <c r="E25" s="575">
        <f t="shared" ref="E25:E30" si="2">D25-C25</f>
        <v>86064.097787000006</v>
      </c>
      <c r="F25" s="778">
        <f t="shared" si="0"/>
        <v>105.01866590006298</v>
      </c>
      <c r="J25" s="695">
        <f>2380070.853477+5663247.318155+577.142101+1000</f>
        <v>8044895.3137329994</v>
      </c>
    </row>
    <row r="26" spans="1:10" s="9" customFormat="1" ht="18.75">
      <c r="A26" s="565">
        <f>A25+1</f>
        <v>2</v>
      </c>
      <c r="B26" s="564" t="s">
        <v>42</v>
      </c>
      <c r="C26" s="575">
        <v>5180587</v>
      </c>
      <c r="D26" s="575">
        <f>'PL53'!F23</f>
        <v>5317313.8763050009</v>
      </c>
      <c r="E26" s="575">
        <f t="shared" si="2"/>
        <v>136726.87630500086</v>
      </c>
      <c r="F26" s="778">
        <f t="shared" si="0"/>
        <v>102.63921590941337</v>
      </c>
      <c r="J26" s="695"/>
    </row>
    <row r="27" spans="1:10" s="9" customFormat="1" ht="37.5">
      <c r="A27" s="565">
        <f>A26+1</f>
        <v>3</v>
      </c>
      <c r="B27" s="564" t="s">
        <v>414</v>
      </c>
      <c r="C27" s="575">
        <v>800</v>
      </c>
      <c r="D27" s="575">
        <f>'PL53'!F27</f>
        <v>0</v>
      </c>
      <c r="E27" s="575">
        <f t="shared" si="2"/>
        <v>-800</v>
      </c>
      <c r="F27" s="778" t="str">
        <f t="shared" si="0"/>
        <v/>
      </c>
      <c r="J27" s="768">
        <f>D35-'[2]60'!$B$23</f>
        <v>-1458.3369760030182</v>
      </c>
    </row>
    <row r="28" spans="1:10" ht="18.75">
      <c r="A28" s="565">
        <f>A27+1</f>
        <v>4</v>
      </c>
      <c r="B28" s="564" t="s">
        <v>289</v>
      </c>
      <c r="C28" s="575">
        <v>1000</v>
      </c>
      <c r="D28" s="575">
        <f>'PL53'!F28</f>
        <v>1000</v>
      </c>
      <c r="E28" s="575">
        <f t="shared" si="2"/>
        <v>0</v>
      </c>
      <c r="F28" s="778">
        <f t="shared" si="0"/>
        <v>100</v>
      </c>
    </row>
    <row r="29" spans="1:10" ht="18.75">
      <c r="A29" s="565">
        <f>A28+1</f>
        <v>5</v>
      </c>
      <c r="B29" s="564" t="s">
        <v>44</v>
      </c>
      <c r="C29" s="575">
        <v>139350</v>
      </c>
      <c r="D29" s="575">
        <f>'PL53'!F29</f>
        <v>60217.019266000003</v>
      </c>
      <c r="E29" s="575">
        <f t="shared" si="2"/>
        <v>-79132.980733999997</v>
      </c>
      <c r="F29" s="778">
        <f t="shared" si="0"/>
        <v>43.212787417294585</v>
      </c>
    </row>
    <row r="30" spans="1:10" s="9" customFormat="1" ht="18.75">
      <c r="A30" s="565">
        <f>A29+1</f>
        <v>6</v>
      </c>
      <c r="B30" s="564" t="s">
        <v>160</v>
      </c>
      <c r="C30" s="575">
        <v>34050</v>
      </c>
      <c r="D30" s="575">
        <f>'PL53'!F30</f>
        <v>0</v>
      </c>
      <c r="E30" s="575">
        <f t="shared" si="2"/>
        <v>-34050</v>
      </c>
      <c r="F30" s="778" t="str">
        <f t="shared" si="0"/>
        <v/>
      </c>
    </row>
    <row r="31" spans="1:10" s="9" customFormat="1" ht="18.75">
      <c r="A31" s="561" t="s">
        <v>33</v>
      </c>
      <c r="B31" s="562" t="s">
        <v>301</v>
      </c>
      <c r="C31" s="574">
        <f>C32+C33</f>
        <v>1867810</v>
      </c>
      <c r="D31" s="574">
        <f>D32+D33</f>
        <v>866878.16735100001</v>
      </c>
      <c r="E31" s="574">
        <f>E32+E33</f>
        <v>-1000931.832649</v>
      </c>
      <c r="F31" s="777">
        <f t="shared" si="0"/>
        <v>46.411474794063643</v>
      </c>
    </row>
    <row r="32" spans="1:10" s="9" customFormat="1" ht="18.75">
      <c r="A32" s="565">
        <v>1</v>
      </c>
      <c r="B32" s="564" t="s">
        <v>302</v>
      </c>
      <c r="C32" s="575">
        <v>230446</v>
      </c>
      <c r="D32" s="575">
        <f>'PL53'!F32</f>
        <v>211879.94293600001</v>
      </c>
      <c r="E32" s="575">
        <f>D32-C32</f>
        <v>-18566.057063999993</v>
      </c>
      <c r="F32" s="778">
        <f t="shared" si="0"/>
        <v>91.943424028188815</v>
      </c>
    </row>
    <row r="33" spans="1:6" s="9" customFormat="1" ht="18.75">
      <c r="A33" s="565">
        <f>A32+1</f>
        <v>2</v>
      </c>
      <c r="B33" s="564" t="s">
        <v>303</v>
      </c>
      <c r="C33" s="575">
        <v>1637364</v>
      </c>
      <c r="D33" s="575">
        <f>'PL53'!F35</f>
        <v>654998.22441499995</v>
      </c>
      <c r="E33" s="575">
        <f>D33-C33</f>
        <v>-982365.77558500005</v>
      </c>
      <c r="F33" s="778">
        <f t="shared" si="0"/>
        <v>40.003213971664209</v>
      </c>
    </row>
    <row r="34" spans="1:6" s="9" customFormat="1" ht="18.75">
      <c r="A34" s="561" t="s">
        <v>34</v>
      </c>
      <c r="B34" s="562" t="s">
        <v>119</v>
      </c>
      <c r="C34" s="574"/>
      <c r="D34" s="574">
        <f>'PL53'!F61</f>
        <v>3390006.465911</v>
      </c>
      <c r="E34" s="574">
        <f>D34-C34</f>
        <v>3390006.465911</v>
      </c>
      <c r="F34" s="777" t="str">
        <f t="shared" si="0"/>
        <v/>
      </c>
    </row>
    <row r="35" spans="1:6" s="75" customFormat="1" ht="18.75">
      <c r="A35" s="567" t="s">
        <v>37</v>
      </c>
      <c r="B35" s="562" t="s">
        <v>419</v>
      </c>
      <c r="C35" s="576">
        <f>C12-C23</f>
        <v>-5200</v>
      </c>
      <c r="D35" s="576">
        <f>D12-D23</f>
        <v>427358.49970499612</v>
      </c>
      <c r="E35" s="576">
        <f>E12-E23</f>
        <v>-12203.59243900096</v>
      </c>
      <c r="F35" s="777">
        <f t="shared" ref="F35:F42" si="3">IF(AND(D35&lt;&gt;0,C35&lt;&gt;0),D35/C35%,"")</f>
        <v>-8218.43268663454</v>
      </c>
    </row>
    <row r="36" spans="1:6" s="68" customFormat="1" ht="18.75">
      <c r="A36" s="567" t="s">
        <v>63</v>
      </c>
      <c r="B36" s="562" t="s">
        <v>415</v>
      </c>
      <c r="C36" s="576">
        <f>C37+C38</f>
        <v>47500</v>
      </c>
      <c r="D36" s="576">
        <f>D37+D38</f>
        <v>47500</v>
      </c>
      <c r="E36" s="576">
        <f>E37+E38</f>
        <v>0</v>
      </c>
      <c r="F36" s="777">
        <f t="shared" si="3"/>
        <v>100</v>
      </c>
    </row>
    <row r="37" spans="1:6" s="526" customFormat="1" ht="18.75">
      <c r="A37" s="561" t="s">
        <v>32</v>
      </c>
      <c r="B37" s="562" t="s">
        <v>258</v>
      </c>
      <c r="C37" s="576">
        <v>47500</v>
      </c>
      <c r="D37" s="576">
        <v>0</v>
      </c>
      <c r="E37" s="576">
        <f>D37-C37</f>
        <v>-47500</v>
      </c>
      <c r="F37" s="777" t="str">
        <f t="shared" si="3"/>
        <v/>
      </c>
    </row>
    <row r="38" spans="1:6" s="526" customFormat="1" ht="37.5">
      <c r="A38" s="561" t="s">
        <v>33</v>
      </c>
      <c r="B38" s="562" t="s">
        <v>305</v>
      </c>
      <c r="C38" s="576">
        <v>0</v>
      </c>
      <c r="D38" s="576">
        <v>47500</v>
      </c>
      <c r="E38" s="576">
        <f>D38-C38</f>
        <v>47500</v>
      </c>
      <c r="F38" s="777" t="str">
        <f t="shared" si="3"/>
        <v/>
      </c>
    </row>
    <row r="39" spans="1:6" s="68" customFormat="1" ht="18.75">
      <c r="A39" s="561" t="s">
        <v>172</v>
      </c>
      <c r="B39" s="568" t="s">
        <v>416</v>
      </c>
      <c r="C39" s="576">
        <f>C40+C41</f>
        <v>52700</v>
      </c>
      <c r="D39" s="576">
        <f>D40+D41</f>
        <v>0</v>
      </c>
      <c r="E39" s="576">
        <f t="shared" ref="E39:E42" si="4">D39-C39</f>
        <v>-52700</v>
      </c>
      <c r="F39" s="777" t="str">
        <f t="shared" si="3"/>
        <v/>
      </c>
    </row>
    <row r="40" spans="1:6" s="526" customFormat="1" ht="18.75">
      <c r="A40" s="561" t="s">
        <v>32</v>
      </c>
      <c r="B40" s="562" t="s">
        <v>227</v>
      </c>
      <c r="C40" s="576">
        <v>5200</v>
      </c>
      <c r="D40" s="576">
        <v>0</v>
      </c>
      <c r="E40" s="576">
        <f t="shared" si="4"/>
        <v>-5200</v>
      </c>
      <c r="F40" s="777" t="str">
        <f t="shared" si="3"/>
        <v/>
      </c>
    </row>
    <row r="41" spans="1:6" s="526" customFormat="1" ht="18.75">
      <c r="A41" s="561" t="s">
        <v>33</v>
      </c>
      <c r="B41" s="562" t="s">
        <v>228</v>
      </c>
      <c r="C41" s="576">
        <v>47500</v>
      </c>
      <c r="D41" s="576">
        <v>0</v>
      </c>
      <c r="E41" s="576">
        <f t="shared" si="4"/>
        <v>-47500</v>
      </c>
      <c r="F41" s="777" t="str">
        <f t="shared" si="3"/>
        <v/>
      </c>
    </row>
    <row r="42" spans="1:6" s="68" customFormat="1" ht="37.5">
      <c r="A42" s="569" t="s">
        <v>441</v>
      </c>
      <c r="B42" s="570" t="s">
        <v>360</v>
      </c>
      <c r="C42" s="577"/>
      <c r="D42" s="577"/>
      <c r="E42" s="577">
        <f t="shared" si="4"/>
        <v>0</v>
      </c>
      <c r="F42" s="779" t="str">
        <f t="shared" si="3"/>
        <v/>
      </c>
    </row>
  </sheetData>
  <mergeCells count="10">
    <mergeCell ref="A1:F1"/>
    <mergeCell ref="A2:F2"/>
    <mergeCell ref="D5:F5"/>
    <mergeCell ref="E6:F6"/>
    <mergeCell ref="A3:F3"/>
    <mergeCell ref="A4:F4"/>
    <mergeCell ref="B6:B7"/>
    <mergeCell ref="A6:A7"/>
    <mergeCell ref="C6:C7"/>
    <mergeCell ref="D6:D7"/>
  </mergeCells>
  <printOptions horizontalCentered="1"/>
  <pageMargins left="0.31" right="0.32" top="0.77" bottom="0.16" header="0.46" footer="0.19"/>
  <pageSetup paperSize="9" scale="79" fitToHeight="5" orientation="portrait" r:id="rId1"/>
  <headerFooter alignWithMargins="0">
    <oddFooter>&amp;C&amp;".VnTime,Italic"&amp;8</oddFooter>
  </headerFooter>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J83"/>
  <sheetViews>
    <sheetView topLeftCell="A76" zoomScale="70" zoomScaleNormal="70" workbookViewId="0">
      <selection activeCell="A4" sqref="A4:BA4"/>
    </sheetView>
  </sheetViews>
  <sheetFormatPr defaultColWidth="9" defaultRowHeight="15.75"/>
  <cols>
    <col min="1" max="1" width="5.125" style="43" customWidth="1"/>
    <col min="2" max="2" width="59.25" style="43" customWidth="1"/>
    <col min="3" max="3" width="13.5" style="43" customWidth="1"/>
    <col min="4" max="4" width="13.125" style="43" customWidth="1"/>
    <col min="5" max="5" width="14" style="43" customWidth="1"/>
    <col min="6" max="6" width="14.125" style="43" customWidth="1"/>
    <col min="7" max="7" width="10.75" style="43" customWidth="1"/>
    <col min="8" max="8" width="10.5" style="43" customWidth="1"/>
    <col min="9" max="9" width="11.375" style="43" hidden="1" customWidth="1"/>
    <col min="10" max="10" width="10.75" style="43" hidden="1" customWidth="1"/>
    <col min="11" max="16384" width="9" style="43"/>
  </cols>
  <sheetData>
    <row r="1" spans="1:10" ht="18.75" customHeight="1">
      <c r="A1" s="930" t="s">
        <v>667</v>
      </c>
      <c r="B1" s="930"/>
      <c r="C1" s="930"/>
      <c r="D1" s="930"/>
      <c r="E1" s="930"/>
      <c r="F1" s="930"/>
      <c r="G1" s="930"/>
      <c r="H1" s="930"/>
    </row>
    <row r="2" spans="1:10" ht="18.75" customHeight="1">
      <c r="A2" s="931" t="s">
        <v>675</v>
      </c>
      <c r="B2" s="931"/>
      <c r="C2" s="931"/>
      <c r="D2" s="931"/>
      <c r="E2" s="931"/>
      <c r="F2" s="931"/>
      <c r="G2" s="931"/>
      <c r="H2" s="931"/>
    </row>
    <row r="3" spans="1:10" ht="21" customHeight="1">
      <c r="A3" s="943" t="s">
        <v>458</v>
      </c>
      <c r="B3" s="943"/>
      <c r="C3" s="943"/>
      <c r="D3" s="943"/>
      <c r="E3" s="943"/>
      <c r="F3" s="943"/>
      <c r="G3" s="943"/>
      <c r="H3" s="943"/>
    </row>
    <row r="4" spans="1:10" ht="21" customHeight="1">
      <c r="A4" s="945" t="s">
        <v>682</v>
      </c>
      <c r="B4" s="945"/>
      <c r="C4" s="945"/>
      <c r="D4" s="945"/>
      <c r="E4" s="945"/>
      <c r="F4" s="945"/>
      <c r="G4" s="945"/>
      <c r="H4" s="945"/>
    </row>
    <row r="5" spans="1:10" ht="18.75">
      <c r="A5" s="44"/>
      <c r="B5" s="44"/>
      <c r="C5" s="42"/>
      <c r="D5" s="42"/>
      <c r="E5" s="42"/>
      <c r="F5" s="42"/>
      <c r="G5" s="42"/>
      <c r="H5" s="42"/>
    </row>
    <row r="6" spans="1:10" ht="19.5" customHeight="1" thickBot="1">
      <c r="A6" s="45"/>
      <c r="B6" s="45"/>
      <c r="C6" s="46"/>
      <c r="D6" s="46"/>
      <c r="E6" s="46"/>
      <c r="F6" s="46"/>
      <c r="G6" s="50"/>
      <c r="H6" s="62" t="s">
        <v>187</v>
      </c>
      <c r="I6" s="46"/>
      <c r="J6" s="46"/>
    </row>
    <row r="7" spans="1:10" s="47" customFormat="1" ht="23.25" customHeight="1">
      <c r="A7" s="942" t="s">
        <v>110</v>
      </c>
      <c r="B7" s="944" t="s">
        <v>11</v>
      </c>
      <c r="C7" s="942" t="s">
        <v>12</v>
      </c>
      <c r="D7" s="942"/>
      <c r="E7" s="942" t="s">
        <v>109</v>
      </c>
      <c r="F7" s="942"/>
      <c r="G7" s="942" t="s">
        <v>200</v>
      </c>
      <c r="H7" s="942"/>
      <c r="I7" s="665"/>
      <c r="J7" s="666"/>
    </row>
    <row r="8" spans="1:10" s="47" customFormat="1" ht="56.25">
      <c r="A8" s="942"/>
      <c r="B8" s="944"/>
      <c r="C8" s="555" t="s">
        <v>459</v>
      </c>
      <c r="D8" s="555" t="s">
        <v>460</v>
      </c>
      <c r="E8" s="555" t="s">
        <v>459</v>
      </c>
      <c r="F8" s="555" t="s">
        <v>460</v>
      </c>
      <c r="G8" s="555" t="s">
        <v>459</v>
      </c>
      <c r="H8" s="555" t="s">
        <v>460</v>
      </c>
      <c r="I8" s="667" t="s">
        <v>0</v>
      </c>
      <c r="J8" s="668" t="s">
        <v>0</v>
      </c>
    </row>
    <row r="9" spans="1:10" s="49" customFormat="1" ht="17.25" customHeight="1">
      <c r="A9" s="556" t="s">
        <v>15</v>
      </c>
      <c r="B9" s="556" t="s">
        <v>16</v>
      </c>
      <c r="C9" s="556">
        <v>1</v>
      </c>
      <c r="D9" s="556">
        <f>C9+1</f>
        <v>2</v>
      </c>
      <c r="E9" s="556">
        <f>D9+1</f>
        <v>3</v>
      </c>
      <c r="F9" s="556">
        <f>E9+1</f>
        <v>4</v>
      </c>
      <c r="G9" s="556" t="s">
        <v>115</v>
      </c>
      <c r="H9" s="556" t="s">
        <v>116</v>
      </c>
      <c r="I9" s="669"/>
      <c r="J9" s="670"/>
    </row>
    <row r="10" spans="1:10" s="46" customFormat="1" ht="20.25" customHeight="1">
      <c r="A10" s="559"/>
      <c r="B10" s="588" t="s">
        <v>350</v>
      </c>
      <c r="C10" s="589">
        <f>C11+C74+C75+C76</f>
        <v>3700000</v>
      </c>
      <c r="D10" s="589">
        <f>D11+D74+D75+D76</f>
        <v>3442300</v>
      </c>
      <c r="E10" s="589">
        <f>E11+E74+E75+E76</f>
        <v>6247826.452269</v>
      </c>
      <c r="F10" s="589">
        <f>F11+F74+F75+F76</f>
        <v>6002609.5046110004</v>
      </c>
      <c r="G10" s="780">
        <f t="shared" ref="G10:G41" si="0">IF(AND(E10&lt;&gt;0,C10&lt;&gt;0),E10/C10%,"")</f>
        <v>168.86017438564866</v>
      </c>
      <c r="H10" s="780">
        <f t="shared" ref="H10:H41" si="1">IF(AND(F10&lt;&gt;0,D10&lt;&gt;0),F10/D10%,"")</f>
        <v>174.37787248673854</v>
      </c>
      <c r="I10" s="54" t="e">
        <f>SUM(I12,#REF!,#REF!,#REF!,#REF!,#REF!)</f>
        <v>#REF!</v>
      </c>
      <c r="J10" s="55" t="e">
        <f>SUM(J12,#REF!,#REF!,#REF!,#REF!,#REF!)</f>
        <v>#REF!</v>
      </c>
    </row>
    <row r="11" spans="1:10" s="46" customFormat="1" ht="20.25" customHeight="1">
      <c r="A11" s="561" t="s">
        <v>15</v>
      </c>
      <c r="B11" s="571" t="s">
        <v>351</v>
      </c>
      <c r="C11" s="590">
        <f>C12+C64+C65+C72+C73</f>
        <v>3700000</v>
      </c>
      <c r="D11" s="590">
        <f>D12+D64+D65+D72+D73</f>
        <v>3442300</v>
      </c>
      <c r="E11" s="590">
        <f>E12+E64+E65+E72+E73</f>
        <v>3779462.4180879998</v>
      </c>
      <c r="F11" s="590">
        <f>F12+F64+F65+F72+F73</f>
        <v>3534245.4704300007</v>
      </c>
      <c r="G11" s="781">
        <f t="shared" si="0"/>
        <v>102.14763292129729</v>
      </c>
      <c r="H11" s="781">
        <f t="shared" si="1"/>
        <v>102.67104756790521</v>
      </c>
      <c r="I11" s="54" t="e">
        <f>SUM(I13,#REF!,#REF!,#REF!,#REF!,#REF!)</f>
        <v>#REF!</v>
      </c>
      <c r="J11" s="55" t="e">
        <f>SUM(J13,#REF!,#REF!,#REF!,#REF!,#REF!)</f>
        <v>#REF!</v>
      </c>
    </row>
    <row r="12" spans="1:10" s="46" customFormat="1" ht="20.25" customHeight="1">
      <c r="A12" s="561" t="s">
        <v>32</v>
      </c>
      <c r="B12" s="571" t="s">
        <v>17</v>
      </c>
      <c r="C12" s="590">
        <f>C13+C19+C25+C31+C37+C38+C41+C42+C47+C48+C49+C50+C51+C52+C58+C59+C60+C61+C62+C63</f>
        <v>3700000</v>
      </c>
      <c r="D12" s="590">
        <f>D13+D19+D25+D31+D37+D38+D41+D42+D47+D48+D49+D50+D51+D52+D58+D59+D60+D61+D62+D63</f>
        <v>3442300</v>
      </c>
      <c r="E12" s="590">
        <f>E13+E19+E25+E31+E37+E38+E41+E42+E47+E48+E49+E50+E51+E52+E58+E59+E60+E61+E62+E63</f>
        <v>3739387.1848369995</v>
      </c>
      <c r="F12" s="590">
        <f>F13+F19+F25+F31+F37+F38+F41+F42+F47+F48+F49+F50+F51+F52+F58+F59+F60+F61+F62+F63</f>
        <v>3494170.2371790004</v>
      </c>
      <c r="G12" s="781">
        <f t="shared" si="0"/>
        <v>101.0645185091081</v>
      </c>
      <c r="H12" s="781">
        <f t="shared" si="1"/>
        <v>101.50684824620168</v>
      </c>
      <c r="I12" s="56" t="e">
        <f>SUM(I13,#REF!,#REF!,#REF!,#REF!,#REF!,#REF!,#REF!,#REF!,#REF!,#REF!,#REF!,#REF!,#REF!,#REF!,#REF!)</f>
        <v>#REF!</v>
      </c>
      <c r="J12" s="57" t="e">
        <f>SUM(J13,#REF!,#REF!,#REF!,#REF!,#REF!,#REF!,#REF!,#REF!,#REF!,#REF!,#REF!,#REF!,#REF!,#REF!,#REF!)</f>
        <v>#REF!</v>
      </c>
    </row>
    <row r="13" spans="1:10" s="46" customFormat="1" ht="20.25" customHeight="1">
      <c r="A13" s="565">
        <v>1</v>
      </c>
      <c r="B13" s="566" t="s">
        <v>462</v>
      </c>
      <c r="C13" s="591">
        <f>SUM(C14:C18)</f>
        <v>205000</v>
      </c>
      <c r="D13" s="591">
        <f>SUM(D14:D18)</f>
        <v>205000</v>
      </c>
      <c r="E13" s="591">
        <f>SUM(E14:E18)</f>
        <v>225112.058288</v>
      </c>
      <c r="F13" s="591">
        <f>SUM(F14:F18)</f>
        <v>225112.058288</v>
      </c>
      <c r="G13" s="782">
        <f t="shared" si="0"/>
        <v>109.8107601404878</v>
      </c>
      <c r="H13" s="782">
        <f t="shared" si="1"/>
        <v>109.8107601404878</v>
      </c>
      <c r="I13" s="56" t="e">
        <f>SUM(I14,I25,I41,I42,I43,I44,I48,I49,#REF!)</f>
        <v>#REF!</v>
      </c>
      <c r="J13" s="57" t="e">
        <f>SUM(J14,J25,J41,J42,J43,J44,J48,J49,#REF!)</f>
        <v>#REF!</v>
      </c>
    </row>
    <row r="14" spans="1:10" s="46" customFormat="1" ht="20.25" customHeight="1">
      <c r="A14" s="592" t="s">
        <v>472</v>
      </c>
      <c r="B14" s="572" t="s">
        <v>589</v>
      </c>
      <c r="C14" s="671">
        <v>136500</v>
      </c>
      <c r="D14" s="671">
        <f>C14</f>
        <v>136500</v>
      </c>
      <c r="E14" s="593">
        <v>133173.27559999999</v>
      </c>
      <c r="F14" s="593">
        <f>E14</f>
        <v>133173.27559999999</v>
      </c>
      <c r="G14" s="783">
        <f t="shared" si="0"/>
        <v>97.562839267399269</v>
      </c>
      <c r="H14" s="783">
        <f t="shared" si="1"/>
        <v>97.562839267399269</v>
      </c>
      <c r="I14" s="58" t="e">
        <f>#REF!-#REF!</f>
        <v>#REF!</v>
      </c>
      <c r="J14" s="59" t="e">
        <f>#REF!-#REF!</f>
        <v>#REF!</v>
      </c>
    </row>
    <row r="15" spans="1:10" s="46" customFormat="1" ht="20.25" customHeight="1">
      <c r="A15" s="592" t="s">
        <v>472</v>
      </c>
      <c r="B15" s="572" t="s">
        <v>475</v>
      </c>
      <c r="C15" s="671">
        <v>63000</v>
      </c>
      <c r="D15" s="671">
        <f>C15</f>
        <v>63000</v>
      </c>
      <c r="E15" s="593">
        <v>85754.761400000003</v>
      </c>
      <c r="F15" s="593">
        <f>E15</f>
        <v>85754.761400000003</v>
      </c>
      <c r="G15" s="783">
        <f t="shared" si="0"/>
        <v>136.11866888888889</v>
      </c>
      <c r="H15" s="783">
        <f t="shared" si="1"/>
        <v>136.11866888888889</v>
      </c>
      <c r="I15" s="58"/>
      <c r="J15" s="59"/>
    </row>
    <row r="16" spans="1:10" s="46" customFormat="1" ht="20.25" customHeight="1">
      <c r="A16" s="592" t="s">
        <v>472</v>
      </c>
      <c r="B16" s="572" t="s">
        <v>590</v>
      </c>
      <c r="C16" s="671">
        <v>5500</v>
      </c>
      <c r="D16" s="671">
        <v>5500</v>
      </c>
      <c r="E16" s="593">
        <v>6184.0212879999999</v>
      </c>
      <c r="F16" s="593">
        <f>E16</f>
        <v>6184.0212879999999</v>
      </c>
      <c r="G16" s="783">
        <f t="shared" si="0"/>
        <v>112.43675069090909</v>
      </c>
      <c r="H16" s="783">
        <f t="shared" si="1"/>
        <v>112.43675069090909</v>
      </c>
      <c r="I16" s="58"/>
      <c r="J16" s="59"/>
    </row>
    <row r="17" spans="1:10" s="46" customFormat="1" ht="20.25" customHeight="1">
      <c r="A17" s="592" t="s">
        <v>472</v>
      </c>
      <c r="B17" s="572" t="s">
        <v>470</v>
      </c>
      <c r="C17" s="593">
        <v>0</v>
      </c>
      <c r="D17" s="593">
        <v>0</v>
      </c>
      <c r="E17" s="593">
        <v>0</v>
      </c>
      <c r="F17" s="593">
        <v>0</v>
      </c>
      <c r="G17" s="783" t="str">
        <f t="shared" si="0"/>
        <v/>
      </c>
      <c r="H17" s="783" t="str">
        <f t="shared" si="1"/>
        <v/>
      </c>
      <c r="I17" s="58"/>
      <c r="J17" s="59"/>
    </row>
    <row r="18" spans="1:10" s="46" customFormat="1" ht="20.25" customHeight="1">
      <c r="A18" s="592" t="s">
        <v>472</v>
      </c>
      <c r="B18" s="572" t="s">
        <v>471</v>
      </c>
      <c r="C18" s="593">
        <v>0</v>
      </c>
      <c r="D18" s="593">
        <v>0</v>
      </c>
      <c r="E18" s="593">
        <v>0</v>
      </c>
      <c r="F18" s="593">
        <v>0</v>
      </c>
      <c r="G18" s="783" t="str">
        <f t="shared" si="0"/>
        <v/>
      </c>
      <c r="H18" s="783" t="str">
        <f t="shared" si="1"/>
        <v/>
      </c>
      <c r="I18" s="58"/>
      <c r="J18" s="59"/>
    </row>
    <row r="19" spans="1:10" s="46" customFormat="1" ht="20.25" customHeight="1">
      <c r="A19" s="565">
        <f>A13+1</f>
        <v>2</v>
      </c>
      <c r="B19" s="566" t="s">
        <v>463</v>
      </c>
      <c r="C19" s="591">
        <f>SUM(C20:C24)</f>
        <v>120230</v>
      </c>
      <c r="D19" s="591">
        <f>SUM(D20:D24)</f>
        <v>120230</v>
      </c>
      <c r="E19" s="591">
        <f>SUM(E20:E24)</f>
        <v>70783.600019000005</v>
      </c>
      <c r="F19" s="591">
        <f>SUM(F20:F24)</f>
        <v>70783.600019000005</v>
      </c>
      <c r="G19" s="782">
        <f t="shared" si="0"/>
        <v>58.873492488563592</v>
      </c>
      <c r="H19" s="782">
        <f t="shared" si="1"/>
        <v>58.873492488563592</v>
      </c>
      <c r="I19" s="58" t="e">
        <f>#REF!-#REF!</f>
        <v>#REF!</v>
      </c>
      <c r="J19" s="59" t="e">
        <f>#REF!-#REF!</f>
        <v>#REF!</v>
      </c>
    </row>
    <row r="20" spans="1:10" s="46" customFormat="1" ht="20.25" customHeight="1">
      <c r="A20" s="592" t="s">
        <v>472</v>
      </c>
      <c r="B20" s="572" t="s">
        <v>589</v>
      </c>
      <c r="C20" s="672">
        <v>64930</v>
      </c>
      <c r="D20" s="672">
        <f>C20</f>
        <v>64930</v>
      </c>
      <c r="E20" s="593">
        <v>41426.245221999998</v>
      </c>
      <c r="F20" s="593">
        <f>E20</f>
        <v>41426.245221999998</v>
      </c>
      <c r="G20" s="783">
        <f t="shared" si="0"/>
        <v>63.80139415062375</v>
      </c>
      <c r="H20" s="783">
        <f t="shared" si="1"/>
        <v>63.80139415062375</v>
      </c>
      <c r="I20" s="58" t="e">
        <f>#REF!-#REF!</f>
        <v>#REF!</v>
      </c>
      <c r="J20" s="59" t="e">
        <f>#REF!-#REF!</f>
        <v>#REF!</v>
      </c>
    </row>
    <row r="21" spans="1:10" s="46" customFormat="1" ht="20.25" customHeight="1">
      <c r="A21" s="592" t="s">
        <v>472</v>
      </c>
      <c r="B21" s="572" t="s">
        <v>591</v>
      </c>
      <c r="C21" s="672">
        <v>300</v>
      </c>
      <c r="D21" s="672">
        <f>C21</f>
        <v>300</v>
      </c>
      <c r="E21" s="593">
        <v>310.92237899999998</v>
      </c>
      <c r="F21" s="593">
        <f>E21</f>
        <v>310.92237899999998</v>
      </c>
      <c r="G21" s="783">
        <f t="shared" si="0"/>
        <v>103.64079299999999</v>
      </c>
      <c r="H21" s="783">
        <f t="shared" si="1"/>
        <v>103.64079299999999</v>
      </c>
      <c r="I21" s="58"/>
      <c r="J21" s="59"/>
    </row>
    <row r="22" spans="1:10" s="46" customFormat="1" ht="20.25" customHeight="1">
      <c r="A22" s="592" t="s">
        <v>472</v>
      </c>
      <c r="B22" s="572" t="s">
        <v>590</v>
      </c>
      <c r="C22" s="672">
        <v>53000</v>
      </c>
      <c r="D22" s="672">
        <f>C22</f>
        <v>53000</v>
      </c>
      <c r="E22" s="593">
        <v>28078.756442999998</v>
      </c>
      <c r="F22" s="593">
        <f>E22</f>
        <v>28078.756442999998</v>
      </c>
      <c r="G22" s="783">
        <f t="shared" si="0"/>
        <v>52.978785741509434</v>
      </c>
      <c r="H22" s="783">
        <f t="shared" si="1"/>
        <v>52.978785741509434</v>
      </c>
      <c r="I22" s="58"/>
      <c r="J22" s="59"/>
    </row>
    <row r="23" spans="1:10" s="46" customFormat="1" ht="20.25" customHeight="1">
      <c r="A23" s="592" t="s">
        <v>472</v>
      </c>
      <c r="B23" s="572" t="s">
        <v>470</v>
      </c>
      <c r="C23" s="672">
        <v>2000</v>
      </c>
      <c r="D23" s="672">
        <f>C23</f>
        <v>2000</v>
      </c>
      <c r="E23" s="593">
        <v>967.67597499999999</v>
      </c>
      <c r="F23" s="593">
        <f>E23</f>
        <v>967.67597499999999</v>
      </c>
      <c r="G23" s="783">
        <f t="shared" si="0"/>
        <v>48.383798749999997</v>
      </c>
      <c r="H23" s="783">
        <f t="shared" si="1"/>
        <v>48.383798749999997</v>
      </c>
      <c r="I23" s="58"/>
      <c r="J23" s="59"/>
    </row>
    <row r="24" spans="1:10" s="46" customFormat="1" ht="20.25" customHeight="1">
      <c r="A24" s="592" t="s">
        <v>472</v>
      </c>
      <c r="B24" s="572" t="s">
        <v>471</v>
      </c>
      <c r="C24" s="593">
        <v>0</v>
      </c>
      <c r="D24" s="593">
        <f>C24</f>
        <v>0</v>
      </c>
      <c r="E24" s="593">
        <v>0</v>
      </c>
      <c r="F24" s="593">
        <f>E24</f>
        <v>0</v>
      </c>
      <c r="G24" s="783" t="str">
        <f t="shared" si="0"/>
        <v/>
      </c>
      <c r="H24" s="783" t="str">
        <f t="shared" si="1"/>
        <v/>
      </c>
      <c r="I24" s="58"/>
      <c r="J24" s="59"/>
    </row>
    <row r="25" spans="1:10" s="46" customFormat="1" ht="20.25" customHeight="1">
      <c r="A25" s="565">
        <f>A19+1</f>
        <v>3</v>
      </c>
      <c r="B25" s="566" t="s">
        <v>464</v>
      </c>
      <c r="C25" s="591">
        <f>SUM(C26:C30)</f>
        <v>117830</v>
      </c>
      <c r="D25" s="591">
        <f>SUM(D26:D30)</f>
        <v>117830</v>
      </c>
      <c r="E25" s="591">
        <f>SUM(E26:E30)</f>
        <v>127732.31562199999</v>
      </c>
      <c r="F25" s="591">
        <f>SUM(F26:F30)</f>
        <v>127732.31562199999</v>
      </c>
      <c r="G25" s="782">
        <f t="shared" si="0"/>
        <v>108.40390021386743</v>
      </c>
      <c r="H25" s="782">
        <f t="shared" si="1"/>
        <v>108.40390021386743</v>
      </c>
      <c r="I25" s="58" t="e">
        <f>#REF!-#REF!</f>
        <v>#REF!</v>
      </c>
      <c r="J25" s="59" t="e">
        <f>#REF!-#REF!</f>
        <v>#REF!</v>
      </c>
    </row>
    <row r="26" spans="1:10" s="46" customFormat="1" ht="20.25" customHeight="1">
      <c r="A26" s="592" t="s">
        <v>472</v>
      </c>
      <c r="B26" s="572" t="s">
        <v>589</v>
      </c>
      <c r="C26" s="671">
        <v>33680</v>
      </c>
      <c r="D26" s="671">
        <f>C26</f>
        <v>33680</v>
      </c>
      <c r="E26" s="593">
        <v>26268.582257999999</v>
      </c>
      <c r="F26" s="593">
        <f>E26</f>
        <v>26268.582257999999</v>
      </c>
      <c r="G26" s="783">
        <f t="shared" si="0"/>
        <v>77.99460290380047</v>
      </c>
      <c r="H26" s="783">
        <f t="shared" si="1"/>
        <v>77.99460290380047</v>
      </c>
      <c r="I26" s="58" t="e">
        <f>#REF!-#REF!</f>
        <v>#REF!</v>
      </c>
      <c r="J26" s="59" t="e">
        <f>#REF!-#REF!</f>
        <v>#REF!</v>
      </c>
    </row>
    <row r="27" spans="1:10" s="46" customFormat="1" ht="20.25" customHeight="1">
      <c r="A27" s="592" t="s">
        <v>472</v>
      </c>
      <c r="B27" s="572" t="s">
        <v>591</v>
      </c>
      <c r="C27" s="671">
        <v>110</v>
      </c>
      <c r="D27" s="671">
        <f>C27</f>
        <v>110</v>
      </c>
      <c r="E27" s="593">
        <v>73.783641000000003</v>
      </c>
      <c r="F27" s="593">
        <f>E27</f>
        <v>73.783641000000003</v>
      </c>
      <c r="G27" s="783">
        <f t="shared" si="0"/>
        <v>67.076037272727277</v>
      </c>
      <c r="H27" s="783">
        <f t="shared" si="1"/>
        <v>67.076037272727277</v>
      </c>
      <c r="I27" s="58"/>
      <c r="J27" s="59"/>
    </row>
    <row r="28" spans="1:10" s="46" customFormat="1" ht="20.25" customHeight="1">
      <c r="A28" s="592" t="s">
        <v>472</v>
      </c>
      <c r="B28" s="572" t="s">
        <v>590</v>
      </c>
      <c r="C28" s="671">
        <v>84000</v>
      </c>
      <c r="D28" s="671">
        <f>C28</f>
        <v>84000</v>
      </c>
      <c r="E28" s="593">
        <v>101338.748452</v>
      </c>
      <c r="F28" s="593">
        <f>E28</f>
        <v>101338.748452</v>
      </c>
      <c r="G28" s="783">
        <f t="shared" si="0"/>
        <v>120.64136720476191</v>
      </c>
      <c r="H28" s="783">
        <f t="shared" si="1"/>
        <v>120.64136720476191</v>
      </c>
      <c r="I28" s="58"/>
      <c r="J28" s="59"/>
    </row>
    <row r="29" spans="1:10" s="46" customFormat="1" ht="20.25" customHeight="1">
      <c r="A29" s="592" t="s">
        <v>472</v>
      </c>
      <c r="B29" s="572" t="s">
        <v>470</v>
      </c>
      <c r="C29" s="671">
        <v>40</v>
      </c>
      <c r="D29" s="671">
        <f>C29</f>
        <v>40</v>
      </c>
      <c r="E29" s="593">
        <v>51.201270999999998</v>
      </c>
      <c r="F29" s="593">
        <f>E29</f>
        <v>51.201270999999998</v>
      </c>
      <c r="G29" s="783">
        <f t="shared" si="0"/>
        <v>128.00317749999999</v>
      </c>
      <c r="H29" s="783">
        <f t="shared" si="1"/>
        <v>128.00317749999999</v>
      </c>
      <c r="I29" s="58"/>
      <c r="J29" s="59"/>
    </row>
    <row r="30" spans="1:10" s="46" customFormat="1" ht="20.25" customHeight="1">
      <c r="A30" s="592" t="s">
        <v>472</v>
      </c>
      <c r="B30" s="572" t="s">
        <v>471</v>
      </c>
      <c r="C30" s="593">
        <v>0</v>
      </c>
      <c r="D30" s="593">
        <v>0</v>
      </c>
      <c r="E30" s="593">
        <v>0</v>
      </c>
      <c r="F30" s="593">
        <v>0</v>
      </c>
      <c r="G30" s="783" t="str">
        <f t="shared" si="0"/>
        <v/>
      </c>
      <c r="H30" s="783" t="str">
        <f t="shared" si="1"/>
        <v/>
      </c>
      <c r="I30" s="58"/>
      <c r="J30" s="59"/>
    </row>
    <row r="31" spans="1:10" s="46" customFormat="1" ht="20.25" customHeight="1">
      <c r="A31" s="565">
        <f>A25+1</f>
        <v>4</v>
      </c>
      <c r="B31" s="566" t="s">
        <v>465</v>
      </c>
      <c r="C31" s="591">
        <f>SUM(C32:C36)</f>
        <v>751100</v>
      </c>
      <c r="D31" s="591">
        <f>SUM(D32:D36)</f>
        <v>751100</v>
      </c>
      <c r="E31" s="591">
        <f>SUM(E32:E36)</f>
        <v>773993.42952300014</v>
      </c>
      <c r="F31" s="591">
        <f>SUM(F32:F36)</f>
        <v>773993.42952300014</v>
      </c>
      <c r="G31" s="782">
        <f t="shared" si="0"/>
        <v>103.04798688896287</v>
      </c>
      <c r="H31" s="782">
        <f t="shared" si="1"/>
        <v>103.04798688896287</v>
      </c>
      <c r="I31" s="58" t="e">
        <f>#REF!-#REF!</f>
        <v>#REF!</v>
      </c>
      <c r="J31" s="59" t="e">
        <f>#REF!-#REF!</f>
        <v>#REF!</v>
      </c>
    </row>
    <row r="32" spans="1:10" s="46" customFormat="1" ht="20.25" customHeight="1">
      <c r="A32" s="592" t="s">
        <v>472</v>
      </c>
      <c r="B32" s="572" t="s">
        <v>589</v>
      </c>
      <c r="C32" s="671">
        <v>495840</v>
      </c>
      <c r="D32" s="671">
        <f>C32</f>
        <v>495840</v>
      </c>
      <c r="E32" s="593">
        <v>410369.92649500002</v>
      </c>
      <c r="F32" s="593">
        <f>E32</f>
        <v>410369.92649500002</v>
      </c>
      <c r="G32" s="783">
        <f t="shared" si="0"/>
        <v>82.762569880404982</v>
      </c>
      <c r="H32" s="783">
        <f t="shared" si="1"/>
        <v>82.762569880404982</v>
      </c>
      <c r="I32" s="58" t="e">
        <f>#REF!-#REF!</f>
        <v>#REF!</v>
      </c>
      <c r="J32" s="59" t="e">
        <f>#REF!-#REF!</f>
        <v>#REF!</v>
      </c>
    </row>
    <row r="33" spans="1:10" s="46" customFormat="1" ht="20.25" customHeight="1">
      <c r="A33" s="592" t="s">
        <v>472</v>
      </c>
      <c r="B33" s="572" t="s">
        <v>591</v>
      </c>
      <c r="C33" s="671">
        <v>100000</v>
      </c>
      <c r="D33" s="671">
        <f>C33</f>
        <v>100000</v>
      </c>
      <c r="E33" s="593">
        <v>69269.209606999997</v>
      </c>
      <c r="F33" s="593">
        <f>E33</f>
        <v>69269.209606999997</v>
      </c>
      <c r="G33" s="783">
        <f t="shared" si="0"/>
        <v>69.269209606999993</v>
      </c>
      <c r="H33" s="783">
        <f t="shared" si="1"/>
        <v>69.269209606999993</v>
      </c>
      <c r="I33" s="58"/>
      <c r="J33" s="59"/>
    </row>
    <row r="34" spans="1:10" s="46" customFormat="1" ht="20.25" customHeight="1">
      <c r="A34" s="592" t="s">
        <v>472</v>
      </c>
      <c r="B34" s="572" t="s">
        <v>590</v>
      </c>
      <c r="C34" s="671">
        <v>154200</v>
      </c>
      <c r="D34" s="671">
        <f>C34</f>
        <v>154200</v>
      </c>
      <c r="E34" s="593">
        <v>284800.13788300002</v>
      </c>
      <c r="F34" s="593">
        <f>E34</f>
        <v>284800.13788300002</v>
      </c>
      <c r="G34" s="783">
        <f t="shared" si="0"/>
        <v>184.69529045590144</v>
      </c>
      <c r="H34" s="783">
        <f t="shared" si="1"/>
        <v>184.69529045590144</v>
      </c>
      <c r="I34" s="58"/>
      <c r="J34" s="59"/>
    </row>
    <row r="35" spans="1:10" s="46" customFormat="1" ht="20.25" customHeight="1">
      <c r="A35" s="592" t="s">
        <v>472</v>
      </c>
      <c r="B35" s="572" t="s">
        <v>470</v>
      </c>
      <c r="C35" s="671">
        <v>1060</v>
      </c>
      <c r="D35" s="671">
        <f>C35</f>
        <v>1060</v>
      </c>
      <c r="E35" s="593">
        <v>9554.1555380000009</v>
      </c>
      <c r="F35" s="593">
        <f>E35</f>
        <v>9554.1555380000009</v>
      </c>
      <c r="G35" s="783">
        <f t="shared" si="0"/>
        <v>901.33542811320763</v>
      </c>
      <c r="H35" s="783">
        <f t="shared" si="1"/>
        <v>901.33542811320763</v>
      </c>
      <c r="I35" s="58"/>
      <c r="J35" s="59"/>
    </row>
    <row r="36" spans="1:10" s="46" customFormat="1" ht="20.25" customHeight="1">
      <c r="A36" s="592" t="s">
        <v>472</v>
      </c>
      <c r="B36" s="572" t="s">
        <v>471</v>
      </c>
      <c r="C36" s="593">
        <v>0</v>
      </c>
      <c r="D36" s="593">
        <v>0</v>
      </c>
      <c r="E36" s="593">
        <v>0</v>
      </c>
      <c r="F36" s="593">
        <v>0</v>
      </c>
      <c r="G36" s="783" t="str">
        <f t="shared" si="0"/>
        <v/>
      </c>
      <c r="H36" s="783" t="str">
        <f t="shared" si="1"/>
        <v/>
      </c>
      <c r="I36" s="58"/>
      <c r="J36" s="59"/>
    </row>
    <row r="37" spans="1:10" s="46" customFormat="1" ht="20.25" customHeight="1">
      <c r="A37" s="565">
        <f>A31+1</f>
        <v>5</v>
      </c>
      <c r="B37" s="566" t="s">
        <v>21</v>
      </c>
      <c r="C37" s="672">
        <v>369900</v>
      </c>
      <c r="D37" s="672">
        <f>C37</f>
        <v>369900</v>
      </c>
      <c r="E37" s="591">
        <v>363739.33285800001</v>
      </c>
      <c r="F37" s="591">
        <f>E37</f>
        <v>363739.33285800001</v>
      </c>
      <c r="G37" s="782">
        <f t="shared" si="0"/>
        <v>98.334504692619632</v>
      </c>
      <c r="H37" s="782">
        <f t="shared" si="1"/>
        <v>98.334504692619632</v>
      </c>
      <c r="I37" s="58" t="e">
        <f>#REF!-#REF!</f>
        <v>#REF!</v>
      </c>
      <c r="J37" s="59" t="e">
        <f>#REF!-#REF!</f>
        <v>#REF!</v>
      </c>
    </row>
    <row r="38" spans="1:10" s="46" customFormat="1" ht="20.25" customHeight="1">
      <c r="A38" s="565">
        <f>A37+1</f>
        <v>6</v>
      </c>
      <c r="B38" s="566" t="s">
        <v>22</v>
      </c>
      <c r="C38" s="591">
        <f>C39+C40</f>
        <v>265000</v>
      </c>
      <c r="D38" s="591">
        <f>D39+D40</f>
        <v>100500</v>
      </c>
      <c r="E38" s="591">
        <f>E39+E40</f>
        <v>228752.28791100002</v>
      </c>
      <c r="F38" s="591">
        <f>F39+F40</f>
        <v>85159.950047000006</v>
      </c>
      <c r="G38" s="782">
        <f t="shared" si="0"/>
        <v>86.321618079622652</v>
      </c>
      <c r="H38" s="782">
        <f t="shared" si="1"/>
        <v>84.736268703482594</v>
      </c>
      <c r="I38" s="58"/>
      <c r="J38" s="59"/>
    </row>
    <row r="39" spans="1:10" s="46" customFormat="1" ht="20.25" customHeight="1">
      <c r="A39" s="594" t="s">
        <v>24</v>
      </c>
      <c r="B39" s="572" t="s">
        <v>327</v>
      </c>
      <c r="C39" s="671">
        <v>100500</v>
      </c>
      <c r="D39" s="671">
        <f>C39</f>
        <v>100500</v>
      </c>
      <c r="E39" s="593">
        <v>85159.950047000006</v>
      </c>
      <c r="F39" s="593">
        <f>E39</f>
        <v>85159.950047000006</v>
      </c>
      <c r="G39" s="783">
        <f t="shared" si="0"/>
        <v>84.736268703482594</v>
      </c>
      <c r="H39" s="783">
        <f t="shared" si="1"/>
        <v>84.736268703482594</v>
      </c>
      <c r="I39" s="58"/>
      <c r="J39" s="59"/>
    </row>
    <row r="40" spans="1:10" s="46" customFormat="1" ht="20.25" customHeight="1">
      <c r="A40" s="594" t="s">
        <v>24</v>
      </c>
      <c r="B40" s="572" t="s">
        <v>328</v>
      </c>
      <c r="C40" s="671">
        <v>164500</v>
      </c>
      <c r="D40" s="671">
        <v>0</v>
      </c>
      <c r="E40" s="593">
        <v>143592.337864</v>
      </c>
      <c r="F40" s="593">
        <v>0</v>
      </c>
      <c r="G40" s="783">
        <f t="shared" si="0"/>
        <v>87.290174993313073</v>
      </c>
      <c r="H40" s="783" t="str">
        <f t="shared" si="1"/>
        <v/>
      </c>
      <c r="I40" s="58"/>
      <c r="J40" s="59"/>
    </row>
    <row r="41" spans="1:10" s="46" customFormat="1" ht="20.25" customHeight="1">
      <c r="A41" s="565">
        <f>A38+1</f>
        <v>7</v>
      </c>
      <c r="B41" s="566" t="s">
        <v>18</v>
      </c>
      <c r="C41" s="591">
        <v>166200</v>
      </c>
      <c r="D41" s="591">
        <f>C41</f>
        <v>166200</v>
      </c>
      <c r="E41" s="591">
        <v>182344.56326</v>
      </c>
      <c r="F41" s="591">
        <f>E41</f>
        <v>182344.56326</v>
      </c>
      <c r="G41" s="782">
        <f t="shared" si="0"/>
        <v>109.71393697954272</v>
      </c>
      <c r="H41" s="782">
        <f t="shared" si="1"/>
        <v>109.71393697954272</v>
      </c>
      <c r="I41" s="58" t="e">
        <f>#REF!-#REF!</f>
        <v>#REF!</v>
      </c>
      <c r="J41" s="59" t="e">
        <f>#REF!-#REF!</f>
        <v>#REF!</v>
      </c>
    </row>
    <row r="42" spans="1:10" s="46" customFormat="1" ht="20.25" customHeight="1">
      <c r="A42" s="565">
        <f>A41+1</f>
        <v>8</v>
      </c>
      <c r="B42" s="566" t="s">
        <v>23</v>
      </c>
      <c r="C42" s="591">
        <f>SUM(C43:C46)</f>
        <v>88500</v>
      </c>
      <c r="D42" s="591">
        <f>SUM(D43:D46)</f>
        <v>64500</v>
      </c>
      <c r="E42" s="591">
        <f>SUM(E43:E46)</f>
        <v>76142.188587000011</v>
      </c>
      <c r="F42" s="591">
        <f>SUM(F43:F46)</f>
        <v>53722.828588999997</v>
      </c>
      <c r="G42" s="782">
        <f t="shared" ref="G42:G76" si="2">IF(AND(E42&lt;&gt;0,C42&lt;&gt;0),E42/C42%,"")</f>
        <v>86.036371284745769</v>
      </c>
      <c r="H42" s="782">
        <f t="shared" ref="H42:H76" si="3">IF(AND(F42&lt;&gt;0,D42&lt;&gt;0),F42/D42%,"")</f>
        <v>83.291207114728678</v>
      </c>
      <c r="I42" s="58" t="e">
        <f>#REF!-#REF!</f>
        <v>#REF!</v>
      </c>
      <c r="J42" s="59" t="e">
        <f>#REF!-#REF!</f>
        <v>#REF!</v>
      </c>
    </row>
    <row r="43" spans="1:10" s="46" customFormat="1" ht="20.25" customHeight="1">
      <c r="A43" s="594" t="s">
        <v>24</v>
      </c>
      <c r="B43" s="572" t="s">
        <v>25</v>
      </c>
      <c r="C43" s="671">
        <v>24000</v>
      </c>
      <c r="D43" s="671">
        <v>0</v>
      </c>
      <c r="E43" s="593">
        <v>22674.859998</v>
      </c>
      <c r="F43" s="593">
        <v>255.5</v>
      </c>
      <c r="G43" s="783">
        <f t="shared" si="2"/>
        <v>94.478583325000002</v>
      </c>
      <c r="H43" s="783" t="str">
        <f t="shared" si="3"/>
        <v/>
      </c>
      <c r="I43" s="58" t="e">
        <f>#REF!-#REF!</f>
        <v>#REF!</v>
      </c>
      <c r="J43" s="59" t="e">
        <f>#REF!-#REF!</f>
        <v>#REF!</v>
      </c>
    </row>
    <row r="44" spans="1:10" s="46" customFormat="1" ht="21" customHeight="1">
      <c r="A44" s="594" t="s">
        <v>24</v>
      </c>
      <c r="B44" s="572" t="s">
        <v>173</v>
      </c>
      <c r="C44" s="936">
        <v>64500</v>
      </c>
      <c r="D44" s="939">
        <f>C44</f>
        <v>64500</v>
      </c>
      <c r="E44" s="593">
        <v>27453.769114999999</v>
      </c>
      <c r="F44" s="593">
        <f t="shared" ref="F44:F51" si="4">E44</f>
        <v>27453.769114999999</v>
      </c>
      <c r="G44" s="783">
        <f t="shared" si="2"/>
        <v>42.563983124031004</v>
      </c>
      <c r="H44" s="783">
        <f t="shared" si="3"/>
        <v>42.563983124031004</v>
      </c>
      <c r="I44" s="58" t="e">
        <f>#REF!-#REF!</f>
        <v>#REF!</v>
      </c>
      <c r="J44" s="59" t="e">
        <f>#REF!-#REF!</f>
        <v>#REF!</v>
      </c>
    </row>
    <row r="45" spans="1:10" s="46" customFormat="1" ht="20.25" customHeight="1">
      <c r="A45" s="594" t="s">
        <v>24</v>
      </c>
      <c r="B45" s="572" t="s">
        <v>174</v>
      </c>
      <c r="C45" s="937"/>
      <c r="D45" s="940"/>
      <c r="E45" s="593">
        <v>15772.463474</v>
      </c>
      <c r="F45" s="593">
        <f t="shared" si="4"/>
        <v>15772.463474</v>
      </c>
      <c r="G45" s="783" t="str">
        <f t="shared" si="2"/>
        <v/>
      </c>
      <c r="H45" s="783" t="str">
        <f t="shared" si="3"/>
        <v/>
      </c>
      <c r="I45" s="58" t="e">
        <f>#REF!-#REF!</f>
        <v>#REF!</v>
      </c>
      <c r="J45" s="59" t="e">
        <f>#REF!-#REF!</f>
        <v>#REF!</v>
      </c>
    </row>
    <row r="46" spans="1:10" s="46" customFormat="1" ht="20.25" customHeight="1">
      <c r="A46" s="594" t="s">
        <v>24</v>
      </c>
      <c r="B46" s="572" t="s">
        <v>26</v>
      </c>
      <c r="C46" s="938"/>
      <c r="D46" s="941"/>
      <c r="E46" s="593">
        <v>10241.096</v>
      </c>
      <c r="F46" s="593">
        <f t="shared" si="4"/>
        <v>10241.096</v>
      </c>
      <c r="G46" s="783" t="str">
        <f t="shared" si="2"/>
        <v/>
      </c>
      <c r="H46" s="783" t="str">
        <f t="shared" si="3"/>
        <v/>
      </c>
      <c r="I46" s="58" t="e">
        <f>#REF!-#REF!</f>
        <v>#REF!</v>
      </c>
      <c r="J46" s="59" t="e">
        <f>#REF!-#REF!</f>
        <v>#REF!</v>
      </c>
    </row>
    <row r="47" spans="1:10" s="46" customFormat="1" ht="20.25" customHeight="1">
      <c r="A47" s="565">
        <f>A42+1</f>
        <v>9</v>
      </c>
      <c r="B47" s="566" t="s">
        <v>19</v>
      </c>
      <c r="C47" s="591">
        <v>1000</v>
      </c>
      <c r="D47" s="591">
        <v>1000</v>
      </c>
      <c r="E47" s="591">
        <v>699.75967500000002</v>
      </c>
      <c r="F47" s="591">
        <f t="shared" si="4"/>
        <v>699.75967500000002</v>
      </c>
      <c r="G47" s="782">
        <f t="shared" si="2"/>
        <v>69.975967499999996</v>
      </c>
      <c r="H47" s="782">
        <f t="shared" si="3"/>
        <v>69.975967499999996</v>
      </c>
      <c r="I47" s="58" t="e">
        <f>#REF!-#REF!</f>
        <v>#REF!</v>
      </c>
      <c r="J47" s="59" t="e">
        <f>#REF!-#REF!</f>
        <v>#REF!</v>
      </c>
    </row>
    <row r="48" spans="1:10" s="46" customFormat="1" ht="20.25" customHeight="1">
      <c r="A48" s="565">
        <f>A47+1</f>
        <v>10</v>
      </c>
      <c r="B48" s="566" t="s">
        <v>20</v>
      </c>
      <c r="C48" s="591">
        <v>7330</v>
      </c>
      <c r="D48" s="591">
        <v>7330</v>
      </c>
      <c r="E48" s="591">
        <v>7374.2803370000001</v>
      </c>
      <c r="F48" s="591">
        <f t="shared" si="4"/>
        <v>7374.2803370000001</v>
      </c>
      <c r="G48" s="782">
        <f t="shared" si="2"/>
        <v>100.604097366985</v>
      </c>
      <c r="H48" s="782">
        <f t="shared" si="3"/>
        <v>100.604097366985</v>
      </c>
      <c r="I48" s="58" t="e">
        <f>#REF!-#REF!</f>
        <v>#REF!</v>
      </c>
      <c r="J48" s="59" t="e">
        <f>#REF!-#REF!</f>
        <v>#REF!</v>
      </c>
    </row>
    <row r="49" spans="1:10" s="46" customFormat="1" ht="20.25" customHeight="1">
      <c r="A49" s="565">
        <f t="shared" ref="A49:A63" si="5">A48+1</f>
        <v>11</v>
      </c>
      <c r="B49" s="566" t="s">
        <v>59</v>
      </c>
      <c r="C49" s="591">
        <v>105000</v>
      </c>
      <c r="D49" s="591">
        <v>105000</v>
      </c>
      <c r="E49" s="591">
        <v>90479.138326</v>
      </c>
      <c r="F49" s="591">
        <f t="shared" si="4"/>
        <v>90479.138326</v>
      </c>
      <c r="G49" s="782">
        <f t="shared" si="2"/>
        <v>86.170607929523811</v>
      </c>
      <c r="H49" s="782">
        <f t="shared" si="3"/>
        <v>86.170607929523811</v>
      </c>
      <c r="I49" s="58" t="e">
        <f>#REF!-#REF!</f>
        <v>#REF!</v>
      </c>
      <c r="J49" s="59" t="e">
        <f>#REF!-#REF!</f>
        <v>#REF!</v>
      </c>
    </row>
    <row r="50" spans="1:10" s="46" customFormat="1" ht="20.25" customHeight="1">
      <c r="A50" s="565">
        <f t="shared" si="5"/>
        <v>12</v>
      </c>
      <c r="B50" s="566" t="s">
        <v>27</v>
      </c>
      <c r="C50" s="591">
        <v>110000</v>
      </c>
      <c r="D50" s="591">
        <v>110000</v>
      </c>
      <c r="E50" s="591">
        <v>127745.040238</v>
      </c>
      <c r="F50" s="591">
        <f t="shared" si="4"/>
        <v>127745.040238</v>
      </c>
      <c r="G50" s="782">
        <f t="shared" si="2"/>
        <v>116.13185476181819</v>
      </c>
      <c r="H50" s="782">
        <f t="shared" si="3"/>
        <v>116.13185476181819</v>
      </c>
      <c r="I50" s="58" t="e">
        <f>#REF!-#REF!</f>
        <v>#REF!</v>
      </c>
      <c r="J50" s="59" t="e">
        <f>#REF!-#REF!</f>
        <v>#REF!</v>
      </c>
    </row>
    <row r="51" spans="1:10" s="46" customFormat="1" ht="20.25" customHeight="1">
      <c r="A51" s="565">
        <f t="shared" si="5"/>
        <v>13</v>
      </c>
      <c r="B51" s="566" t="s">
        <v>60</v>
      </c>
      <c r="C51" s="591">
        <v>0</v>
      </c>
      <c r="D51" s="591">
        <v>0</v>
      </c>
      <c r="E51" s="591">
        <v>3513.014932</v>
      </c>
      <c r="F51" s="591">
        <f t="shared" si="4"/>
        <v>3513.014932</v>
      </c>
      <c r="G51" s="782" t="str">
        <f t="shared" si="2"/>
        <v/>
      </c>
      <c r="H51" s="782" t="str">
        <f t="shared" si="3"/>
        <v/>
      </c>
      <c r="I51" s="58" t="e">
        <f>#REF!-#REF!</f>
        <v>#REF!</v>
      </c>
      <c r="J51" s="59" t="e">
        <f>#REF!-#REF!</f>
        <v>#REF!</v>
      </c>
    </row>
    <row r="52" spans="1:10" s="46" customFormat="1" ht="20.25" customHeight="1">
      <c r="A52" s="565">
        <f t="shared" si="5"/>
        <v>14</v>
      </c>
      <c r="B52" s="566" t="s">
        <v>31</v>
      </c>
      <c r="C52" s="591">
        <v>1200000</v>
      </c>
      <c r="D52" s="591">
        <v>1200000</v>
      </c>
      <c r="E52" s="591">
        <f>SUM(E53:E57)</f>
        <v>1256377.9285469998</v>
      </c>
      <c r="F52" s="591">
        <f>SUM(F53:F57)</f>
        <v>1256377.9285469998</v>
      </c>
      <c r="G52" s="782">
        <f t="shared" si="2"/>
        <v>104.69816071224999</v>
      </c>
      <c r="H52" s="782">
        <f t="shared" si="3"/>
        <v>104.69816071224999</v>
      </c>
      <c r="I52" s="58"/>
      <c r="J52" s="60"/>
    </row>
    <row r="53" spans="1:10" s="46" customFormat="1" ht="20.25" customHeight="1">
      <c r="A53" s="592" t="s">
        <v>472</v>
      </c>
      <c r="B53" s="572" t="s">
        <v>473</v>
      </c>
      <c r="C53" s="593"/>
      <c r="D53" s="593"/>
      <c r="E53" s="593">
        <v>348456.00023800001</v>
      </c>
      <c r="F53" s="593">
        <f>E53</f>
        <v>348456.00023800001</v>
      </c>
      <c r="G53" s="783" t="str">
        <f t="shared" si="2"/>
        <v/>
      </c>
      <c r="H53" s="783" t="str">
        <f t="shared" si="3"/>
        <v/>
      </c>
      <c r="I53" s="58"/>
      <c r="J53" s="60"/>
    </row>
    <row r="54" spans="1:10" s="46" customFormat="1" ht="20.25" customHeight="1">
      <c r="A54" s="592" t="s">
        <v>472</v>
      </c>
      <c r="B54" s="572" t="s">
        <v>469</v>
      </c>
      <c r="C54" s="593"/>
      <c r="D54" s="593"/>
      <c r="E54" s="593">
        <v>121415.215956</v>
      </c>
      <c r="F54" s="593">
        <f t="shared" ref="F54:F61" si="6">E54</f>
        <v>121415.215956</v>
      </c>
      <c r="G54" s="783" t="str">
        <f t="shared" si="2"/>
        <v/>
      </c>
      <c r="H54" s="783" t="str">
        <f t="shared" si="3"/>
        <v/>
      </c>
      <c r="I54" s="58"/>
      <c r="J54" s="60"/>
    </row>
    <row r="55" spans="1:10" s="46" customFormat="1" ht="20.25" customHeight="1">
      <c r="A55" s="592" t="s">
        <v>472</v>
      </c>
      <c r="B55" s="572" t="s">
        <v>474</v>
      </c>
      <c r="C55" s="593"/>
      <c r="D55" s="593"/>
      <c r="E55" s="593">
        <v>324728.57598899998</v>
      </c>
      <c r="F55" s="593">
        <f t="shared" si="6"/>
        <v>324728.57598899998</v>
      </c>
      <c r="G55" s="783" t="str">
        <f t="shared" si="2"/>
        <v/>
      </c>
      <c r="H55" s="783" t="str">
        <f t="shared" si="3"/>
        <v/>
      </c>
      <c r="I55" s="58"/>
      <c r="J55" s="60"/>
    </row>
    <row r="56" spans="1:10" s="46" customFormat="1" ht="20.25" customHeight="1">
      <c r="A56" s="592" t="s">
        <v>472</v>
      </c>
      <c r="B56" s="572" t="s">
        <v>475</v>
      </c>
      <c r="C56" s="593"/>
      <c r="D56" s="593"/>
      <c r="E56" s="593">
        <v>461778.13636399998</v>
      </c>
      <c r="F56" s="593">
        <f t="shared" si="6"/>
        <v>461778.13636399998</v>
      </c>
      <c r="G56" s="783" t="str">
        <f t="shared" si="2"/>
        <v/>
      </c>
      <c r="H56" s="783" t="str">
        <f t="shared" si="3"/>
        <v/>
      </c>
      <c r="I56" s="58"/>
      <c r="J56" s="60"/>
    </row>
    <row r="57" spans="1:10" s="46" customFormat="1" ht="20.25" customHeight="1">
      <c r="A57" s="592" t="s">
        <v>472</v>
      </c>
      <c r="B57" s="572" t="s">
        <v>186</v>
      </c>
      <c r="C57" s="593"/>
      <c r="D57" s="593"/>
      <c r="E57" s="593">
        <v>0</v>
      </c>
      <c r="F57" s="593">
        <f t="shared" si="6"/>
        <v>0</v>
      </c>
      <c r="G57" s="783" t="str">
        <f t="shared" si="2"/>
        <v/>
      </c>
      <c r="H57" s="783" t="str">
        <f t="shared" si="3"/>
        <v/>
      </c>
      <c r="I57" s="58"/>
      <c r="J57" s="60"/>
    </row>
    <row r="58" spans="1:10" s="46" customFormat="1" ht="20.25" customHeight="1">
      <c r="A58" s="565">
        <f>A52+1</f>
        <v>15</v>
      </c>
      <c r="B58" s="566" t="s">
        <v>592</v>
      </c>
      <c r="C58" s="591"/>
      <c r="D58" s="591"/>
      <c r="E58" s="591">
        <v>130.97931</v>
      </c>
      <c r="F58" s="591">
        <f t="shared" si="6"/>
        <v>130.97931</v>
      </c>
      <c r="G58" s="782" t="str">
        <f t="shared" si="2"/>
        <v/>
      </c>
      <c r="H58" s="782" t="str">
        <f t="shared" si="3"/>
        <v/>
      </c>
      <c r="I58" s="58"/>
      <c r="J58" s="60"/>
    </row>
    <row r="59" spans="1:10" s="46" customFormat="1" ht="20.25" customHeight="1">
      <c r="A59" s="565">
        <f t="shared" si="5"/>
        <v>16</v>
      </c>
      <c r="B59" s="566" t="s">
        <v>30</v>
      </c>
      <c r="C59" s="591">
        <v>153800</v>
      </c>
      <c r="D59" s="591">
        <v>84600</v>
      </c>
      <c r="E59" s="591">
        <v>175897.346777</v>
      </c>
      <c r="F59" s="591">
        <v>96692.096980999995</v>
      </c>
      <c r="G59" s="782">
        <f t="shared" si="2"/>
        <v>114.36758568075423</v>
      </c>
      <c r="H59" s="782">
        <f t="shared" si="3"/>
        <v>114.2932588427896</v>
      </c>
      <c r="I59" s="58" t="e">
        <f>#REF!-#REF!</f>
        <v>#REF!</v>
      </c>
      <c r="J59" s="59" t="e">
        <f>#REF!-#REF!</f>
        <v>#REF!</v>
      </c>
    </row>
    <row r="60" spans="1:10" s="46" customFormat="1" ht="20.25" customHeight="1">
      <c r="A60" s="565">
        <f t="shared" si="5"/>
        <v>17</v>
      </c>
      <c r="B60" s="566" t="s">
        <v>158</v>
      </c>
      <c r="C60" s="591">
        <v>28610</v>
      </c>
      <c r="D60" s="591">
        <v>28610</v>
      </c>
      <c r="E60" s="591">
        <v>7132.0368040000003</v>
      </c>
      <c r="F60" s="591">
        <f t="shared" si="6"/>
        <v>7132.0368040000003</v>
      </c>
      <c r="G60" s="782">
        <f t="shared" si="2"/>
        <v>24.928475372247465</v>
      </c>
      <c r="H60" s="782">
        <f t="shared" si="3"/>
        <v>24.928475372247465</v>
      </c>
      <c r="I60" s="58"/>
      <c r="J60" s="59"/>
    </row>
    <row r="61" spans="1:10" s="46" customFormat="1" ht="20.25" customHeight="1">
      <c r="A61" s="565">
        <f t="shared" si="5"/>
        <v>18</v>
      </c>
      <c r="B61" s="566" t="s">
        <v>466</v>
      </c>
      <c r="C61" s="591">
        <v>10500</v>
      </c>
      <c r="D61" s="591">
        <v>10500</v>
      </c>
      <c r="E61" s="591">
        <v>21437.883823</v>
      </c>
      <c r="F61" s="591">
        <f t="shared" si="6"/>
        <v>21437.883823</v>
      </c>
      <c r="G61" s="782">
        <f t="shared" si="2"/>
        <v>204.17032212380951</v>
      </c>
      <c r="H61" s="782">
        <f t="shared" si="3"/>
        <v>204.17032212380951</v>
      </c>
      <c r="I61" s="58" t="e">
        <f>#REF!-#REF!</f>
        <v>#REF!</v>
      </c>
      <c r="J61" s="59" t="e">
        <f>#REF!-#REF!</f>
        <v>#REF!</v>
      </c>
    </row>
    <row r="62" spans="1:10" s="46" customFormat="1" ht="56.25">
      <c r="A62" s="565">
        <f t="shared" si="5"/>
        <v>19</v>
      </c>
      <c r="B62" s="595" t="s">
        <v>467</v>
      </c>
      <c r="C62" s="591"/>
      <c r="D62" s="591"/>
      <c r="E62" s="591">
        <v>0</v>
      </c>
      <c r="F62" s="591">
        <v>0</v>
      </c>
      <c r="G62" s="782" t="str">
        <f t="shared" si="2"/>
        <v/>
      </c>
      <c r="H62" s="782" t="str">
        <f t="shared" si="3"/>
        <v/>
      </c>
      <c r="I62" s="58"/>
      <c r="J62" s="59"/>
    </row>
    <row r="63" spans="1:10" s="46" customFormat="1" ht="20.25" customHeight="1">
      <c r="A63" s="565">
        <f t="shared" si="5"/>
        <v>20</v>
      </c>
      <c r="B63" s="566" t="s">
        <v>468</v>
      </c>
      <c r="C63" s="591"/>
      <c r="D63" s="591"/>
      <c r="E63" s="591">
        <v>0</v>
      </c>
      <c r="F63" s="591">
        <v>0</v>
      </c>
      <c r="G63" s="782" t="str">
        <f t="shared" si="2"/>
        <v/>
      </c>
      <c r="H63" s="782" t="str">
        <f t="shared" si="3"/>
        <v/>
      </c>
      <c r="I63" s="58" t="e">
        <f>#REF!-#REF!</f>
        <v>#REF!</v>
      </c>
      <c r="J63" s="59" t="e">
        <f>#REF!-#REF!</f>
        <v>#REF!</v>
      </c>
    </row>
    <row r="64" spans="1:10" s="46" customFormat="1" ht="20.25" customHeight="1">
      <c r="A64" s="561" t="s">
        <v>33</v>
      </c>
      <c r="B64" s="571" t="s">
        <v>28</v>
      </c>
      <c r="C64" s="590"/>
      <c r="D64" s="590"/>
      <c r="E64" s="590">
        <v>0</v>
      </c>
      <c r="F64" s="590">
        <v>0</v>
      </c>
      <c r="G64" s="781" t="str">
        <f t="shared" si="2"/>
        <v/>
      </c>
      <c r="H64" s="781" t="str">
        <f t="shared" si="3"/>
        <v/>
      </c>
      <c r="I64" s="58" t="e">
        <f>#REF!-#REF!</f>
        <v>#REF!</v>
      </c>
      <c r="J64" s="59" t="e">
        <f>#REF!-#REF!</f>
        <v>#REF!</v>
      </c>
    </row>
    <row r="65" spans="1:10" s="46" customFormat="1" ht="20.25" customHeight="1">
      <c r="A65" s="561" t="s">
        <v>34</v>
      </c>
      <c r="B65" s="571" t="s">
        <v>29</v>
      </c>
      <c r="C65" s="590">
        <f>SUM(C66:C71)</f>
        <v>0</v>
      </c>
      <c r="D65" s="590">
        <f>SUM(D66:D71)</f>
        <v>0</v>
      </c>
      <c r="E65" s="590">
        <f>SUM(E66:E71)</f>
        <v>0</v>
      </c>
      <c r="F65" s="590">
        <f>SUM(F66:F71)</f>
        <v>0</v>
      </c>
      <c r="G65" s="781" t="str">
        <f t="shared" si="2"/>
        <v/>
      </c>
      <c r="H65" s="781" t="str">
        <f t="shared" si="3"/>
        <v/>
      </c>
      <c r="I65" s="58" t="e">
        <f>#REF!-#REF!</f>
        <v>#REF!</v>
      </c>
      <c r="J65" s="59" t="e">
        <f>#REF!-#REF!</f>
        <v>#REF!</v>
      </c>
    </row>
    <row r="66" spans="1:10" s="46" customFormat="1" ht="20.25" customHeight="1">
      <c r="A66" s="565">
        <v>1</v>
      </c>
      <c r="B66" s="566" t="s">
        <v>129</v>
      </c>
      <c r="C66" s="591"/>
      <c r="D66" s="591"/>
      <c r="E66" s="591">
        <v>0</v>
      </c>
      <c r="F66" s="591">
        <v>0</v>
      </c>
      <c r="G66" s="782" t="str">
        <f t="shared" si="2"/>
        <v/>
      </c>
      <c r="H66" s="782" t="str">
        <f t="shared" si="3"/>
        <v/>
      </c>
      <c r="I66" s="58"/>
      <c r="J66" s="59"/>
    </row>
    <row r="67" spans="1:10" s="46" customFormat="1" ht="20.25" customHeight="1">
      <c r="A67" s="565">
        <f>A66+1</f>
        <v>2</v>
      </c>
      <c r="B67" s="566" t="s">
        <v>128</v>
      </c>
      <c r="C67" s="591"/>
      <c r="D67" s="591"/>
      <c r="E67" s="591">
        <v>0</v>
      </c>
      <c r="F67" s="591">
        <v>0</v>
      </c>
      <c r="G67" s="782" t="str">
        <f t="shared" si="2"/>
        <v/>
      </c>
      <c r="H67" s="782" t="str">
        <f t="shared" si="3"/>
        <v/>
      </c>
      <c r="I67" s="58"/>
      <c r="J67" s="59"/>
    </row>
    <row r="68" spans="1:10" s="46" customFormat="1" ht="20.25" customHeight="1">
      <c r="A68" s="565">
        <f>A67+1</f>
        <v>3</v>
      </c>
      <c r="B68" s="566" t="s">
        <v>130</v>
      </c>
      <c r="C68" s="591"/>
      <c r="D68" s="591"/>
      <c r="E68" s="591">
        <v>0</v>
      </c>
      <c r="F68" s="591">
        <v>0</v>
      </c>
      <c r="G68" s="782" t="str">
        <f t="shared" si="2"/>
        <v/>
      </c>
      <c r="H68" s="782" t="str">
        <f t="shared" si="3"/>
        <v/>
      </c>
      <c r="I68" s="58"/>
      <c r="J68" s="59"/>
    </row>
    <row r="69" spans="1:10" s="46" customFormat="1" ht="20.25" customHeight="1">
      <c r="A69" s="565">
        <f>A68+1</f>
        <v>4</v>
      </c>
      <c r="B69" s="566" t="s">
        <v>132</v>
      </c>
      <c r="C69" s="591"/>
      <c r="D69" s="591"/>
      <c r="E69" s="591">
        <v>0</v>
      </c>
      <c r="F69" s="591">
        <v>0</v>
      </c>
      <c r="G69" s="782" t="str">
        <f t="shared" si="2"/>
        <v/>
      </c>
      <c r="H69" s="782" t="str">
        <f t="shared" si="3"/>
        <v/>
      </c>
      <c r="I69" s="58"/>
      <c r="J69" s="59"/>
    </row>
    <row r="70" spans="1:10" s="46" customFormat="1" ht="20.25" customHeight="1">
      <c r="A70" s="565">
        <f>A69+1</f>
        <v>5</v>
      </c>
      <c r="B70" s="566" t="s">
        <v>131</v>
      </c>
      <c r="C70" s="591"/>
      <c r="D70" s="591"/>
      <c r="E70" s="591">
        <v>0</v>
      </c>
      <c r="F70" s="591">
        <v>0</v>
      </c>
      <c r="G70" s="782" t="str">
        <f t="shared" si="2"/>
        <v/>
      </c>
      <c r="H70" s="782" t="str">
        <f t="shared" si="3"/>
        <v/>
      </c>
      <c r="I70" s="58"/>
      <c r="J70" s="59"/>
    </row>
    <row r="71" spans="1:10" s="46" customFormat="1" ht="20.25" customHeight="1">
      <c r="A71" s="565">
        <f>A70+1</f>
        <v>6</v>
      </c>
      <c r="B71" s="566" t="s">
        <v>186</v>
      </c>
      <c r="C71" s="591"/>
      <c r="D71" s="591"/>
      <c r="E71" s="591">
        <v>0</v>
      </c>
      <c r="F71" s="591">
        <v>0</v>
      </c>
      <c r="G71" s="782" t="str">
        <f t="shared" si="2"/>
        <v/>
      </c>
      <c r="H71" s="782" t="str">
        <f t="shared" si="3"/>
        <v/>
      </c>
      <c r="I71" s="58"/>
      <c r="J71" s="59"/>
    </row>
    <row r="72" spans="1:10" s="46" customFormat="1" ht="20.25" customHeight="1">
      <c r="A72" s="561" t="s">
        <v>35</v>
      </c>
      <c r="B72" s="571" t="s">
        <v>77</v>
      </c>
      <c r="C72" s="590"/>
      <c r="D72" s="590"/>
      <c r="E72" s="590">
        <v>6224.0816560000003</v>
      </c>
      <c r="F72" s="590">
        <f>E72</f>
        <v>6224.0816560000003</v>
      </c>
      <c r="G72" s="781" t="str">
        <f t="shared" si="2"/>
        <v/>
      </c>
      <c r="H72" s="781" t="str">
        <f t="shared" si="3"/>
        <v/>
      </c>
      <c r="I72" s="58" t="e">
        <f>#REF!-#REF!</f>
        <v>#REF!</v>
      </c>
      <c r="J72" s="59" t="e">
        <f>#REF!-#REF!</f>
        <v>#REF!</v>
      </c>
    </row>
    <row r="73" spans="1:10" s="46" customFormat="1" ht="20.25" customHeight="1">
      <c r="A73" s="561" t="s">
        <v>36</v>
      </c>
      <c r="B73" s="571" t="s">
        <v>461</v>
      </c>
      <c r="C73" s="590"/>
      <c r="D73" s="590"/>
      <c r="E73" s="590">
        <v>33851.151595000003</v>
      </c>
      <c r="F73" s="590">
        <f>E73</f>
        <v>33851.151595000003</v>
      </c>
      <c r="G73" s="781" t="str">
        <f t="shared" si="2"/>
        <v/>
      </c>
      <c r="H73" s="781" t="str">
        <f t="shared" si="3"/>
        <v/>
      </c>
      <c r="I73" s="85"/>
      <c r="J73" s="86"/>
    </row>
    <row r="74" spans="1:10" s="46" customFormat="1" ht="20.25" customHeight="1">
      <c r="A74" s="673" t="s">
        <v>16</v>
      </c>
      <c r="B74" s="674" t="s">
        <v>189</v>
      </c>
      <c r="C74" s="590"/>
      <c r="D74" s="590"/>
      <c r="E74" s="590">
        <v>0</v>
      </c>
      <c r="F74" s="590">
        <v>0</v>
      </c>
      <c r="G74" s="781" t="str">
        <f t="shared" si="2"/>
        <v/>
      </c>
      <c r="H74" s="781" t="str">
        <f t="shared" si="3"/>
        <v/>
      </c>
      <c r="I74" s="85"/>
      <c r="J74" s="86"/>
    </row>
    <row r="75" spans="1:10" s="46" customFormat="1" ht="20.25" customHeight="1">
      <c r="A75" s="673" t="s">
        <v>37</v>
      </c>
      <c r="B75" s="674" t="s">
        <v>190</v>
      </c>
      <c r="C75" s="590"/>
      <c r="D75" s="590"/>
      <c r="E75" s="590">
        <v>170486.81935999999</v>
      </c>
      <c r="F75" s="590">
        <f>E75</f>
        <v>170486.81935999999</v>
      </c>
      <c r="G75" s="781" t="str">
        <f t="shared" si="2"/>
        <v/>
      </c>
      <c r="H75" s="781" t="str">
        <f t="shared" si="3"/>
        <v/>
      </c>
      <c r="I75" s="85"/>
      <c r="J75" s="86"/>
    </row>
    <row r="76" spans="1:10" s="46" customFormat="1" ht="20.25" customHeight="1">
      <c r="A76" s="675" t="s">
        <v>63</v>
      </c>
      <c r="B76" s="676" t="s">
        <v>188</v>
      </c>
      <c r="C76" s="596"/>
      <c r="D76" s="596"/>
      <c r="E76" s="596">
        <v>2297877.2148210001</v>
      </c>
      <c r="F76" s="596">
        <f>E76</f>
        <v>2297877.2148210001</v>
      </c>
      <c r="G76" s="784" t="str">
        <f t="shared" si="2"/>
        <v/>
      </c>
      <c r="H76" s="784" t="str">
        <f t="shared" si="3"/>
        <v/>
      </c>
      <c r="I76" s="85"/>
      <c r="J76" s="86"/>
    </row>
    <row r="77" spans="1:10" ht="18.75">
      <c r="A77" s="46"/>
      <c r="B77" s="46"/>
      <c r="C77" s="46"/>
      <c r="D77" s="46"/>
      <c r="E77" s="46"/>
      <c r="F77" s="46"/>
      <c r="G77" s="46"/>
      <c r="H77" s="46"/>
    </row>
    <row r="78" spans="1:10" ht="18.75">
      <c r="A78" s="46"/>
      <c r="B78" s="46"/>
      <c r="C78" s="46"/>
      <c r="D78" s="46"/>
      <c r="E78" s="46"/>
      <c r="F78" s="46"/>
      <c r="G78" s="46"/>
      <c r="H78" s="46"/>
    </row>
    <row r="79" spans="1:10" ht="22.5" customHeight="1">
      <c r="A79" s="46"/>
      <c r="B79" s="46"/>
      <c r="C79" s="46"/>
      <c r="D79" s="46"/>
      <c r="E79" s="46"/>
      <c r="F79" s="46"/>
      <c r="G79" s="46"/>
      <c r="H79" s="46"/>
    </row>
    <row r="80" spans="1:10" ht="18.75">
      <c r="A80" s="46"/>
      <c r="B80" s="46"/>
      <c r="C80" s="46"/>
      <c r="D80" s="46"/>
      <c r="E80" s="46"/>
      <c r="F80" s="46"/>
      <c r="G80" s="46"/>
      <c r="H80" s="46"/>
    </row>
    <row r="81" spans="1:8" ht="18.75">
      <c r="A81" s="46"/>
      <c r="B81" s="46"/>
      <c r="C81" s="46"/>
      <c r="D81" s="46"/>
      <c r="E81" s="46"/>
      <c r="F81" s="46"/>
      <c r="G81" s="46"/>
      <c r="H81" s="46"/>
    </row>
    <row r="82" spans="1:8" ht="18.75">
      <c r="A82" s="46"/>
      <c r="B82" s="46"/>
      <c r="C82" s="46"/>
      <c r="D82" s="46"/>
      <c r="E82" s="46"/>
      <c r="F82" s="46"/>
      <c r="G82" s="46"/>
      <c r="H82" s="46"/>
    </row>
    <row r="83" spans="1:8" ht="18.75">
      <c r="A83" s="46"/>
      <c r="B83" s="46"/>
      <c r="C83" s="46"/>
      <c r="D83" s="46"/>
      <c r="E83" s="46"/>
      <c r="F83" s="46"/>
      <c r="G83" s="46"/>
      <c r="H83" s="46"/>
    </row>
  </sheetData>
  <mergeCells count="11">
    <mergeCell ref="A1:H1"/>
    <mergeCell ref="A2:H2"/>
    <mergeCell ref="A3:H3"/>
    <mergeCell ref="B7:B8"/>
    <mergeCell ref="A7:A8"/>
    <mergeCell ref="A4:H4"/>
    <mergeCell ref="C44:C46"/>
    <mergeCell ref="D44:D46"/>
    <mergeCell ref="C7:D7"/>
    <mergeCell ref="E7:F7"/>
    <mergeCell ref="G7:H7"/>
  </mergeCells>
  <printOptions horizontalCentered="1"/>
  <pageMargins left="0.31496062992125984" right="0.35433070866141736" top="0.6692913385826772" bottom="0.43307086614173229" header="0.51181102362204722" footer="0.43307086614173229"/>
  <pageSetup paperSize="9" scale="64" fitToHeight="5" orientation="portrait" r:id="rId1"/>
  <headerFooter differentFirst="1" alignWithMargins="0">
    <oddFooter>&amp;R &amp;P</oddFooter>
  </headerFooter>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E58"/>
  <sheetViews>
    <sheetView zoomScale="85" zoomScaleNormal="85" workbookViewId="0">
      <selection activeCell="A4" sqref="A4:BA4"/>
    </sheetView>
  </sheetViews>
  <sheetFormatPr defaultColWidth="9" defaultRowHeight="15.75"/>
  <cols>
    <col min="1" max="1" width="5.125" style="43" customWidth="1"/>
    <col min="2" max="2" width="80.375" style="43" customWidth="1"/>
    <col min="3" max="3" width="13.375" style="43" customWidth="1"/>
    <col min="4" max="4" width="13.5" style="43" customWidth="1"/>
    <col min="5" max="5" width="10.75" style="43" customWidth="1"/>
    <col min="6" max="16384" width="9" style="43"/>
  </cols>
  <sheetData>
    <row r="1" spans="1:5" ht="18.75" customHeight="1">
      <c r="A1" s="918" t="s">
        <v>668</v>
      </c>
      <c r="B1" s="918"/>
      <c r="C1" s="918"/>
      <c r="D1" s="918"/>
      <c r="E1" s="918"/>
    </row>
    <row r="2" spans="1:5" ht="18.75" customHeight="1">
      <c r="A2" s="949" t="s">
        <v>676</v>
      </c>
      <c r="B2" s="949"/>
      <c r="C2" s="949"/>
      <c r="D2" s="949"/>
      <c r="E2" s="949"/>
    </row>
    <row r="3" spans="1:5" ht="21" customHeight="1">
      <c r="A3" s="947" t="s">
        <v>476</v>
      </c>
      <c r="B3" s="947"/>
      <c r="C3" s="947"/>
      <c r="D3" s="947"/>
      <c r="E3" s="947"/>
    </row>
    <row r="4" spans="1:5" ht="21" customHeight="1">
      <c r="A4" s="948" t="s">
        <v>682</v>
      </c>
      <c r="B4" s="948"/>
      <c r="C4" s="948"/>
      <c r="D4" s="948"/>
      <c r="E4" s="948"/>
    </row>
    <row r="5" spans="1:5" ht="19.5" customHeight="1">
      <c r="A5" s="45"/>
      <c r="B5" s="45"/>
      <c r="C5" s="46"/>
      <c r="D5" s="946" t="s">
        <v>187</v>
      </c>
      <c r="E5" s="946"/>
    </row>
    <row r="6" spans="1:5" s="47" customFormat="1" ht="44.25" customHeight="1">
      <c r="A6" s="556" t="s">
        <v>110</v>
      </c>
      <c r="B6" s="556" t="s">
        <v>11</v>
      </c>
      <c r="C6" s="556" t="s">
        <v>12</v>
      </c>
      <c r="D6" s="556" t="s">
        <v>109</v>
      </c>
      <c r="E6" s="759" t="s">
        <v>200</v>
      </c>
    </row>
    <row r="7" spans="1:5" s="49" customFormat="1" ht="17.25" customHeight="1">
      <c r="A7" s="597" t="s">
        <v>15</v>
      </c>
      <c r="B7" s="597" t="s">
        <v>16</v>
      </c>
      <c r="C7" s="597">
        <v>1</v>
      </c>
      <c r="D7" s="597">
        <f>C7+1</f>
        <v>2</v>
      </c>
      <c r="E7" s="598" t="s">
        <v>84</v>
      </c>
    </row>
    <row r="8" spans="1:5" s="46" customFormat="1" ht="18.75">
      <c r="A8" s="559"/>
      <c r="B8" s="588" t="s">
        <v>178</v>
      </c>
      <c r="C8" s="589">
        <f>C9+C28+C58</f>
        <v>8938477</v>
      </c>
      <c r="D8" s="589">
        <f>D9+D28+D58</f>
        <v>11436359.626620002</v>
      </c>
      <c r="E8" s="785">
        <f t="shared" ref="E8:E39" si="0">IF(AND(D8&lt;&gt;0,C8&lt;&gt;0),D8/C8%,"")</f>
        <v>127.94528225132763</v>
      </c>
    </row>
    <row r="9" spans="1:5" s="46" customFormat="1" ht="18.75">
      <c r="A9" s="561" t="s">
        <v>15</v>
      </c>
      <c r="B9" s="571" t="s">
        <v>94</v>
      </c>
      <c r="C9" s="590">
        <f>C10+C20+C24+C25+C26+C27</f>
        <v>7070667</v>
      </c>
      <c r="D9" s="590">
        <f>D10+D20+D24+D25+D26+D27</f>
        <v>7179474.9933580011</v>
      </c>
      <c r="E9" s="786">
        <f t="shared" si="0"/>
        <v>101.53886462702884</v>
      </c>
    </row>
    <row r="10" spans="1:5" s="50" customFormat="1" ht="18.75">
      <c r="A10" s="561" t="s">
        <v>32</v>
      </c>
      <c r="B10" s="571" t="s">
        <v>64</v>
      </c>
      <c r="C10" s="590">
        <f>C11+C18+C19</f>
        <v>1714880</v>
      </c>
      <c r="D10" s="590">
        <f>D11+D18+D19</f>
        <v>1800944.097787</v>
      </c>
      <c r="E10" s="786">
        <f t="shared" si="0"/>
        <v>105.01866590006298</v>
      </c>
    </row>
    <row r="11" spans="1:5" s="50" customFormat="1" ht="18.75">
      <c r="A11" s="565">
        <v>1</v>
      </c>
      <c r="B11" s="566" t="s">
        <v>159</v>
      </c>
      <c r="C11" s="591">
        <f>'PL53'!C14</f>
        <v>1707680</v>
      </c>
      <c r="D11" s="591">
        <f>'PL53'!F14</f>
        <v>1800944.097787</v>
      </c>
      <c r="E11" s="787">
        <f t="shared" si="0"/>
        <v>105.46145049347653</v>
      </c>
    </row>
    <row r="12" spans="1:5" s="50" customFormat="1" ht="18.75">
      <c r="A12" s="592"/>
      <c r="B12" s="572" t="s">
        <v>401</v>
      </c>
      <c r="C12" s="593">
        <f>'PL53'!C15</f>
        <v>0</v>
      </c>
      <c r="D12" s="593">
        <f>'PL53'!F15</f>
        <v>0</v>
      </c>
      <c r="E12" s="788" t="str">
        <f t="shared" si="0"/>
        <v/>
      </c>
    </row>
    <row r="13" spans="1:5" s="50" customFormat="1" ht="18.75">
      <c r="A13" s="563" t="s">
        <v>24</v>
      </c>
      <c r="B13" s="572" t="s">
        <v>117</v>
      </c>
      <c r="C13" s="593">
        <f>'PL53'!C16</f>
        <v>426703</v>
      </c>
      <c r="D13" s="593">
        <f>'PL53'!F16</f>
        <v>455198.32941800001</v>
      </c>
      <c r="E13" s="788">
        <f t="shared" si="0"/>
        <v>106.67802415684915</v>
      </c>
    </row>
    <row r="14" spans="1:5" s="46" customFormat="1" ht="18.75">
      <c r="A14" s="563" t="s">
        <v>24</v>
      </c>
      <c r="B14" s="572" t="s">
        <v>74</v>
      </c>
      <c r="C14" s="593">
        <f>'PL53'!C17</f>
        <v>10000</v>
      </c>
      <c r="D14" s="593">
        <f>'PL53'!F17</f>
        <v>277.34321599999998</v>
      </c>
      <c r="E14" s="788">
        <f t="shared" si="0"/>
        <v>2.77343216</v>
      </c>
    </row>
    <row r="15" spans="1:5" s="50" customFormat="1" ht="18.75">
      <c r="A15" s="565"/>
      <c r="B15" s="572" t="s">
        <v>402</v>
      </c>
      <c r="C15" s="593">
        <f>'PL53'!C18</f>
        <v>0</v>
      </c>
      <c r="D15" s="593">
        <f>'PL53'!F18</f>
        <v>0</v>
      </c>
      <c r="E15" s="788" t="str">
        <f t="shared" si="0"/>
        <v/>
      </c>
    </row>
    <row r="16" spans="1:5" s="50" customFormat="1" ht="18.75">
      <c r="A16" s="594" t="s">
        <v>24</v>
      </c>
      <c r="B16" s="572" t="s">
        <v>40</v>
      </c>
      <c r="C16" s="593">
        <f>'PL53'!C19</f>
        <v>110000</v>
      </c>
      <c r="D16" s="593">
        <f>'PL53'!F19</f>
        <v>108984.141326</v>
      </c>
      <c r="E16" s="788">
        <f t="shared" si="0"/>
        <v>99.076492114545445</v>
      </c>
    </row>
    <row r="17" spans="1:5" s="50" customFormat="1" ht="18.75">
      <c r="A17" s="594" t="s">
        <v>24</v>
      </c>
      <c r="B17" s="572" t="s">
        <v>41</v>
      </c>
      <c r="C17" s="593">
        <f>'PL53'!C20</f>
        <v>1200000</v>
      </c>
      <c r="D17" s="593">
        <f>'PL53'!F20</f>
        <v>1210697.411668</v>
      </c>
      <c r="E17" s="787">
        <f t="shared" si="0"/>
        <v>100.89145097233333</v>
      </c>
    </row>
    <row r="18" spans="1:5" s="46" customFormat="1" ht="56.25">
      <c r="A18" s="565">
        <v>2</v>
      </c>
      <c r="B18" s="599" t="s">
        <v>112</v>
      </c>
      <c r="C18" s="591">
        <f>'PL53'!C21</f>
        <v>2000</v>
      </c>
      <c r="D18" s="591">
        <f>'PL53'!F21</f>
        <v>0</v>
      </c>
      <c r="E18" s="787" t="str">
        <f t="shared" si="0"/>
        <v/>
      </c>
    </row>
    <row r="19" spans="1:5" s="63" customFormat="1" ht="18.75">
      <c r="A19" s="565">
        <v>3</v>
      </c>
      <c r="B19" s="566" t="s">
        <v>400</v>
      </c>
      <c r="C19" s="591">
        <f>'PL53'!C22</f>
        <v>5200</v>
      </c>
      <c r="D19" s="591">
        <f>'PL53'!F22</f>
        <v>0</v>
      </c>
      <c r="E19" s="787" t="str">
        <f t="shared" si="0"/>
        <v/>
      </c>
    </row>
    <row r="20" spans="1:5" s="46" customFormat="1" ht="18.75">
      <c r="A20" s="561" t="s">
        <v>33</v>
      </c>
      <c r="B20" s="571" t="s">
        <v>42</v>
      </c>
      <c r="C20" s="590">
        <f>'PL53'!C23</f>
        <v>5180587</v>
      </c>
      <c r="D20" s="590">
        <f>'PL53'!F23</f>
        <v>5317313.8763050009</v>
      </c>
      <c r="E20" s="787">
        <f t="shared" si="0"/>
        <v>102.63921590941337</v>
      </c>
    </row>
    <row r="21" spans="1:5" s="46" customFormat="1" ht="18.75">
      <c r="A21" s="561"/>
      <c r="B21" s="572" t="s">
        <v>62</v>
      </c>
      <c r="C21" s="593">
        <f>'PL53'!C24</f>
        <v>0</v>
      </c>
      <c r="D21" s="593">
        <f>'PL53'!F24</f>
        <v>0</v>
      </c>
      <c r="E21" s="787" t="str">
        <f t="shared" si="0"/>
        <v/>
      </c>
    </row>
    <row r="22" spans="1:5" s="46" customFormat="1" ht="18.75">
      <c r="A22" s="565">
        <v>1</v>
      </c>
      <c r="B22" s="572" t="s">
        <v>203</v>
      </c>
      <c r="C22" s="593">
        <f>'PL53'!C25</f>
        <v>2408215</v>
      </c>
      <c r="D22" s="593">
        <f>'PL53'!F25</f>
        <v>2242935.1282430002</v>
      </c>
      <c r="E22" s="787">
        <f t="shared" si="0"/>
        <v>93.13683073326095</v>
      </c>
    </row>
    <row r="23" spans="1:5" s="46" customFormat="1" ht="18.75">
      <c r="A23" s="565">
        <f>A22+1</f>
        <v>2</v>
      </c>
      <c r="B23" s="572" t="s">
        <v>417</v>
      </c>
      <c r="C23" s="593">
        <f>'PL53'!C26</f>
        <v>19639</v>
      </c>
      <c r="D23" s="593">
        <f>'PL53'!F26</f>
        <v>17170.165165000002</v>
      </c>
      <c r="E23" s="787">
        <f t="shared" si="0"/>
        <v>87.428917791129905</v>
      </c>
    </row>
    <row r="24" spans="1:5" s="46" customFormat="1" ht="18.75">
      <c r="A24" s="561" t="s">
        <v>34</v>
      </c>
      <c r="B24" s="571" t="s">
        <v>414</v>
      </c>
      <c r="C24" s="590">
        <f>'PL53'!C27</f>
        <v>800</v>
      </c>
      <c r="D24" s="590">
        <f>'PL53'!F27</f>
        <v>0</v>
      </c>
      <c r="E24" s="786" t="str">
        <f t="shared" si="0"/>
        <v/>
      </c>
    </row>
    <row r="25" spans="1:5" s="46" customFormat="1" ht="18.75">
      <c r="A25" s="561" t="s">
        <v>35</v>
      </c>
      <c r="B25" s="571" t="s">
        <v>289</v>
      </c>
      <c r="C25" s="590">
        <f>'PL53'!C28</f>
        <v>1000</v>
      </c>
      <c r="D25" s="590">
        <f>'PL53'!F28</f>
        <v>1000</v>
      </c>
      <c r="E25" s="786">
        <f t="shared" si="0"/>
        <v>100</v>
      </c>
    </row>
    <row r="26" spans="1:5" s="46" customFormat="1" ht="18.75">
      <c r="A26" s="561" t="s">
        <v>36</v>
      </c>
      <c r="B26" s="571" t="s">
        <v>44</v>
      </c>
      <c r="C26" s="590">
        <f>'PL53'!C29</f>
        <v>139350</v>
      </c>
      <c r="D26" s="590">
        <f>'PL53'!F29</f>
        <v>60217.019266000003</v>
      </c>
      <c r="E26" s="786">
        <f t="shared" si="0"/>
        <v>43.212787417294585</v>
      </c>
    </row>
    <row r="27" spans="1:5" s="46" customFormat="1" ht="18.75">
      <c r="A27" s="561" t="s">
        <v>61</v>
      </c>
      <c r="B27" s="571" t="s">
        <v>160</v>
      </c>
      <c r="C27" s="590">
        <f>'PL53'!C30</f>
        <v>34050</v>
      </c>
      <c r="D27" s="590">
        <f>'PL53'!F30</f>
        <v>0</v>
      </c>
      <c r="E27" s="786" t="str">
        <f t="shared" si="0"/>
        <v/>
      </c>
    </row>
    <row r="28" spans="1:5" s="46" customFormat="1" ht="18.75">
      <c r="A28" s="561" t="s">
        <v>16</v>
      </c>
      <c r="B28" s="609" t="s">
        <v>330</v>
      </c>
      <c r="C28" s="590">
        <f>C29+C32</f>
        <v>1867810</v>
      </c>
      <c r="D28" s="590">
        <f>D29+D32</f>
        <v>866878.16735100001</v>
      </c>
      <c r="E28" s="786">
        <f t="shared" si="0"/>
        <v>46.411474794063643</v>
      </c>
    </row>
    <row r="29" spans="1:5" s="46" customFormat="1" ht="18.75">
      <c r="A29" s="561" t="s">
        <v>32</v>
      </c>
      <c r="B29" s="571" t="s">
        <v>302</v>
      </c>
      <c r="C29" s="590">
        <f>C30+C31</f>
        <v>230446</v>
      </c>
      <c r="D29" s="590">
        <f>D30+D31</f>
        <v>211879.94293600001</v>
      </c>
      <c r="E29" s="786">
        <f t="shared" si="0"/>
        <v>91.943424028188815</v>
      </c>
    </row>
    <row r="30" spans="1:5" s="46" customFormat="1" ht="18.75">
      <c r="A30" s="565">
        <v>1</v>
      </c>
      <c r="B30" s="566" t="s">
        <v>477</v>
      </c>
      <c r="C30" s="591">
        <f>'PL53'!C33</f>
        <v>183200</v>
      </c>
      <c r="D30" s="591">
        <f>'PL53'!F33</f>
        <v>172220.237199</v>
      </c>
      <c r="E30" s="787">
        <f t="shared" si="0"/>
        <v>94.006679693777286</v>
      </c>
    </row>
    <row r="31" spans="1:5" s="46" customFormat="1" ht="18.75">
      <c r="A31" s="565">
        <v>2</v>
      </c>
      <c r="B31" s="566" t="s">
        <v>478</v>
      </c>
      <c r="C31" s="591">
        <f>'PL53'!C34</f>
        <v>47246</v>
      </c>
      <c r="D31" s="591">
        <f>'PL53'!F34</f>
        <v>39659.705736999997</v>
      </c>
      <c r="E31" s="787">
        <f t="shared" si="0"/>
        <v>83.942991442661807</v>
      </c>
    </row>
    <row r="32" spans="1:5" s="46" customFormat="1" ht="18.75">
      <c r="A32" s="561" t="s">
        <v>33</v>
      </c>
      <c r="B32" s="571" t="s">
        <v>303</v>
      </c>
      <c r="C32" s="590">
        <f>C33+C34</f>
        <v>1637364</v>
      </c>
      <c r="D32" s="590">
        <f>D33+D34</f>
        <v>654998.22441499995</v>
      </c>
      <c r="E32" s="786">
        <f t="shared" si="0"/>
        <v>40.003213971664209</v>
      </c>
    </row>
    <row r="33" spans="1:5" s="46" customFormat="1" ht="18.75">
      <c r="A33" s="603">
        <v>1</v>
      </c>
      <c r="B33" s="604" t="s">
        <v>479</v>
      </c>
      <c r="C33" s="591">
        <f>'PL53'!C36</f>
        <v>1304081</v>
      </c>
      <c r="D33" s="591">
        <f>'PL53'!F36</f>
        <v>428678.14723099995</v>
      </c>
      <c r="E33" s="787">
        <f t="shared" si="0"/>
        <v>32.872049146563747</v>
      </c>
    </row>
    <row r="34" spans="1:5" s="46" customFormat="1" ht="18.75">
      <c r="A34" s="603">
        <v>2</v>
      </c>
      <c r="B34" s="604" t="s">
        <v>480</v>
      </c>
      <c r="C34" s="591">
        <f>C35+SUM(C39:C57)</f>
        <v>333283</v>
      </c>
      <c r="D34" s="591">
        <f>'PL53'!F37</f>
        <v>226320.07718399999</v>
      </c>
      <c r="E34" s="787">
        <f t="shared" si="0"/>
        <v>67.906277003027455</v>
      </c>
    </row>
    <row r="35" spans="1:5" s="46" customFormat="1" ht="18.75">
      <c r="A35" s="603" t="s">
        <v>481</v>
      </c>
      <c r="B35" s="604" t="s">
        <v>39</v>
      </c>
      <c r="C35" s="591">
        <f>'PL53'!C38</f>
        <v>21500</v>
      </c>
      <c r="D35" s="591">
        <f>'PL53'!F38</f>
        <v>13236.211979</v>
      </c>
      <c r="E35" s="787">
        <f t="shared" si="0"/>
        <v>61.563776646511627</v>
      </c>
    </row>
    <row r="36" spans="1:5" s="46" customFormat="1" ht="18.75">
      <c r="A36" s="605" t="s">
        <v>472</v>
      </c>
      <c r="B36" s="606" t="s">
        <v>482</v>
      </c>
      <c r="C36" s="593">
        <f>'PL53'!C39</f>
        <v>10000</v>
      </c>
      <c r="D36" s="593">
        <f>'PL53'!F39</f>
        <v>4171.7251900000001</v>
      </c>
      <c r="E36" s="788">
        <f t="shared" si="0"/>
        <v>41.717251900000001</v>
      </c>
    </row>
    <row r="37" spans="1:5" s="46" customFormat="1" ht="18.75">
      <c r="A37" s="605" t="s">
        <v>472</v>
      </c>
      <c r="B37" s="606" t="s">
        <v>483</v>
      </c>
      <c r="C37" s="593">
        <f>'PL53'!C40</f>
        <v>9800</v>
      </c>
      <c r="D37" s="593">
        <f>'PL53'!F40</f>
        <v>9064.4867890000005</v>
      </c>
      <c r="E37" s="788">
        <f t="shared" si="0"/>
        <v>92.494763153061228</v>
      </c>
    </row>
    <row r="38" spans="1:5" s="46" customFormat="1" ht="18.75">
      <c r="A38" s="605" t="s">
        <v>472</v>
      </c>
      <c r="B38" s="606" t="s">
        <v>484</v>
      </c>
      <c r="C38" s="593">
        <f>'PL53'!C41</f>
        <v>1700</v>
      </c>
      <c r="D38" s="593">
        <f>'PL53'!F41</f>
        <v>0</v>
      </c>
      <c r="E38" s="788" t="str">
        <f t="shared" si="0"/>
        <v/>
      </c>
    </row>
    <row r="39" spans="1:5" s="46" customFormat="1" ht="18.75">
      <c r="A39" s="603" t="s">
        <v>485</v>
      </c>
      <c r="B39" s="604" t="s">
        <v>486</v>
      </c>
      <c r="C39" s="591">
        <f>'PL53'!C42</f>
        <v>295</v>
      </c>
      <c r="D39" s="591">
        <f>'PL53'!F42</f>
        <v>278.58100000000002</v>
      </c>
      <c r="E39" s="787">
        <f t="shared" si="0"/>
        <v>94.434237288135591</v>
      </c>
    </row>
    <row r="40" spans="1:5" s="46" customFormat="1" ht="37.5">
      <c r="A40" s="603" t="s">
        <v>487</v>
      </c>
      <c r="B40" s="633" t="s">
        <v>593</v>
      </c>
      <c r="C40" s="591">
        <f>'PL53'!C43</f>
        <v>615</v>
      </c>
      <c r="D40" s="591">
        <f>'PL53'!F43</f>
        <v>615</v>
      </c>
      <c r="E40" s="787">
        <f t="shared" ref="E40:E58" si="1">IF(AND(D40&lt;&gt;0,C40&lt;&gt;0),D40/C40%,"")</f>
        <v>100</v>
      </c>
    </row>
    <row r="41" spans="1:5" s="46" customFormat="1" ht="18.75">
      <c r="A41" s="603" t="s">
        <v>488</v>
      </c>
      <c r="B41" s="604" t="s">
        <v>489</v>
      </c>
      <c r="C41" s="591">
        <f>'PL53'!C44</f>
        <v>29515</v>
      </c>
      <c r="D41" s="591">
        <f>'PL53'!F44</f>
        <v>20020.645</v>
      </c>
      <c r="E41" s="787">
        <f t="shared" si="1"/>
        <v>67.832102320853807</v>
      </c>
    </row>
    <row r="42" spans="1:5" s="46" customFormat="1" ht="18.75">
      <c r="A42" s="603" t="s">
        <v>490</v>
      </c>
      <c r="B42" s="604" t="s">
        <v>491</v>
      </c>
      <c r="C42" s="591">
        <f>'PL53'!C45</f>
        <v>10698</v>
      </c>
      <c r="D42" s="591">
        <f>'PL53'!F45</f>
        <v>637.54999999999995</v>
      </c>
      <c r="E42" s="787">
        <f t="shared" si="1"/>
        <v>5.9595251448868938</v>
      </c>
    </row>
    <row r="43" spans="1:5" s="46" customFormat="1" ht="37.5">
      <c r="A43" s="603" t="s">
        <v>492</v>
      </c>
      <c r="B43" s="604" t="s">
        <v>493</v>
      </c>
      <c r="C43" s="591">
        <f>'PL53'!C46</f>
        <v>242</v>
      </c>
      <c r="D43" s="591">
        <f>'PL53'!F46</f>
        <v>0</v>
      </c>
      <c r="E43" s="787" t="str">
        <f t="shared" si="1"/>
        <v/>
      </c>
    </row>
    <row r="44" spans="1:5" s="46" customFormat="1" ht="18.75">
      <c r="A44" s="603" t="s">
        <v>494</v>
      </c>
      <c r="B44" s="604" t="s">
        <v>495</v>
      </c>
      <c r="C44" s="591">
        <f>'PL53'!C47</f>
        <v>1340</v>
      </c>
      <c r="D44" s="591">
        <f>'PL53'!F47</f>
        <v>1000.9</v>
      </c>
      <c r="E44" s="787">
        <f t="shared" si="1"/>
        <v>74.694029850746261</v>
      </c>
    </row>
    <row r="45" spans="1:5" s="46" customFormat="1" ht="37.5">
      <c r="A45" s="603" t="s">
        <v>496</v>
      </c>
      <c r="B45" s="604" t="s">
        <v>497</v>
      </c>
      <c r="C45" s="591">
        <f>'PL53'!C48</f>
        <v>89925</v>
      </c>
      <c r="D45" s="591">
        <f>'PL53'!F48</f>
        <v>96859.26</v>
      </c>
      <c r="E45" s="787">
        <f t="shared" si="1"/>
        <v>107.71115929941618</v>
      </c>
    </row>
    <row r="46" spans="1:5" s="46" customFormat="1" ht="18.75">
      <c r="A46" s="603" t="s">
        <v>498</v>
      </c>
      <c r="B46" s="604" t="s">
        <v>499</v>
      </c>
      <c r="C46" s="591">
        <f>'PL53'!C49</f>
        <v>9126</v>
      </c>
      <c r="D46" s="591">
        <f>'PL53'!F49</f>
        <v>6998.6386650000004</v>
      </c>
      <c r="E46" s="787">
        <f t="shared" si="1"/>
        <v>76.689005752794216</v>
      </c>
    </row>
    <row r="47" spans="1:5" s="46" customFormat="1" ht="56.25">
      <c r="A47" s="603" t="s">
        <v>500</v>
      </c>
      <c r="B47" s="604" t="s">
        <v>501</v>
      </c>
      <c r="C47" s="591">
        <f>'PL53'!C50</f>
        <v>22222</v>
      </c>
      <c r="D47" s="591">
        <f>'PL53'!F50</f>
        <v>23271.102674999998</v>
      </c>
      <c r="E47" s="787">
        <f t="shared" si="1"/>
        <v>104.72100924759246</v>
      </c>
    </row>
    <row r="48" spans="1:5" s="46" customFormat="1" ht="75">
      <c r="A48" s="603" t="s">
        <v>502</v>
      </c>
      <c r="B48" s="604" t="s">
        <v>503</v>
      </c>
      <c r="C48" s="591">
        <f>'PL53'!C51</f>
        <v>100674</v>
      </c>
      <c r="D48" s="591">
        <f>'PL53'!F51</f>
        <v>16597.491000000002</v>
      </c>
      <c r="E48" s="787">
        <f t="shared" si="1"/>
        <v>16.486372847011147</v>
      </c>
    </row>
    <row r="49" spans="1:5" s="46" customFormat="1" ht="18.75">
      <c r="A49" s="603" t="s">
        <v>504</v>
      </c>
      <c r="B49" s="604" t="s">
        <v>505</v>
      </c>
      <c r="C49" s="591">
        <f>'PL53'!C52</f>
        <v>26088</v>
      </c>
      <c r="D49" s="591">
        <f>'PL53'!F52</f>
        <v>26088</v>
      </c>
      <c r="E49" s="787">
        <f t="shared" si="1"/>
        <v>100</v>
      </c>
    </row>
    <row r="50" spans="1:5" s="46" customFormat="1" ht="37.5">
      <c r="A50" s="603" t="s">
        <v>506</v>
      </c>
      <c r="B50" s="604" t="s">
        <v>507</v>
      </c>
      <c r="C50" s="591">
        <f>'PL53'!C53</f>
        <v>500</v>
      </c>
      <c r="D50" s="591">
        <f>'PL53'!F53</f>
        <v>1300</v>
      </c>
      <c r="E50" s="787">
        <f t="shared" si="1"/>
        <v>260</v>
      </c>
    </row>
    <row r="51" spans="1:5" s="46" customFormat="1" ht="18.75">
      <c r="A51" s="603" t="s">
        <v>508</v>
      </c>
      <c r="B51" s="604" t="s">
        <v>509</v>
      </c>
      <c r="C51" s="591">
        <f>'PL53'!C54</f>
        <v>5635</v>
      </c>
      <c r="D51" s="591">
        <f>'PL53'!F54</f>
        <v>5544.5959999999995</v>
      </c>
      <c r="E51" s="787">
        <f t="shared" si="1"/>
        <v>98.395669920141955</v>
      </c>
    </row>
    <row r="52" spans="1:5" s="46" customFormat="1" ht="18.75">
      <c r="A52" s="607" t="s">
        <v>510</v>
      </c>
      <c r="B52" s="608" t="s">
        <v>511</v>
      </c>
      <c r="C52" s="591">
        <f>'PL53'!C55</f>
        <v>1682</v>
      </c>
      <c r="D52" s="591">
        <f>'PL53'!F55</f>
        <v>1573.4900990000001</v>
      </c>
      <c r="E52" s="787">
        <f t="shared" si="1"/>
        <v>93.548757372175984</v>
      </c>
    </row>
    <row r="53" spans="1:5" s="46" customFormat="1" ht="18.75">
      <c r="A53" s="607" t="s">
        <v>512</v>
      </c>
      <c r="B53" s="608" t="s">
        <v>513</v>
      </c>
      <c r="C53" s="591">
        <f>'PL53'!C56</f>
        <v>7916</v>
      </c>
      <c r="D53" s="591">
        <f>'PL53'!F56</f>
        <v>6488.4888920000003</v>
      </c>
      <c r="E53" s="787">
        <f t="shared" si="1"/>
        <v>81.966762152602328</v>
      </c>
    </row>
    <row r="54" spans="1:5" s="46" customFormat="1" ht="37.5">
      <c r="A54" s="607" t="s">
        <v>514</v>
      </c>
      <c r="B54" s="608" t="s">
        <v>515</v>
      </c>
      <c r="C54" s="591">
        <f>'PL53'!C57</f>
        <v>1760</v>
      </c>
      <c r="D54" s="591">
        <f>'PL53'!F57</f>
        <v>4510.152274</v>
      </c>
      <c r="E54" s="787">
        <f t="shared" si="1"/>
        <v>256.25865193181818</v>
      </c>
    </row>
    <row r="55" spans="1:5" s="46" customFormat="1" ht="18.75">
      <c r="A55" s="607" t="s">
        <v>516</v>
      </c>
      <c r="B55" s="608" t="s">
        <v>517</v>
      </c>
      <c r="C55" s="591">
        <f>'PL53'!C58</f>
        <v>500</v>
      </c>
      <c r="D55" s="591">
        <f>'PL53'!F58</f>
        <v>300</v>
      </c>
      <c r="E55" s="787">
        <f t="shared" si="1"/>
        <v>60</v>
      </c>
    </row>
    <row r="56" spans="1:5" s="46" customFormat="1" ht="18.75">
      <c r="A56" s="607" t="s">
        <v>518</v>
      </c>
      <c r="B56" s="608" t="s">
        <v>519</v>
      </c>
      <c r="C56" s="591">
        <f>'PL53'!C59</f>
        <v>1550</v>
      </c>
      <c r="D56" s="591">
        <f>'PL53'!F59</f>
        <v>427.64960000000002</v>
      </c>
      <c r="E56" s="787">
        <f t="shared" si="1"/>
        <v>27.590296774193551</v>
      </c>
    </row>
    <row r="57" spans="1:5" s="46" customFormat="1" ht="37.5">
      <c r="A57" s="607" t="s">
        <v>520</v>
      </c>
      <c r="B57" s="608" t="s">
        <v>521</v>
      </c>
      <c r="C57" s="591">
        <f>'PL53'!C60</f>
        <v>1500</v>
      </c>
      <c r="D57" s="591">
        <f>'PL53'!F60</f>
        <v>572.32000000000005</v>
      </c>
      <c r="E57" s="787">
        <f t="shared" si="1"/>
        <v>38.154666666666671</v>
      </c>
    </row>
    <row r="58" spans="1:5" s="46" customFormat="1" ht="18.75">
      <c r="A58" s="610" t="s">
        <v>37</v>
      </c>
      <c r="B58" s="611" t="s">
        <v>208</v>
      </c>
      <c r="C58" s="596">
        <f>'PL53'!C61</f>
        <v>0</v>
      </c>
      <c r="D58" s="596">
        <f>'PL53'!F61</f>
        <v>3390006.465911</v>
      </c>
      <c r="E58" s="789" t="str">
        <f t="shared" si="1"/>
        <v/>
      </c>
    </row>
  </sheetData>
  <mergeCells count="5">
    <mergeCell ref="D5:E5"/>
    <mergeCell ref="A3:E3"/>
    <mergeCell ref="A4:E4"/>
    <mergeCell ref="A1:E1"/>
    <mergeCell ref="A2:E2"/>
  </mergeCells>
  <printOptions horizontalCentered="1"/>
  <pageMargins left="0.31" right="0.35" top="0.59" bottom="0.56000000000000005" header="0.41" footer="0.24"/>
  <pageSetup paperSize="9" scale="73" fitToHeight="5" orientation="portrait" r:id="rId1"/>
  <headerFooter alignWithMargins="0">
    <oddHeader>&amp;C&amp;"Times New Roman,Regular"</oddHeader>
    <oddFooter>&amp;C&amp;".VnTime,Italic"&amp;8</oddFooter>
  </headerFooter>
</worksheet>
</file>

<file path=xl/worksheets/sheet14.xml><?xml version="1.0" encoding="utf-8"?>
<worksheet xmlns="http://schemas.openxmlformats.org/spreadsheetml/2006/main" xmlns:r="http://schemas.openxmlformats.org/officeDocument/2006/relationships">
  <sheetPr>
    <tabColor rgb="FF00B0F0"/>
    <pageSetUpPr fitToPage="1"/>
  </sheetPr>
  <dimension ref="A1:H51"/>
  <sheetViews>
    <sheetView zoomScale="70" zoomScaleNormal="70" workbookViewId="0">
      <selection activeCell="A4" sqref="A4:BA4"/>
    </sheetView>
  </sheetViews>
  <sheetFormatPr defaultColWidth="9" defaultRowHeight="15.75"/>
  <cols>
    <col min="1" max="1" width="6.25" style="4" customWidth="1"/>
    <col min="2" max="2" width="72.125" style="4" customWidth="1"/>
    <col min="3" max="3" width="13.375" style="4" customWidth="1"/>
    <col min="4" max="4" width="14.375" style="4" customWidth="1"/>
    <col min="5" max="5" width="12.375" style="83" customWidth="1"/>
    <col min="6" max="6" width="11.625" style="83" customWidth="1"/>
    <col min="7" max="7" width="9" style="4"/>
    <col min="8" max="8" width="17.25" style="4" hidden="1" customWidth="1"/>
    <col min="9" max="16384" width="9" style="4"/>
  </cols>
  <sheetData>
    <row r="1" spans="1:8" ht="19.5">
      <c r="A1" s="930" t="s">
        <v>669</v>
      </c>
      <c r="B1" s="930"/>
      <c r="C1" s="930"/>
      <c r="D1" s="930"/>
      <c r="E1" s="930"/>
      <c r="F1" s="930"/>
    </row>
    <row r="2" spans="1:8" ht="19.5">
      <c r="A2" s="931" t="s">
        <v>677</v>
      </c>
      <c r="B2" s="931"/>
      <c r="C2" s="931"/>
      <c r="D2" s="931"/>
      <c r="E2" s="931"/>
      <c r="F2" s="931"/>
    </row>
    <row r="3" spans="1:8" ht="21" customHeight="1">
      <c r="A3" s="950" t="s">
        <v>522</v>
      </c>
      <c r="B3" s="950"/>
      <c r="C3" s="950"/>
      <c r="D3" s="950"/>
      <c r="E3" s="950"/>
      <c r="F3" s="950"/>
    </row>
    <row r="4" spans="1:8" ht="21" customHeight="1">
      <c r="A4" s="931" t="s">
        <v>682</v>
      </c>
      <c r="B4" s="951"/>
      <c r="C4" s="951"/>
      <c r="D4" s="951"/>
      <c r="E4" s="951"/>
      <c r="F4" s="951"/>
    </row>
    <row r="5" spans="1:8" ht="8.25" hidden="1" customHeight="1">
      <c r="A5" s="7"/>
      <c r="B5" s="7"/>
      <c r="C5" s="2"/>
      <c r="D5" s="2"/>
    </row>
    <row r="6" spans="1:8" ht="19.5" customHeight="1" thickBot="1">
      <c r="A6" s="615"/>
      <c r="B6" s="615"/>
      <c r="C6" s="616"/>
      <c r="D6" s="952" t="s">
        <v>187</v>
      </c>
      <c r="E6" s="952"/>
      <c r="F6" s="952"/>
    </row>
    <row r="7" spans="1:8" s="10" customFormat="1" ht="23.25" customHeight="1">
      <c r="A7" s="894" t="s">
        <v>110</v>
      </c>
      <c r="B7" s="812" t="s">
        <v>11</v>
      </c>
      <c r="C7" s="812" t="s">
        <v>12</v>
      </c>
      <c r="D7" s="812" t="s">
        <v>109</v>
      </c>
      <c r="E7" s="953" t="s">
        <v>111</v>
      </c>
      <c r="F7" s="954"/>
    </row>
    <row r="8" spans="1:8" s="10" customFormat="1" ht="37.5">
      <c r="A8" s="896"/>
      <c r="B8" s="814"/>
      <c r="C8" s="813"/>
      <c r="D8" s="813"/>
      <c r="E8" s="613" t="s">
        <v>196</v>
      </c>
      <c r="F8" s="614" t="s">
        <v>455</v>
      </c>
    </row>
    <row r="9" spans="1:8" s="36" customFormat="1" ht="17.25" customHeight="1">
      <c r="A9" s="33" t="s">
        <v>15</v>
      </c>
      <c r="B9" s="66" t="s">
        <v>16</v>
      </c>
      <c r="C9" s="34">
        <v>1</v>
      </c>
      <c r="D9" s="34">
        <f>C9+1</f>
        <v>2</v>
      </c>
      <c r="E9" s="92" t="s">
        <v>198</v>
      </c>
      <c r="F9" s="93" t="s">
        <v>199</v>
      </c>
    </row>
    <row r="10" spans="1:8" s="9" customFormat="1" ht="19.5" customHeight="1">
      <c r="A10" s="617"/>
      <c r="B10" s="618" t="s">
        <v>261</v>
      </c>
      <c r="C10" s="573">
        <f>C11+C12+C48</f>
        <v>6233297</v>
      </c>
      <c r="D10" s="677">
        <f>D11+D12+D48</f>
        <v>10268362.162645999</v>
      </c>
      <c r="E10" s="573">
        <f>E11+E12+E48</f>
        <v>4035065.1626460003</v>
      </c>
      <c r="F10" s="790">
        <f t="shared" ref="F10:F18" si="0">IF(AND(D10&lt;&gt;0,C10&lt;&gt;0),D10/C10%,"")</f>
        <v>164.7340430376733</v>
      </c>
      <c r="H10" s="680">
        <f>D10+47500</f>
        <v>10315862.162645999</v>
      </c>
    </row>
    <row r="11" spans="1:8" s="9" customFormat="1" ht="19.5" customHeight="1">
      <c r="A11" s="619" t="s">
        <v>15</v>
      </c>
      <c r="B11" s="620" t="s">
        <v>523</v>
      </c>
      <c r="C11" s="574">
        <v>3036472</v>
      </c>
      <c r="D11" s="678">
        <v>3326248.9021000001</v>
      </c>
      <c r="E11" s="628">
        <f>D11-C11</f>
        <v>289776.90210000006</v>
      </c>
      <c r="F11" s="791">
        <f t="shared" si="0"/>
        <v>109.54321008393951</v>
      </c>
    </row>
    <row r="12" spans="1:8" s="9" customFormat="1" ht="19.5" customHeight="1">
      <c r="A12" s="619" t="s">
        <v>16</v>
      </c>
      <c r="B12" s="620" t="s">
        <v>322</v>
      </c>
      <c r="C12" s="574">
        <f>C13+C30+C44+C45+C46+C47</f>
        <v>3196825</v>
      </c>
      <c r="D12" s="678">
        <f>D13+D30+D44+D45+D46+D47</f>
        <v>3939238.4849279998</v>
      </c>
      <c r="E12" s="574">
        <f>E13+E30+E44+E45+E46+E47</f>
        <v>742413.48492800025</v>
      </c>
      <c r="F12" s="791">
        <f t="shared" si="0"/>
        <v>123.22346343412605</v>
      </c>
    </row>
    <row r="13" spans="1:8" s="9" customFormat="1" ht="19.5" customHeight="1">
      <c r="A13" s="619" t="s">
        <v>32</v>
      </c>
      <c r="B13" s="620" t="s">
        <v>38</v>
      </c>
      <c r="C13" s="574">
        <f>C14+C28+C29</f>
        <v>1514977</v>
      </c>
      <c r="D13" s="678">
        <f>D14+D28+D29</f>
        <v>2024064.735531</v>
      </c>
      <c r="E13" s="574">
        <f>E14+E28+E29</f>
        <v>509087.73553100019</v>
      </c>
      <c r="F13" s="791">
        <f t="shared" si="0"/>
        <v>133.60366101472167</v>
      </c>
    </row>
    <row r="14" spans="1:8" s="19" customFormat="1" ht="19.5" customHeight="1">
      <c r="A14" s="621">
        <v>1</v>
      </c>
      <c r="B14" s="622" t="s">
        <v>159</v>
      </c>
      <c r="C14" s="575">
        <f>SUM(C15:C27)</f>
        <v>1507777</v>
      </c>
      <c r="D14" s="679">
        <f>SUM(D15:D27)</f>
        <v>2024064.735531</v>
      </c>
      <c r="E14" s="575">
        <f>SUM(E15:E27)</f>
        <v>516287.73553100019</v>
      </c>
      <c r="F14" s="792">
        <f t="shared" si="0"/>
        <v>134.24165082309918</v>
      </c>
    </row>
    <row r="15" spans="1:8" s="19" customFormat="1" ht="19.5" customHeight="1">
      <c r="A15" s="623" t="s">
        <v>24</v>
      </c>
      <c r="B15" s="622" t="s">
        <v>385</v>
      </c>
      <c r="C15" s="575">
        <v>426703</v>
      </c>
      <c r="D15" s="679">
        <v>447822.04386500001</v>
      </c>
      <c r="E15" s="629">
        <f>D15-C15</f>
        <v>21119.043865000014</v>
      </c>
      <c r="F15" s="792">
        <f t="shared" si="0"/>
        <v>104.94935443739557</v>
      </c>
    </row>
    <row r="16" spans="1:8" s="19" customFormat="1" ht="19.5" customHeight="1">
      <c r="A16" s="623" t="s">
        <v>24</v>
      </c>
      <c r="B16" s="622" t="s">
        <v>183</v>
      </c>
      <c r="C16" s="575">
        <v>10000</v>
      </c>
      <c r="D16" s="679">
        <v>277.34321599999998</v>
      </c>
      <c r="E16" s="629">
        <f t="shared" ref="E16:E48" si="1">D16-C16</f>
        <v>-9722.6567840000007</v>
      </c>
      <c r="F16" s="792">
        <f t="shared" si="0"/>
        <v>2.77343216</v>
      </c>
    </row>
    <row r="17" spans="1:6" s="19" customFormat="1" ht="19.5" customHeight="1">
      <c r="A17" s="623" t="s">
        <v>24</v>
      </c>
      <c r="B17" s="624" t="s">
        <v>331</v>
      </c>
      <c r="C17" s="575">
        <v>14700</v>
      </c>
      <c r="D17" s="679">
        <v>122617.003148</v>
      </c>
      <c r="E17" s="629">
        <f t="shared" si="1"/>
        <v>107917.003148</v>
      </c>
      <c r="F17" s="792">
        <f t="shared" si="0"/>
        <v>834.12927311564624</v>
      </c>
    </row>
    <row r="18" spans="1:6" s="19" customFormat="1" ht="19.5" customHeight="1">
      <c r="A18" s="623" t="s">
        <v>24</v>
      </c>
      <c r="B18" s="624" t="s">
        <v>332</v>
      </c>
      <c r="C18" s="575">
        <v>0</v>
      </c>
      <c r="D18" s="679">
        <v>6471.316793</v>
      </c>
      <c r="E18" s="629">
        <f t="shared" si="1"/>
        <v>6471.316793</v>
      </c>
      <c r="F18" s="792" t="str">
        <f t="shared" si="0"/>
        <v/>
      </c>
    </row>
    <row r="19" spans="1:6" s="19" customFormat="1" ht="19.5" customHeight="1">
      <c r="A19" s="623" t="s">
        <v>24</v>
      </c>
      <c r="B19" s="624" t="s">
        <v>333</v>
      </c>
      <c r="C19" s="575">
        <v>193400</v>
      </c>
      <c r="D19" s="679">
        <v>249644.12458100001</v>
      </c>
      <c r="E19" s="629">
        <f t="shared" si="1"/>
        <v>56244.124581000011</v>
      </c>
      <c r="F19" s="792">
        <f t="shared" ref="F19:F29" si="2">IF(AND(D19&lt;&gt;0,C19&lt;&gt;0),D19/C19%,"")</f>
        <v>129.08176038314375</v>
      </c>
    </row>
    <row r="20" spans="1:6" s="19" customFormat="1" ht="19.5" customHeight="1">
      <c r="A20" s="623" t="s">
        <v>24</v>
      </c>
      <c r="B20" s="624" t="s">
        <v>334</v>
      </c>
      <c r="C20" s="575">
        <v>49669</v>
      </c>
      <c r="D20" s="679">
        <v>55678.403556999998</v>
      </c>
      <c r="E20" s="629">
        <f t="shared" si="1"/>
        <v>6009.4035569999978</v>
      </c>
      <c r="F20" s="792">
        <f t="shared" si="2"/>
        <v>112.09890184420865</v>
      </c>
    </row>
    <row r="21" spans="1:6" s="19" customFormat="1" ht="19.5" customHeight="1">
      <c r="A21" s="623" t="s">
        <v>24</v>
      </c>
      <c r="B21" s="624" t="s">
        <v>335</v>
      </c>
      <c r="C21" s="575">
        <v>4000</v>
      </c>
      <c r="D21" s="679">
        <v>68.615748999999994</v>
      </c>
      <c r="E21" s="629">
        <f t="shared" si="1"/>
        <v>-3931.3842509999999</v>
      </c>
      <c r="F21" s="792">
        <f t="shared" si="2"/>
        <v>1.7153937249999998</v>
      </c>
    </row>
    <row r="22" spans="1:6" s="19" customFormat="1" ht="19.5" customHeight="1">
      <c r="A22" s="623" t="s">
        <v>24</v>
      </c>
      <c r="B22" s="624" t="s">
        <v>336</v>
      </c>
      <c r="C22" s="575">
        <v>0</v>
      </c>
      <c r="D22" s="679">
        <v>54</v>
      </c>
      <c r="E22" s="629">
        <f t="shared" si="1"/>
        <v>54</v>
      </c>
      <c r="F22" s="792" t="str">
        <f t="shared" si="2"/>
        <v/>
      </c>
    </row>
    <row r="23" spans="1:6" s="19" customFormat="1" ht="19.5" customHeight="1">
      <c r="A23" s="623" t="s">
        <v>24</v>
      </c>
      <c r="B23" s="624" t="s">
        <v>337</v>
      </c>
      <c r="C23" s="575">
        <v>0</v>
      </c>
      <c r="D23" s="679">
        <v>3560.4125570000001</v>
      </c>
      <c r="E23" s="629">
        <f t="shared" si="1"/>
        <v>3560.4125570000001</v>
      </c>
      <c r="F23" s="792" t="str">
        <f t="shared" si="2"/>
        <v/>
      </c>
    </row>
    <row r="24" spans="1:6" s="9" customFormat="1" ht="19.5" customHeight="1">
      <c r="A24" s="623" t="s">
        <v>24</v>
      </c>
      <c r="B24" s="624" t="s">
        <v>338</v>
      </c>
      <c r="C24" s="575">
        <v>213813</v>
      </c>
      <c r="D24" s="679">
        <v>906570.15576800006</v>
      </c>
      <c r="E24" s="629">
        <f t="shared" si="1"/>
        <v>692757.15576800006</v>
      </c>
      <c r="F24" s="792">
        <f t="shared" si="2"/>
        <v>424.00141982386481</v>
      </c>
    </row>
    <row r="25" spans="1:6" s="19" customFormat="1" ht="19.5" customHeight="1">
      <c r="A25" s="623" t="s">
        <v>24</v>
      </c>
      <c r="B25" s="624" t="s">
        <v>339</v>
      </c>
      <c r="C25" s="575">
        <v>91200</v>
      </c>
      <c r="D25" s="679">
        <v>191655.987502</v>
      </c>
      <c r="E25" s="629">
        <f t="shared" si="1"/>
        <v>100455.987502</v>
      </c>
      <c r="F25" s="792">
        <f t="shared" si="2"/>
        <v>210.14910910307017</v>
      </c>
    </row>
    <row r="26" spans="1:6" s="9" customFormat="1" ht="19.5" customHeight="1">
      <c r="A26" s="623" t="s">
        <v>24</v>
      </c>
      <c r="B26" s="624" t="s">
        <v>340</v>
      </c>
      <c r="C26" s="575">
        <v>20200</v>
      </c>
      <c r="D26" s="679">
        <v>39645.328795000001</v>
      </c>
      <c r="E26" s="629">
        <f t="shared" si="1"/>
        <v>19445.328795000001</v>
      </c>
      <c r="F26" s="792">
        <f t="shared" si="2"/>
        <v>196.26400393564356</v>
      </c>
    </row>
    <row r="27" spans="1:6" s="9" customFormat="1" ht="19.5" customHeight="1">
      <c r="A27" s="623" t="s">
        <v>24</v>
      </c>
      <c r="B27" s="624" t="s">
        <v>341</v>
      </c>
      <c r="C27" s="575">
        <v>484092</v>
      </c>
      <c r="D27" s="679">
        <v>0</v>
      </c>
      <c r="E27" s="629">
        <f t="shared" si="1"/>
        <v>-484092</v>
      </c>
      <c r="F27" s="792" t="str">
        <f t="shared" si="2"/>
        <v/>
      </c>
    </row>
    <row r="28" spans="1:6" s="9" customFormat="1" ht="58.5" customHeight="1">
      <c r="A28" s="621">
        <v>2</v>
      </c>
      <c r="B28" s="625" t="s">
        <v>112</v>
      </c>
      <c r="C28" s="575">
        <v>2000</v>
      </c>
      <c r="D28" s="755">
        <v>0</v>
      </c>
      <c r="E28" s="629">
        <f t="shared" si="1"/>
        <v>-2000</v>
      </c>
      <c r="F28" s="792" t="str">
        <f t="shared" si="2"/>
        <v/>
      </c>
    </row>
    <row r="29" spans="1:6" s="9" customFormat="1" ht="19.5" customHeight="1">
      <c r="A29" s="623">
        <v>3</v>
      </c>
      <c r="B29" s="624" t="s">
        <v>400</v>
      </c>
      <c r="C29" s="575">
        <v>5200</v>
      </c>
      <c r="D29" s="679">
        <v>0</v>
      </c>
      <c r="E29" s="629">
        <f t="shared" si="1"/>
        <v>-5200</v>
      </c>
      <c r="F29" s="792" t="str">
        <f t="shared" si="2"/>
        <v/>
      </c>
    </row>
    <row r="30" spans="1:6" s="9" customFormat="1" ht="19.5" customHeight="1">
      <c r="A30" s="619" t="s">
        <v>33</v>
      </c>
      <c r="B30" s="620" t="s">
        <v>42</v>
      </c>
      <c r="C30" s="574">
        <f>SUM(C31:C43)</f>
        <v>1568611</v>
      </c>
      <c r="D30" s="678">
        <f>SUM(D31:D43)</f>
        <v>1914173.7493970001</v>
      </c>
      <c r="E30" s="574">
        <f>SUM(E31:E43)</f>
        <v>345562.74939700007</v>
      </c>
      <c r="F30" s="791">
        <f>IF(AND(D30&lt;&gt;0,C30&lt;&gt;0),D30/C30%,"")</f>
        <v>122.02985631217682</v>
      </c>
    </row>
    <row r="31" spans="1:6" s="19" customFormat="1" ht="19.5" customHeight="1">
      <c r="A31" s="623" t="s">
        <v>24</v>
      </c>
      <c r="B31" s="622" t="s">
        <v>385</v>
      </c>
      <c r="C31" s="575">
        <v>458119</v>
      </c>
      <c r="D31" s="679">
        <v>373509.16622900002</v>
      </c>
      <c r="E31" s="629">
        <f t="shared" si="1"/>
        <v>-84609.833770999976</v>
      </c>
      <c r="F31" s="792">
        <f t="shared" ref="F31:F48" si="3">IF(AND(D31&lt;&gt;0,C31&lt;&gt;0),D31/C31%,"")</f>
        <v>81.53103587255714</v>
      </c>
    </row>
    <row r="32" spans="1:6" s="19" customFormat="1" ht="19.5" customHeight="1">
      <c r="A32" s="623" t="s">
        <v>24</v>
      </c>
      <c r="B32" s="622" t="s">
        <v>183</v>
      </c>
      <c r="C32" s="575">
        <v>19639</v>
      </c>
      <c r="D32" s="679">
        <v>17015.212165000001</v>
      </c>
      <c r="E32" s="629">
        <f t="shared" si="1"/>
        <v>-2623.7878349999992</v>
      </c>
      <c r="F32" s="792">
        <f t="shared" si="3"/>
        <v>86.639911222567349</v>
      </c>
    </row>
    <row r="33" spans="1:6" s="19" customFormat="1" ht="19.5" customHeight="1">
      <c r="A33" s="623" t="s">
        <v>24</v>
      </c>
      <c r="B33" s="624" t="s">
        <v>331</v>
      </c>
      <c r="C33" s="575">
        <v>47631</v>
      </c>
      <c r="D33" s="679">
        <v>44656.77</v>
      </c>
      <c r="E33" s="629">
        <f t="shared" si="1"/>
        <v>-2974.2300000000032</v>
      </c>
      <c r="F33" s="792">
        <f t="shared" si="3"/>
        <v>93.75568432323486</v>
      </c>
    </row>
    <row r="34" spans="1:6" s="19" customFormat="1" ht="19.5" customHeight="1">
      <c r="A34" s="623" t="s">
        <v>24</v>
      </c>
      <c r="B34" s="624" t="s">
        <v>332</v>
      </c>
      <c r="C34" s="575">
        <v>21290</v>
      </c>
      <c r="D34" s="679">
        <v>31143.328674</v>
      </c>
      <c r="E34" s="629">
        <f t="shared" si="1"/>
        <v>9853.3286740000003</v>
      </c>
      <c r="F34" s="792">
        <f t="shared" si="3"/>
        <v>146.28148743071864</v>
      </c>
    </row>
    <row r="35" spans="1:6" s="19" customFormat="1" ht="19.5" customHeight="1">
      <c r="A35" s="623" t="s">
        <v>24</v>
      </c>
      <c r="B35" s="624" t="s">
        <v>333</v>
      </c>
      <c r="C35" s="575">
        <v>358668</v>
      </c>
      <c r="D35" s="679">
        <v>735127.49303000001</v>
      </c>
      <c r="E35" s="629">
        <f t="shared" si="1"/>
        <v>376459.49303000001</v>
      </c>
      <c r="F35" s="792">
        <f t="shared" si="3"/>
        <v>204.96043500674719</v>
      </c>
    </row>
    <row r="36" spans="1:6" s="19" customFormat="1" ht="19.5" customHeight="1">
      <c r="A36" s="623" t="s">
        <v>24</v>
      </c>
      <c r="B36" s="624" t="s">
        <v>334</v>
      </c>
      <c r="C36" s="575">
        <v>26608</v>
      </c>
      <c r="D36" s="679">
        <v>36049.601608999998</v>
      </c>
      <c r="E36" s="629">
        <f t="shared" si="1"/>
        <v>9441.6016089999976</v>
      </c>
      <c r="F36" s="792">
        <f t="shared" si="3"/>
        <v>135.48407098992783</v>
      </c>
    </row>
    <row r="37" spans="1:6" s="19" customFormat="1" ht="19.5" customHeight="1">
      <c r="A37" s="623" t="s">
        <v>24</v>
      </c>
      <c r="B37" s="624" t="s">
        <v>335</v>
      </c>
      <c r="C37" s="575">
        <v>1230</v>
      </c>
      <c r="D37" s="679">
        <v>2834.2044999999998</v>
      </c>
      <c r="E37" s="629">
        <f t="shared" si="1"/>
        <v>1604.2044999999998</v>
      </c>
      <c r="F37" s="792">
        <f t="shared" si="3"/>
        <v>230.4231300813008</v>
      </c>
    </row>
    <row r="38" spans="1:6" s="19" customFormat="1" ht="19.5" customHeight="1">
      <c r="A38" s="623" t="s">
        <v>24</v>
      </c>
      <c r="B38" s="624" t="s">
        <v>336</v>
      </c>
      <c r="C38" s="575">
        <v>13612</v>
      </c>
      <c r="D38" s="679">
        <v>13793.766974</v>
      </c>
      <c r="E38" s="629">
        <f t="shared" si="1"/>
        <v>181.76697400000012</v>
      </c>
      <c r="F38" s="792">
        <f t="shared" si="3"/>
        <v>101.33534362327357</v>
      </c>
    </row>
    <row r="39" spans="1:6" s="19" customFormat="1" ht="19.5" customHeight="1">
      <c r="A39" s="623" t="s">
        <v>24</v>
      </c>
      <c r="B39" s="624" t="s">
        <v>337</v>
      </c>
      <c r="C39" s="575">
        <v>26376</v>
      </c>
      <c r="D39" s="679">
        <v>12687.066421</v>
      </c>
      <c r="E39" s="629">
        <f t="shared" si="1"/>
        <v>-13688.933579</v>
      </c>
      <c r="F39" s="792">
        <f t="shared" si="3"/>
        <v>48.100797774491966</v>
      </c>
    </row>
    <row r="40" spans="1:6" s="9" customFormat="1" ht="19.5" customHeight="1">
      <c r="A40" s="623" t="s">
        <v>24</v>
      </c>
      <c r="B40" s="624" t="s">
        <v>338</v>
      </c>
      <c r="C40" s="575">
        <v>228146</v>
      </c>
      <c r="D40" s="679">
        <v>283783.79304900003</v>
      </c>
      <c r="E40" s="629">
        <f t="shared" si="1"/>
        <v>55637.793049000029</v>
      </c>
      <c r="F40" s="792">
        <f t="shared" si="3"/>
        <v>124.38692462239094</v>
      </c>
    </row>
    <row r="41" spans="1:6" s="19" customFormat="1" ht="19.5" customHeight="1">
      <c r="A41" s="623" t="s">
        <v>24</v>
      </c>
      <c r="B41" s="624" t="s">
        <v>339</v>
      </c>
      <c r="C41" s="575">
        <v>267850</v>
      </c>
      <c r="D41" s="679">
        <v>267288.17433900002</v>
      </c>
      <c r="E41" s="629">
        <f t="shared" si="1"/>
        <v>-561.82566099998076</v>
      </c>
      <c r="F41" s="792">
        <f t="shared" si="3"/>
        <v>99.790246159790939</v>
      </c>
    </row>
    <row r="42" spans="1:6" s="9" customFormat="1" ht="19.5" customHeight="1">
      <c r="A42" s="623" t="s">
        <v>24</v>
      </c>
      <c r="B42" s="624" t="s">
        <v>340</v>
      </c>
      <c r="C42" s="575">
        <v>57621</v>
      </c>
      <c r="D42" s="679">
        <v>63475.761570000002</v>
      </c>
      <c r="E42" s="629">
        <f t="shared" si="1"/>
        <v>5854.7615700000024</v>
      </c>
      <c r="F42" s="792">
        <f t="shared" si="3"/>
        <v>110.16081215181964</v>
      </c>
    </row>
    <row r="43" spans="1:6" s="9" customFormat="1" ht="19.5" customHeight="1">
      <c r="A43" s="623" t="s">
        <v>24</v>
      </c>
      <c r="B43" s="624" t="s">
        <v>342</v>
      </c>
      <c r="C43" s="575">
        <v>41821</v>
      </c>
      <c r="D43" s="679">
        <v>32809.410837000003</v>
      </c>
      <c r="E43" s="629">
        <f t="shared" si="1"/>
        <v>-9011.5891629999969</v>
      </c>
      <c r="F43" s="792">
        <f>IF(AND(D43&lt;&gt;0,C43&lt;&gt;0),D43/C43%,"")</f>
        <v>78.451999801535123</v>
      </c>
    </row>
    <row r="44" spans="1:6" s="9" customFormat="1" ht="19.5" customHeight="1">
      <c r="A44" s="619" t="s">
        <v>34</v>
      </c>
      <c r="B44" s="620" t="s">
        <v>157</v>
      </c>
      <c r="C44" s="574">
        <v>800</v>
      </c>
      <c r="D44" s="678">
        <v>0</v>
      </c>
      <c r="E44" s="629">
        <f t="shared" si="1"/>
        <v>-800</v>
      </c>
      <c r="F44" s="791" t="str">
        <f t="shared" si="3"/>
        <v/>
      </c>
    </row>
    <row r="45" spans="1:6" s="9" customFormat="1" ht="19.5" customHeight="1">
      <c r="A45" s="619" t="s">
        <v>35</v>
      </c>
      <c r="B45" s="620" t="s">
        <v>43</v>
      </c>
      <c r="C45" s="574">
        <v>1000</v>
      </c>
      <c r="D45" s="678">
        <v>1000</v>
      </c>
      <c r="E45" s="628">
        <f t="shared" si="1"/>
        <v>0</v>
      </c>
      <c r="F45" s="791">
        <f t="shared" si="3"/>
        <v>100</v>
      </c>
    </row>
    <row r="46" spans="1:6" s="9" customFormat="1" ht="19.5" customHeight="1">
      <c r="A46" s="619" t="s">
        <v>36</v>
      </c>
      <c r="B46" s="620" t="s">
        <v>44</v>
      </c>
      <c r="C46" s="574">
        <v>77387</v>
      </c>
      <c r="D46" s="678"/>
      <c r="E46" s="628">
        <f t="shared" si="1"/>
        <v>-77387</v>
      </c>
      <c r="F46" s="791" t="str">
        <f t="shared" si="3"/>
        <v/>
      </c>
    </row>
    <row r="47" spans="1:6" s="9" customFormat="1" ht="19.5" customHeight="1">
      <c r="A47" s="619" t="s">
        <v>61</v>
      </c>
      <c r="B47" s="620" t="s">
        <v>160</v>
      </c>
      <c r="C47" s="574">
        <v>34050</v>
      </c>
      <c r="D47" s="678"/>
      <c r="E47" s="628">
        <f t="shared" si="1"/>
        <v>-34050</v>
      </c>
      <c r="F47" s="791" t="str">
        <f t="shared" si="3"/>
        <v/>
      </c>
    </row>
    <row r="48" spans="1:6" s="9" customFormat="1" ht="19.5" customHeight="1">
      <c r="A48" s="626" t="s">
        <v>37</v>
      </c>
      <c r="B48" s="627" t="s">
        <v>208</v>
      </c>
      <c r="C48" s="630"/>
      <c r="D48" s="756">
        <f>'PL53'!G61</f>
        <v>3002874.775618</v>
      </c>
      <c r="E48" s="764">
        <f t="shared" si="1"/>
        <v>3002874.775618</v>
      </c>
      <c r="F48" s="793" t="str">
        <f t="shared" si="3"/>
        <v/>
      </c>
    </row>
    <row r="49" spans="1:4" ht="18.75">
      <c r="A49" s="9"/>
      <c r="B49" s="9"/>
      <c r="C49" s="9"/>
      <c r="D49" s="9"/>
    </row>
    <row r="50" spans="1:4" ht="18.75">
      <c r="A50" s="9"/>
      <c r="B50" s="9"/>
      <c r="C50" s="9"/>
      <c r="D50" s="9"/>
    </row>
    <row r="51" spans="1:4" ht="18.75">
      <c r="A51" s="9"/>
      <c r="B51" s="9"/>
      <c r="C51" s="9"/>
      <c r="D51" s="9"/>
    </row>
  </sheetData>
  <mergeCells count="10">
    <mergeCell ref="A1:F1"/>
    <mergeCell ref="A2:F2"/>
    <mergeCell ref="B7:B8"/>
    <mergeCell ref="A3:F3"/>
    <mergeCell ref="A4:F4"/>
    <mergeCell ref="D6:F6"/>
    <mergeCell ref="C7:C8"/>
    <mergeCell ref="D7:D8"/>
    <mergeCell ref="E7:F7"/>
    <mergeCell ref="A7:A8"/>
  </mergeCells>
  <printOptions horizontalCentered="1"/>
  <pageMargins left="0.31" right="0.36" top="0.73" bottom="0.17" header="0.54" footer="0.23"/>
  <pageSetup paperSize="9" scale="69" fitToHeight="5" orientation="portrait" r:id="rId1"/>
  <headerFooter alignWithMargins="0">
    <oddFooter>&amp;C&amp;".VnTime,Italic"&amp;8</oddFooter>
  </headerFooter>
</worksheet>
</file>

<file path=xl/worksheets/sheet15.xml><?xml version="1.0" encoding="utf-8"?>
<worksheet xmlns="http://schemas.openxmlformats.org/spreadsheetml/2006/main" xmlns:r="http://schemas.openxmlformats.org/officeDocument/2006/relationships">
  <sheetPr>
    <tabColor rgb="FF00B0F0"/>
    <pageSetUpPr fitToPage="1"/>
  </sheetPr>
  <dimension ref="A1:L61"/>
  <sheetViews>
    <sheetView topLeftCell="A16" zoomScale="70" zoomScaleNormal="70" workbookViewId="0">
      <selection activeCell="A4" sqref="A4:BA4"/>
    </sheetView>
  </sheetViews>
  <sheetFormatPr defaultColWidth="9" defaultRowHeight="15.75"/>
  <cols>
    <col min="1" max="1" width="5.125" style="4" customWidth="1"/>
    <col min="2" max="2" width="60.625" style="4" customWidth="1"/>
    <col min="3" max="3" width="13.875" style="4" customWidth="1"/>
    <col min="4" max="4" width="13.75" style="4" customWidth="1"/>
    <col min="5" max="5" width="12.875" style="4" customWidth="1"/>
    <col min="6" max="6" width="13.375" style="4" customWidth="1"/>
    <col min="7" max="7" width="12.75" style="4" customWidth="1"/>
    <col min="8" max="8" width="13" style="4" customWidth="1"/>
    <col min="9" max="11" width="10" style="4" customWidth="1"/>
    <col min="12" max="12" width="11.5" style="4" bestFit="1" customWidth="1"/>
    <col min="13" max="13" width="18.375" style="4" customWidth="1"/>
    <col min="14" max="16384" width="9" style="4"/>
  </cols>
  <sheetData>
    <row r="1" spans="1:12" ht="19.5">
      <c r="A1" s="930" t="s">
        <v>670</v>
      </c>
      <c r="B1" s="930"/>
      <c r="C1" s="930"/>
      <c r="D1" s="930"/>
      <c r="E1" s="930"/>
      <c r="F1" s="930"/>
      <c r="G1" s="930"/>
      <c r="H1" s="930"/>
      <c r="I1" s="930"/>
      <c r="J1" s="930"/>
      <c r="K1" s="930"/>
    </row>
    <row r="2" spans="1:12" ht="19.5">
      <c r="A2" s="931" t="s">
        <v>678</v>
      </c>
      <c r="B2" s="931"/>
      <c r="C2" s="931"/>
      <c r="D2" s="931"/>
      <c r="E2" s="931"/>
      <c r="F2" s="931"/>
      <c r="G2" s="931"/>
      <c r="H2" s="931"/>
      <c r="I2" s="931"/>
      <c r="J2" s="931"/>
      <c r="K2" s="931"/>
    </row>
    <row r="3" spans="1:12" ht="21" customHeight="1">
      <c r="A3" s="950" t="s">
        <v>524</v>
      </c>
      <c r="B3" s="950"/>
      <c r="C3" s="950"/>
      <c r="D3" s="950"/>
      <c r="E3" s="950"/>
      <c r="F3" s="950"/>
      <c r="G3" s="950"/>
      <c r="H3" s="950"/>
      <c r="I3" s="950"/>
      <c r="J3" s="950"/>
      <c r="K3" s="950"/>
    </row>
    <row r="4" spans="1:12" ht="21" customHeight="1">
      <c r="A4" s="950" t="s">
        <v>525</v>
      </c>
      <c r="B4" s="950"/>
      <c r="C4" s="950"/>
      <c r="D4" s="950"/>
      <c r="E4" s="950"/>
      <c r="F4" s="950"/>
      <c r="G4" s="950"/>
      <c r="H4" s="950"/>
      <c r="I4" s="950"/>
      <c r="J4" s="950"/>
      <c r="K4" s="950"/>
    </row>
    <row r="5" spans="1:12" ht="21" customHeight="1">
      <c r="A5" s="931" t="s">
        <v>682</v>
      </c>
      <c r="B5" s="931"/>
      <c r="C5" s="931"/>
      <c r="D5" s="931"/>
      <c r="E5" s="931"/>
      <c r="F5" s="931"/>
      <c r="G5" s="931"/>
      <c r="H5" s="931"/>
      <c r="I5" s="931"/>
      <c r="J5" s="931"/>
      <c r="K5" s="931"/>
    </row>
    <row r="6" spans="1:12" ht="18.75">
      <c r="A6" s="7"/>
      <c r="B6" s="7"/>
      <c r="C6" s="2"/>
      <c r="D6" s="2"/>
      <c r="E6" s="2"/>
      <c r="F6" s="2"/>
      <c r="G6" s="2"/>
      <c r="H6" s="2"/>
      <c r="I6" s="2"/>
      <c r="J6" s="2"/>
      <c r="K6" s="2"/>
    </row>
    <row r="7" spans="1:12" ht="19.5" customHeight="1">
      <c r="A7" s="8"/>
      <c r="B7" s="8"/>
      <c r="C7" s="9"/>
      <c r="D7" s="9"/>
      <c r="E7" s="9"/>
      <c r="F7" s="932" t="s">
        <v>187</v>
      </c>
      <c r="G7" s="932"/>
      <c r="H7" s="932"/>
      <c r="I7" s="932"/>
      <c r="J7" s="932"/>
      <c r="K7" s="932"/>
    </row>
    <row r="8" spans="1:12" s="10" customFormat="1" ht="21.75" customHeight="1">
      <c r="A8" s="933" t="s">
        <v>110</v>
      </c>
      <c r="B8" s="955" t="s">
        <v>11</v>
      </c>
      <c r="C8" s="935" t="s">
        <v>87</v>
      </c>
      <c r="D8" s="933" t="s">
        <v>70</v>
      </c>
      <c r="E8" s="933"/>
      <c r="F8" s="935" t="s">
        <v>109</v>
      </c>
      <c r="G8" s="933" t="s">
        <v>70</v>
      </c>
      <c r="H8" s="933"/>
      <c r="I8" s="933" t="s">
        <v>200</v>
      </c>
      <c r="J8" s="933"/>
      <c r="K8" s="933"/>
    </row>
    <row r="9" spans="1:12" s="10" customFormat="1" ht="75">
      <c r="A9" s="933"/>
      <c r="B9" s="955"/>
      <c r="C9" s="935"/>
      <c r="D9" s="774" t="s">
        <v>526</v>
      </c>
      <c r="E9" s="774" t="s">
        <v>319</v>
      </c>
      <c r="F9" s="935"/>
      <c r="G9" s="774" t="s">
        <v>526</v>
      </c>
      <c r="H9" s="774" t="s">
        <v>319</v>
      </c>
      <c r="I9" s="774" t="s">
        <v>527</v>
      </c>
      <c r="J9" s="774" t="s">
        <v>526</v>
      </c>
      <c r="K9" s="774" t="s">
        <v>319</v>
      </c>
    </row>
    <row r="10" spans="1:12" s="36" customFormat="1" ht="17.25" customHeight="1">
      <c r="A10" s="773" t="s">
        <v>15</v>
      </c>
      <c r="B10" s="773" t="s">
        <v>16</v>
      </c>
      <c r="C10" s="773" t="s">
        <v>72</v>
      </c>
      <c r="D10" s="773">
        <v>2</v>
      </c>
      <c r="E10" s="773">
        <f>D10+1</f>
        <v>3</v>
      </c>
      <c r="F10" s="773" t="s">
        <v>73</v>
      </c>
      <c r="G10" s="773">
        <v>5</v>
      </c>
      <c r="H10" s="773">
        <f>G10+1</f>
        <v>6</v>
      </c>
      <c r="I10" s="773" t="s">
        <v>80</v>
      </c>
      <c r="J10" s="773" t="s">
        <v>81</v>
      </c>
      <c r="K10" s="773" t="s">
        <v>82</v>
      </c>
    </row>
    <row r="11" spans="1:12" s="9" customFormat="1" ht="18.75">
      <c r="A11" s="580"/>
      <c r="B11" s="581" t="s">
        <v>261</v>
      </c>
      <c r="C11" s="639">
        <f>C12+C31</f>
        <v>8938477</v>
      </c>
      <c r="D11" s="639">
        <f>D12+D31</f>
        <v>5064635</v>
      </c>
      <c r="E11" s="639">
        <f>E12+E31</f>
        <v>3873842</v>
      </c>
      <c r="F11" s="639">
        <f>F12+F31+F61</f>
        <v>11436359.626620002</v>
      </c>
      <c r="G11" s="639">
        <f>G12+G31+G61</f>
        <v>6942113.2605459997</v>
      </c>
      <c r="H11" s="639">
        <f>H12+H31+H61</f>
        <v>4494246.3660740005</v>
      </c>
      <c r="I11" s="794">
        <f>IF(AND(C11&lt;&gt;0,F11&lt;&gt;0),F11/C11%,"")</f>
        <v>127.94528225132763</v>
      </c>
      <c r="J11" s="794">
        <f>IF(AND(D11&lt;&gt;0,G11&lt;&gt;0),G11/D11%,"")</f>
        <v>137.07035670973329</v>
      </c>
      <c r="K11" s="794">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F13+F23+F27+F28+F29+F30</f>
        <v>7179474.9933580011</v>
      </c>
      <c r="G12" s="641">
        <f>G13+G23+G27+G28+G29+G30</f>
        <v>3103300.3262140001</v>
      </c>
      <c r="H12" s="641">
        <f t="shared" si="0"/>
        <v>4076174.6671440005</v>
      </c>
      <c r="I12" s="795">
        <f t="shared" ref="I12:I43" si="1">IF(AND(C12&lt;&gt;0,F12&lt;&gt;0),F12/C12%,"")</f>
        <v>101.53886462702884</v>
      </c>
      <c r="J12" s="795">
        <f t="shared" ref="J12:J61" si="2">IF(AND(D12&lt;&gt;0,G12&lt;&gt;0),G12/D12%,"")</f>
        <v>97.074451251288394</v>
      </c>
      <c r="K12" s="795">
        <f t="shared" ref="K12:K61" si="3">IF(AND(E12&lt;&gt;0,H12&lt;&gt;0),H12/E12%,"")</f>
        <v>105.22304903359509</v>
      </c>
      <c r="L12" s="695"/>
    </row>
    <row r="13" spans="1:12" s="9" customFormat="1" ht="18.75">
      <c r="A13" s="582" t="s">
        <v>32</v>
      </c>
      <c r="B13" s="583" t="s">
        <v>64</v>
      </c>
      <c r="C13" s="641">
        <f t="shared" ref="C13:H13" si="4">C14+C21+C22</f>
        <v>1714880</v>
      </c>
      <c r="D13" s="641">
        <f t="shared" si="4"/>
        <v>1514977</v>
      </c>
      <c r="E13" s="641">
        <f t="shared" si="4"/>
        <v>199903</v>
      </c>
      <c r="F13" s="641">
        <f t="shared" si="4"/>
        <v>1800944.097787</v>
      </c>
      <c r="G13" s="641">
        <f t="shared" si="4"/>
        <v>1443480.1328650001</v>
      </c>
      <c r="H13" s="641">
        <f t="shared" si="4"/>
        <v>357463.96492200001</v>
      </c>
      <c r="I13" s="795">
        <f t="shared" si="1"/>
        <v>105.01866590006298</v>
      </c>
      <c r="J13" s="795">
        <f t="shared" si="2"/>
        <v>95.280663195876897</v>
      </c>
      <c r="K13" s="795">
        <f t="shared" si="3"/>
        <v>178.81870953512455</v>
      </c>
      <c r="L13" s="695"/>
    </row>
    <row r="14" spans="1:12" s="9" customFormat="1" ht="18.75">
      <c r="A14" s="584">
        <v>1</v>
      </c>
      <c r="B14" s="23" t="s">
        <v>159</v>
      </c>
      <c r="C14" s="642">
        <f>D14+E14</f>
        <v>1707680</v>
      </c>
      <c r="D14" s="685">
        <f>399680+110000+1200000-E14-2000</f>
        <v>1507777</v>
      </c>
      <c r="E14" s="685">
        <v>199903</v>
      </c>
      <c r="F14" s="642">
        <f>G14+H14</f>
        <v>1800944.097787</v>
      </c>
      <c r="G14" s="642">
        <f>2024064.735531-G36-151906.455435</f>
        <v>1443480.1328650001</v>
      </c>
      <c r="H14" s="642">
        <f>(320338.976008+37124.988914)</f>
        <v>357463.96492200001</v>
      </c>
      <c r="I14" s="796">
        <f t="shared" si="1"/>
        <v>105.46145049347653</v>
      </c>
      <c r="J14" s="796">
        <f t="shared" si="2"/>
        <v>95.735651416953573</v>
      </c>
      <c r="K14" s="796">
        <f t="shared" si="3"/>
        <v>178.81870953512455</v>
      </c>
    </row>
    <row r="15" spans="1:12" s="19" customFormat="1" ht="18.75">
      <c r="A15" s="585"/>
      <c r="B15" s="587" t="s">
        <v>401</v>
      </c>
      <c r="C15" s="636">
        <f t="shared" ref="C15:C30" si="5">D15+E15</f>
        <v>0</v>
      </c>
      <c r="D15" s="685"/>
      <c r="E15" s="685"/>
      <c r="F15" s="636">
        <f t="shared" ref="F15:F30" si="6">G15+H15</f>
        <v>0</v>
      </c>
      <c r="G15" s="636"/>
      <c r="H15" s="636"/>
      <c r="I15" s="797" t="str">
        <f t="shared" si="1"/>
        <v/>
      </c>
      <c r="J15" s="797" t="str">
        <f t="shared" si="2"/>
        <v/>
      </c>
      <c r="K15" s="797" t="str">
        <f t="shared" si="3"/>
        <v/>
      </c>
    </row>
    <row r="16" spans="1:12" s="19" customFormat="1" ht="18.75">
      <c r="A16" s="586" t="s">
        <v>24</v>
      </c>
      <c r="B16" s="587" t="s">
        <v>117</v>
      </c>
      <c r="C16" s="636">
        <f t="shared" si="5"/>
        <v>426703</v>
      </c>
      <c r="D16" s="686">
        <v>426703</v>
      </c>
      <c r="E16" s="685">
        <v>0</v>
      </c>
      <c r="F16" s="636">
        <f t="shared" si="6"/>
        <v>455198.32941800001</v>
      </c>
      <c r="G16" s="636">
        <f>447822.043865</f>
        <v>447822.04386500001</v>
      </c>
      <c r="H16" s="636">
        <f>7376.285553</f>
        <v>7376.2855529999997</v>
      </c>
      <c r="I16" s="797">
        <f t="shared" si="1"/>
        <v>106.67802415684915</v>
      </c>
      <c r="J16" s="797">
        <f t="shared" si="2"/>
        <v>104.94935443739557</v>
      </c>
      <c r="K16" s="797" t="str">
        <f t="shared" si="3"/>
        <v/>
      </c>
    </row>
    <row r="17" spans="1:11" s="9" customFormat="1" ht="18.75">
      <c r="A17" s="586" t="s">
        <v>24</v>
      </c>
      <c r="B17" s="587" t="s">
        <v>74</v>
      </c>
      <c r="C17" s="636">
        <f t="shared" si="5"/>
        <v>10000</v>
      </c>
      <c r="D17" s="686">
        <v>10000</v>
      </c>
      <c r="E17" s="685">
        <v>0</v>
      </c>
      <c r="F17" s="636">
        <f t="shared" si="6"/>
        <v>277.34321599999998</v>
      </c>
      <c r="G17" s="636">
        <v>277.34321599999998</v>
      </c>
      <c r="H17" s="636">
        <v>0</v>
      </c>
      <c r="I17" s="797">
        <f t="shared" si="1"/>
        <v>2.77343216</v>
      </c>
      <c r="J17" s="797">
        <f t="shared" si="2"/>
        <v>2.77343216</v>
      </c>
      <c r="K17" s="797" t="str">
        <f t="shared" si="3"/>
        <v/>
      </c>
    </row>
    <row r="18" spans="1:11" s="19" customFormat="1" ht="18.75">
      <c r="A18" s="585"/>
      <c r="B18" s="587" t="s">
        <v>402</v>
      </c>
      <c r="C18" s="636">
        <f t="shared" si="5"/>
        <v>0</v>
      </c>
      <c r="D18" s="685"/>
      <c r="E18" s="685"/>
      <c r="F18" s="636">
        <f t="shared" si="6"/>
        <v>0</v>
      </c>
      <c r="G18" s="636"/>
      <c r="H18" s="636"/>
      <c r="I18" s="797" t="str">
        <f t="shared" si="1"/>
        <v/>
      </c>
      <c r="J18" s="797" t="str">
        <f t="shared" si="2"/>
        <v/>
      </c>
      <c r="K18" s="797" t="str">
        <f t="shared" si="3"/>
        <v/>
      </c>
    </row>
    <row r="19" spans="1:11" s="19" customFormat="1" ht="18.75">
      <c r="A19" s="586" t="s">
        <v>24</v>
      </c>
      <c r="B19" s="587" t="s">
        <v>40</v>
      </c>
      <c r="C19" s="636">
        <f t="shared" si="5"/>
        <v>110000</v>
      </c>
      <c r="D19" s="686">
        <v>30000</v>
      </c>
      <c r="E19" s="686">
        <v>80000</v>
      </c>
      <c r="F19" s="636">
        <f t="shared" si="6"/>
        <v>108984.141326</v>
      </c>
      <c r="G19" s="751">
        <v>45788.586261999997</v>
      </c>
      <c r="H19" s="751">
        <v>63195.555064</v>
      </c>
      <c r="I19" s="797">
        <f t="shared" si="1"/>
        <v>99.076492114545445</v>
      </c>
      <c r="J19" s="797">
        <f t="shared" si="2"/>
        <v>152.62862087333332</v>
      </c>
      <c r="K19" s="797">
        <f t="shared" si="3"/>
        <v>78.994443829999994</v>
      </c>
    </row>
    <row r="20" spans="1:11" s="19" customFormat="1" ht="18.75">
      <c r="A20" s="586" t="s">
        <v>24</v>
      </c>
      <c r="B20" s="587" t="s">
        <v>41</v>
      </c>
      <c r="C20" s="636">
        <f t="shared" si="5"/>
        <v>1200000</v>
      </c>
      <c r="D20" s="686">
        <v>1200000</v>
      </c>
      <c r="E20" s="686">
        <v>0</v>
      </c>
      <c r="F20" s="636">
        <f t="shared" si="6"/>
        <v>1210697.411668</v>
      </c>
      <c r="G20" s="751">
        <v>1210597.411668</v>
      </c>
      <c r="H20" s="751">
        <v>100</v>
      </c>
      <c r="I20" s="797">
        <f t="shared" si="1"/>
        <v>100.89145097233333</v>
      </c>
      <c r="J20" s="797">
        <f t="shared" si="2"/>
        <v>100.88311763900001</v>
      </c>
      <c r="K20" s="797" t="str">
        <f t="shared" si="3"/>
        <v/>
      </c>
    </row>
    <row r="21" spans="1:11" s="9" customFormat="1" ht="75">
      <c r="A21" s="565">
        <v>2</v>
      </c>
      <c r="B21" s="599" t="s">
        <v>112</v>
      </c>
      <c r="C21" s="642">
        <f t="shared" si="5"/>
        <v>2000</v>
      </c>
      <c r="D21" s="685">
        <v>2000</v>
      </c>
      <c r="E21" s="685">
        <v>0</v>
      </c>
      <c r="F21" s="642">
        <f t="shared" si="6"/>
        <v>0</v>
      </c>
      <c r="G21" s="642"/>
      <c r="H21" s="642"/>
      <c r="I21" s="796" t="str">
        <f t="shared" si="1"/>
        <v/>
      </c>
      <c r="J21" s="796" t="str">
        <f t="shared" si="2"/>
        <v/>
      </c>
      <c r="K21" s="796" t="str">
        <f t="shared" si="3"/>
        <v/>
      </c>
    </row>
    <row r="22" spans="1:11" s="9" customFormat="1" ht="18.75">
      <c r="A22" s="584">
        <v>3</v>
      </c>
      <c r="B22" s="23" t="s">
        <v>400</v>
      </c>
      <c r="C22" s="642">
        <f t="shared" si="5"/>
        <v>5200</v>
      </c>
      <c r="D22" s="685">
        <v>5200</v>
      </c>
      <c r="E22" s="685">
        <v>0</v>
      </c>
      <c r="F22" s="642">
        <f t="shared" si="6"/>
        <v>0</v>
      </c>
      <c r="G22" s="642"/>
      <c r="H22" s="642"/>
      <c r="I22" s="796" t="str">
        <f t="shared" si="1"/>
        <v/>
      </c>
      <c r="J22" s="796" t="str">
        <f t="shared" si="2"/>
        <v/>
      </c>
      <c r="K22" s="796" t="str">
        <f t="shared" si="3"/>
        <v/>
      </c>
    </row>
    <row r="23" spans="1:11" s="9" customFormat="1" ht="18.75">
      <c r="A23" s="582" t="s">
        <v>33</v>
      </c>
      <c r="B23" s="583" t="s">
        <v>42</v>
      </c>
      <c r="C23" s="641">
        <f t="shared" si="5"/>
        <v>5180587</v>
      </c>
      <c r="D23" s="687">
        <v>1568611</v>
      </c>
      <c r="E23" s="687">
        <v>3611976</v>
      </c>
      <c r="F23" s="641">
        <f t="shared" si="6"/>
        <v>5317313.8763050009</v>
      </c>
      <c r="G23" s="641">
        <f>1914173.749397+0-G37-29033.478864-G29</f>
        <v>1618198.174083</v>
      </c>
      <c r="H23" s="641">
        <f>(3029290.148366+719783.420392)+577.142101-H32-H29</f>
        <v>3699115.7022220003</v>
      </c>
      <c r="I23" s="795">
        <f t="shared" si="1"/>
        <v>102.63921590941337</v>
      </c>
      <c r="J23" s="795">
        <f t="shared" si="2"/>
        <v>103.16121550103881</v>
      </c>
      <c r="K23" s="795">
        <f t="shared" si="3"/>
        <v>102.41252162865977</v>
      </c>
    </row>
    <row r="24" spans="1:11" s="9" customFormat="1" ht="18.75">
      <c r="A24" s="585"/>
      <c r="B24" s="587" t="s">
        <v>62</v>
      </c>
      <c r="C24" s="636">
        <f t="shared" si="5"/>
        <v>0</v>
      </c>
      <c r="D24" s="685"/>
      <c r="E24" s="685"/>
      <c r="F24" s="636">
        <f t="shared" si="6"/>
        <v>0</v>
      </c>
      <c r="G24" s="636"/>
      <c r="H24" s="636"/>
      <c r="I24" s="797" t="str">
        <f t="shared" si="1"/>
        <v/>
      </c>
      <c r="J24" s="797" t="str">
        <f t="shared" si="2"/>
        <v/>
      </c>
      <c r="K24" s="797" t="str">
        <f t="shared" si="3"/>
        <v/>
      </c>
    </row>
    <row r="25" spans="1:11" s="9" customFormat="1" ht="18.75">
      <c r="A25" s="585">
        <v>1</v>
      </c>
      <c r="B25" s="587" t="s">
        <v>203</v>
      </c>
      <c r="C25" s="636">
        <f t="shared" si="5"/>
        <v>2408215</v>
      </c>
      <c r="D25" s="686">
        <v>458119</v>
      </c>
      <c r="E25" s="686">
        <v>1950096</v>
      </c>
      <c r="F25" s="636">
        <f t="shared" si="6"/>
        <v>2242935.1282430002</v>
      </c>
      <c r="G25" s="751">
        <f>373509.166229</f>
        <v>373509.16622900002</v>
      </c>
      <c r="H25" s="751">
        <f>1876564.795197+1153.247466-8292.080649</f>
        <v>1869425.9620140002</v>
      </c>
      <c r="I25" s="797">
        <f t="shared" si="1"/>
        <v>93.13683073326095</v>
      </c>
      <c r="J25" s="797">
        <f t="shared" si="2"/>
        <v>81.53103587255714</v>
      </c>
      <c r="K25" s="797">
        <f t="shared" si="3"/>
        <v>95.863278629052118</v>
      </c>
    </row>
    <row r="26" spans="1:11" s="9" customFormat="1" ht="18.75">
      <c r="A26" s="585">
        <f>A25+1</f>
        <v>2</v>
      </c>
      <c r="B26" s="587" t="s">
        <v>417</v>
      </c>
      <c r="C26" s="636">
        <f t="shared" si="5"/>
        <v>19639</v>
      </c>
      <c r="D26" s="686">
        <v>19639</v>
      </c>
      <c r="E26" s="686">
        <v>0</v>
      </c>
      <c r="F26" s="636">
        <f t="shared" si="6"/>
        <v>17170.165165000002</v>
      </c>
      <c r="G26" s="751">
        <v>17015.212165000001</v>
      </c>
      <c r="H26" s="751">
        <v>154.953</v>
      </c>
      <c r="I26" s="797">
        <f t="shared" si="1"/>
        <v>87.428917791129905</v>
      </c>
      <c r="J26" s="797">
        <f t="shared" si="2"/>
        <v>86.639911222567349</v>
      </c>
      <c r="K26" s="797" t="str">
        <f t="shared" si="3"/>
        <v/>
      </c>
    </row>
    <row r="27" spans="1:11" ht="18.75">
      <c r="A27" s="582" t="s">
        <v>34</v>
      </c>
      <c r="B27" s="583" t="s">
        <v>157</v>
      </c>
      <c r="C27" s="641">
        <f t="shared" si="5"/>
        <v>800</v>
      </c>
      <c r="D27" s="687">
        <v>800</v>
      </c>
      <c r="E27" s="687">
        <v>0</v>
      </c>
      <c r="F27" s="641">
        <f t="shared" si="6"/>
        <v>0</v>
      </c>
      <c r="G27" s="688"/>
      <c r="H27" s="688"/>
      <c r="I27" s="795" t="str">
        <f t="shared" si="1"/>
        <v/>
      </c>
      <c r="J27" s="795" t="str">
        <f t="shared" si="2"/>
        <v/>
      </c>
      <c r="K27" s="795" t="str">
        <f t="shared" si="3"/>
        <v/>
      </c>
    </row>
    <row r="28" spans="1:11" ht="18.75">
      <c r="A28" s="582" t="s">
        <v>35</v>
      </c>
      <c r="B28" s="583" t="s">
        <v>289</v>
      </c>
      <c r="C28" s="641">
        <f t="shared" si="5"/>
        <v>1000</v>
      </c>
      <c r="D28" s="687">
        <v>1000</v>
      </c>
      <c r="E28" s="687">
        <v>0</v>
      </c>
      <c r="F28" s="641">
        <f t="shared" si="6"/>
        <v>1000</v>
      </c>
      <c r="G28" s="688">
        <v>1000</v>
      </c>
      <c r="H28" s="688"/>
      <c r="I28" s="795">
        <f t="shared" si="1"/>
        <v>100</v>
      </c>
      <c r="J28" s="795">
        <f t="shared" si="2"/>
        <v>100</v>
      </c>
      <c r="K28" s="795" t="str">
        <f t="shared" si="3"/>
        <v/>
      </c>
    </row>
    <row r="29" spans="1:11" ht="18.75">
      <c r="A29" s="582" t="s">
        <v>36</v>
      </c>
      <c r="B29" s="583" t="s">
        <v>44</v>
      </c>
      <c r="C29" s="641">
        <f t="shared" si="5"/>
        <v>139350</v>
      </c>
      <c r="D29" s="687">
        <f>139350-E29</f>
        <v>77387</v>
      </c>
      <c r="E29" s="687">
        <v>61963</v>
      </c>
      <c r="F29" s="641">
        <f t="shared" si="6"/>
        <v>60217.019266000003</v>
      </c>
      <c r="G29" s="688">
        <v>40622.019266000003</v>
      </c>
      <c r="H29" s="688">
        <f>17592+1624+379</f>
        <v>19595</v>
      </c>
      <c r="I29" s="795">
        <f t="shared" si="1"/>
        <v>43.212787417294585</v>
      </c>
      <c r="J29" s="795">
        <f t="shared" si="2"/>
        <v>52.492045519273269</v>
      </c>
      <c r="K29" s="795">
        <f t="shared" si="3"/>
        <v>31.623710924261253</v>
      </c>
    </row>
    <row r="30" spans="1:11" ht="18.75">
      <c r="A30" s="582" t="s">
        <v>61</v>
      </c>
      <c r="B30" s="583" t="s">
        <v>160</v>
      </c>
      <c r="C30" s="641">
        <f t="shared" si="5"/>
        <v>34050</v>
      </c>
      <c r="D30" s="687">
        <v>34050</v>
      </c>
      <c r="E30" s="687">
        <v>0</v>
      </c>
      <c r="F30" s="641">
        <f t="shared" si="6"/>
        <v>0</v>
      </c>
      <c r="G30" s="688"/>
      <c r="H30" s="688"/>
      <c r="I30" s="795" t="str">
        <f t="shared" si="1"/>
        <v/>
      </c>
      <c r="J30" s="795" t="str">
        <f t="shared" si="2"/>
        <v/>
      </c>
      <c r="K30" s="795" t="str">
        <f t="shared" si="3"/>
        <v/>
      </c>
    </row>
    <row r="31" spans="1:11" s="19" customFormat="1" ht="18.75">
      <c r="A31" s="582" t="s">
        <v>16</v>
      </c>
      <c r="B31" s="600" t="s">
        <v>330</v>
      </c>
      <c r="C31" s="641">
        <f t="shared" ref="C31:H31" si="7">C32+C35</f>
        <v>1867810</v>
      </c>
      <c r="D31" s="641">
        <f t="shared" si="7"/>
        <v>1867810</v>
      </c>
      <c r="E31" s="641">
        <f t="shared" si="7"/>
        <v>0</v>
      </c>
      <c r="F31" s="641">
        <f t="shared" si="7"/>
        <v>866878.16735100001</v>
      </c>
      <c r="G31" s="641">
        <f t="shared" si="7"/>
        <v>835938.1587139999</v>
      </c>
      <c r="H31" s="641">
        <f t="shared" si="7"/>
        <v>30940.008636999999</v>
      </c>
      <c r="I31" s="795">
        <f t="shared" si="1"/>
        <v>46.411474794063643</v>
      </c>
      <c r="J31" s="795">
        <f t="shared" si="2"/>
        <v>44.754988928959584</v>
      </c>
      <c r="K31" s="795" t="str">
        <f t="shared" si="3"/>
        <v/>
      </c>
    </row>
    <row r="32" spans="1:11" ht="18.75">
      <c r="A32" s="582" t="s">
        <v>32</v>
      </c>
      <c r="B32" s="583" t="s">
        <v>302</v>
      </c>
      <c r="C32" s="688">
        <f t="shared" ref="C32:H32" si="8">C33+C34</f>
        <v>230446</v>
      </c>
      <c r="D32" s="688">
        <f t="shared" si="8"/>
        <v>230446</v>
      </c>
      <c r="E32" s="688">
        <f t="shared" si="8"/>
        <v>0</v>
      </c>
      <c r="F32" s="688">
        <f t="shared" si="8"/>
        <v>211879.94293600001</v>
      </c>
      <c r="G32" s="688">
        <f t="shared" si="8"/>
        <v>180939.93429899999</v>
      </c>
      <c r="H32" s="688">
        <f t="shared" si="8"/>
        <v>30940.008636999999</v>
      </c>
      <c r="I32" s="795">
        <f t="shared" si="1"/>
        <v>91.943424028188815</v>
      </c>
      <c r="J32" s="795">
        <f t="shared" si="2"/>
        <v>78.517281401716659</v>
      </c>
      <c r="K32" s="795" t="str">
        <f t="shared" si="3"/>
        <v/>
      </c>
    </row>
    <row r="33" spans="1:11" ht="18.75">
      <c r="A33" s="565">
        <v>1</v>
      </c>
      <c r="B33" s="566" t="s">
        <v>477</v>
      </c>
      <c r="C33" s="689">
        <f>D33+E33</f>
        <v>183200</v>
      </c>
      <c r="D33" s="672">
        <v>183200</v>
      </c>
      <c r="E33" s="689">
        <v>0</v>
      </c>
      <c r="F33" s="689">
        <f>G33+H33</f>
        <v>172220.237199</v>
      </c>
      <c r="G33" s="689">
        <v>155733.08573799999</v>
      </c>
      <c r="H33" s="689">
        <v>16487.151461000001</v>
      </c>
      <c r="I33" s="796">
        <f t="shared" si="1"/>
        <v>94.006679693777286</v>
      </c>
      <c r="J33" s="796">
        <f t="shared" si="2"/>
        <v>85.007142870087335</v>
      </c>
      <c r="K33" s="796" t="str">
        <f t="shared" si="3"/>
        <v/>
      </c>
    </row>
    <row r="34" spans="1:11" ht="18.75">
      <c r="A34" s="565">
        <v>2</v>
      </c>
      <c r="B34" s="566" t="s">
        <v>478</v>
      </c>
      <c r="C34" s="689">
        <f>D34+E34</f>
        <v>47246</v>
      </c>
      <c r="D34" s="672">
        <v>47246</v>
      </c>
      <c r="E34" s="689">
        <v>0</v>
      </c>
      <c r="F34" s="689">
        <f>G34+H34</f>
        <v>39659.705736999997</v>
      </c>
      <c r="G34" s="689">
        <v>25206.848560999999</v>
      </c>
      <c r="H34" s="689">
        <v>14452.857176</v>
      </c>
      <c r="I34" s="796">
        <f t="shared" si="1"/>
        <v>83.942991442661807</v>
      </c>
      <c r="J34" s="796">
        <f t="shared" si="2"/>
        <v>53.352344242898873</v>
      </c>
      <c r="K34" s="796" t="str">
        <f t="shared" si="3"/>
        <v/>
      </c>
    </row>
    <row r="35" spans="1:11" ht="18.75">
      <c r="A35" s="582" t="s">
        <v>33</v>
      </c>
      <c r="B35" s="583" t="s">
        <v>303</v>
      </c>
      <c r="C35" s="688">
        <f t="shared" ref="C35:H35" si="9">C36+C37</f>
        <v>1637364</v>
      </c>
      <c r="D35" s="688">
        <f t="shared" si="9"/>
        <v>1637364</v>
      </c>
      <c r="E35" s="688">
        <f t="shared" si="9"/>
        <v>0</v>
      </c>
      <c r="F35" s="688">
        <f t="shared" si="9"/>
        <v>654998.22441499995</v>
      </c>
      <c r="G35" s="688">
        <f t="shared" si="9"/>
        <v>654998.22441499995</v>
      </c>
      <c r="H35" s="688">
        <f t="shared" si="9"/>
        <v>0</v>
      </c>
      <c r="I35" s="795">
        <f t="shared" si="1"/>
        <v>40.003213971664209</v>
      </c>
      <c r="J35" s="795">
        <f t="shared" si="2"/>
        <v>40.003213971664209</v>
      </c>
      <c r="K35" s="795" t="str">
        <f t="shared" si="3"/>
        <v/>
      </c>
    </row>
    <row r="36" spans="1:11" ht="18.75">
      <c r="A36" s="565">
        <v>1</v>
      </c>
      <c r="B36" s="633" t="s">
        <v>479</v>
      </c>
      <c r="C36" s="689">
        <f>D36+E36</f>
        <v>1304081</v>
      </c>
      <c r="D36" s="689">
        <v>1304081</v>
      </c>
      <c r="E36" s="689">
        <v>0</v>
      </c>
      <c r="F36" s="689">
        <f>G36+H36</f>
        <v>428678.14723099995</v>
      </c>
      <c r="G36" s="753">
        <v>428678.14723099995</v>
      </c>
      <c r="H36" s="689">
        <v>0</v>
      </c>
      <c r="I36" s="796">
        <f t="shared" si="1"/>
        <v>32.872049146563747</v>
      </c>
      <c r="J36" s="796">
        <f t="shared" si="2"/>
        <v>32.872049146563747</v>
      </c>
      <c r="K36" s="796" t="str">
        <f t="shared" si="3"/>
        <v/>
      </c>
    </row>
    <row r="37" spans="1:11" ht="18.75">
      <c r="A37" s="565">
        <v>2</v>
      </c>
      <c r="B37" s="633" t="s">
        <v>480</v>
      </c>
      <c r="C37" s="689">
        <f t="shared" ref="C37:H37" si="10">C38+SUM(C42:C60)</f>
        <v>333283</v>
      </c>
      <c r="D37" s="689">
        <f t="shared" si="10"/>
        <v>333283</v>
      </c>
      <c r="E37" s="689">
        <f t="shared" si="10"/>
        <v>0</v>
      </c>
      <c r="F37" s="689">
        <f t="shared" si="10"/>
        <v>226320.07718399999</v>
      </c>
      <c r="G37" s="689">
        <f t="shared" si="10"/>
        <v>226320.07718399999</v>
      </c>
      <c r="H37" s="689">
        <f t="shared" si="10"/>
        <v>0</v>
      </c>
      <c r="I37" s="796">
        <f t="shared" si="1"/>
        <v>67.906277003027455</v>
      </c>
      <c r="J37" s="796">
        <f t="shared" si="2"/>
        <v>67.906277003027455</v>
      </c>
      <c r="K37" s="796" t="str">
        <f t="shared" si="3"/>
        <v/>
      </c>
    </row>
    <row r="38" spans="1:11" ht="18.75">
      <c r="A38" s="565" t="s">
        <v>481</v>
      </c>
      <c r="B38" s="633" t="s">
        <v>39</v>
      </c>
      <c r="C38" s="689">
        <f t="shared" ref="C38:H38" si="11">SUM(C39:C41)</f>
        <v>21500</v>
      </c>
      <c r="D38" s="689">
        <f>SUM(D39:D41)</f>
        <v>21500</v>
      </c>
      <c r="E38" s="689">
        <f t="shared" si="11"/>
        <v>0</v>
      </c>
      <c r="F38" s="689">
        <f t="shared" si="11"/>
        <v>13236.211979</v>
      </c>
      <c r="G38" s="689">
        <f t="shared" si="11"/>
        <v>13236.211979</v>
      </c>
      <c r="H38" s="689">
        <f t="shared" si="11"/>
        <v>0</v>
      </c>
      <c r="I38" s="796">
        <f t="shared" si="1"/>
        <v>61.563776646511627</v>
      </c>
      <c r="J38" s="796">
        <f t="shared" si="2"/>
        <v>61.563776646511627</v>
      </c>
      <c r="K38" s="796" t="str">
        <f t="shared" si="3"/>
        <v/>
      </c>
    </row>
    <row r="39" spans="1:11" ht="18.75">
      <c r="A39" s="592" t="s">
        <v>472</v>
      </c>
      <c r="B39" s="634" t="s">
        <v>482</v>
      </c>
      <c r="C39" s="690">
        <f>D39+E39</f>
        <v>10000</v>
      </c>
      <c r="D39" s="690">
        <v>10000</v>
      </c>
      <c r="E39" s="690">
        <v>0</v>
      </c>
      <c r="F39" s="690">
        <f>G39+H39</f>
        <v>4171.7251900000001</v>
      </c>
      <c r="G39" s="754">
        <v>4171.7251900000001</v>
      </c>
      <c r="H39" s="690">
        <v>0</v>
      </c>
      <c r="I39" s="797">
        <f t="shared" si="1"/>
        <v>41.717251900000001</v>
      </c>
      <c r="J39" s="797">
        <f t="shared" si="2"/>
        <v>41.717251900000001</v>
      </c>
      <c r="K39" s="797" t="str">
        <f t="shared" si="3"/>
        <v/>
      </c>
    </row>
    <row r="40" spans="1:11" ht="37.5">
      <c r="A40" s="592" t="s">
        <v>472</v>
      </c>
      <c r="B40" s="634" t="s">
        <v>483</v>
      </c>
      <c r="C40" s="690">
        <f>D40+E40</f>
        <v>9800</v>
      </c>
      <c r="D40" s="690">
        <v>9800</v>
      </c>
      <c r="E40" s="690">
        <v>0</v>
      </c>
      <c r="F40" s="690">
        <f>G40+H40</f>
        <v>9064.4867890000005</v>
      </c>
      <c r="G40" s="754">
        <v>9064.4867890000005</v>
      </c>
      <c r="H40" s="690">
        <v>0</v>
      </c>
      <c r="I40" s="797">
        <f t="shared" si="1"/>
        <v>92.494763153061228</v>
      </c>
      <c r="J40" s="797">
        <f t="shared" si="2"/>
        <v>92.494763153061228</v>
      </c>
      <c r="K40" s="797" t="str">
        <f t="shared" si="3"/>
        <v/>
      </c>
    </row>
    <row r="41" spans="1:11" ht="18.75">
      <c r="A41" s="592" t="s">
        <v>472</v>
      </c>
      <c r="B41" s="634" t="s">
        <v>484</v>
      </c>
      <c r="C41" s="690">
        <f t="shared" ref="C41:C61" si="12">D41+E41</f>
        <v>1700</v>
      </c>
      <c r="D41" s="690">
        <v>1700</v>
      </c>
      <c r="E41" s="690">
        <v>0</v>
      </c>
      <c r="F41" s="690">
        <f t="shared" ref="F41:F61" si="13">G41+H41</f>
        <v>0</v>
      </c>
      <c r="G41" s="754">
        <v>0</v>
      </c>
      <c r="H41" s="690">
        <v>0</v>
      </c>
      <c r="I41" s="797" t="str">
        <f t="shared" si="1"/>
        <v/>
      </c>
      <c r="J41" s="797" t="str">
        <f t="shared" si="2"/>
        <v/>
      </c>
      <c r="K41" s="797" t="str">
        <f t="shared" si="3"/>
        <v/>
      </c>
    </row>
    <row r="42" spans="1:11" ht="18.75">
      <c r="A42" s="565" t="s">
        <v>485</v>
      </c>
      <c r="B42" s="633" t="s">
        <v>486</v>
      </c>
      <c r="C42" s="689">
        <f t="shared" si="12"/>
        <v>295</v>
      </c>
      <c r="D42" s="672">
        <v>295</v>
      </c>
      <c r="E42" s="689">
        <v>0</v>
      </c>
      <c r="F42" s="689">
        <f t="shared" si="13"/>
        <v>278.58100000000002</v>
      </c>
      <c r="G42" s="689">
        <v>278.58100000000002</v>
      </c>
      <c r="H42" s="689">
        <v>0</v>
      </c>
      <c r="I42" s="796">
        <f t="shared" si="1"/>
        <v>94.434237288135591</v>
      </c>
      <c r="J42" s="796">
        <f t="shared" si="2"/>
        <v>94.434237288135591</v>
      </c>
      <c r="K42" s="796" t="str">
        <f t="shared" si="3"/>
        <v/>
      </c>
    </row>
    <row r="43" spans="1:11" ht="37.5">
      <c r="A43" s="565" t="s">
        <v>487</v>
      </c>
      <c r="B43" s="633" t="s">
        <v>593</v>
      </c>
      <c r="C43" s="689">
        <f t="shared" si="12"/>
        <v>615</v>
      </c>
      <c r="D43" s="672">
        <v>615</v>
      </c>
      <c r="E43" s="689">
        <v>0</v>
      </c>
      <c r="F43" s="689">
        <f t="shared" si="13"/>
        <v>615</v>
      </c>
      <c r="G43" s="689">
        <v>615</v>
      </c>
      <c r="H43" s="689">
        <v>0</v>
      </c>
      <c r="I43" s="796">
        <f t="shared" si="1"/>
        <v>100</v>
      </c>
      <c r="J43" s="796">
        <f t="shared" si="2"/>
        <v>100</v>
      </c>
      <c r="K43" s="796" t="str">
        <f t="shared" si="3"/>
        <v/>
      </c>
    </row>
    <row r="44" spans="1:11" ht="18.75">
      <c r="A44" s="565" t="s">
        <v>488</v>
      </c>
      <c r="B44" s="633" t="s">
        <v>489</v>
      </c>
      <c r="C44" s="689">
        <f t="shared" si="12"/>
        <v>29515</v>
      </c>
      <c r="D44" s="672">
        <v>29515</v>
      </c>
      <c r="E44" s="689">
        <v>0</v>
      </c>
      <c r="F44" s="689">
        <f t="shared" si="13"/>
        <v>20020.645</v>
      </c>
      <c r="G44" s="689">
        <v>20020.645</v>
      </c>
      <c r="H44" s="689">
        <v>0</v>
      </c>
      <c r="I44" s="796">
        <f t="shared" ref="I44:I61" si="14">IF(AND(C44&lt;&gt;0,F44&lt;&gt;0),F44/C44%,"")</f>
        <v>67.832102320853807</v>
      </c>
      <c r="J44" s="796">
        <f t="shared" si="2"/>
        <v>67.832102320853807</v>
      </c>
      <c r="K44" s="796" t="str">
        <f t="shared" si="3"/>
        <v/>
      </c>
    </row>
    <row r="45" spans="1:11" ht="37.5">
      <c r="A45" s="565" t="s">
        <v>490</v>
      </c>
      <c r="B45" s="633" t="s">
        <v>491</v>
      </c>
      <c r="C45" s="689">
        <f t="shared" si="12"/>
        <v>10698</v>
      </c>
      <c r="D45" s="672">
        <v>10698</v>
      </c>
      <c r="E45" s="689">
        <v>0</v>
      </c>
      <c r="F45" s="689">
        <f t="shared" si="13"/>
        <v>637.54999999999995</v>
      </c>
      <c r="G45" s="689">
        <v>637.54999999999995</v>
      </c>
      <c r="H45" s="689">
        <v>0</v>
      </c>
      <c r="I45" s="796">
        <f t="shared" si="14"/>
        <v>5.9595251448868938</v>
      </c>
      <c r="J45" s="796">
        <f t="shared" si="2"/>
        <v>5.9595251448868938</v>
      </c>
      <c r="K45" s="796" t="str">
        <f t="shared" si="3"/>
        <v/>
      </c>
    </row>
    <row r="46" spans="1:11" ht="37.5">
      <c r="A46" s="565" t="s">
        <v>492</v>
      </c>
      <c r="B46" s="633" t="s">
        <v>493</v>
      </c>
      <c r="C46" s="689">
        <f t="shared" si="12"/>
        <v>242</v>
      </c>
      <c r="D46" s="672">
        <v>242</v>
      </c>
      <c r="E46" s="689">
        <v>0</v>
      </c>
      <c r="F46" s="689">
        <f t="shared" si="13"/>
        <v>0</v>
      </c>
      <c r="G46" s="689"/>
      <c r="H46" s="689">
        <v>0</v>
      </c>
      <c r="I46" s="796" t="str">
        <f t="shared" si="14"/>
        <v/>
      </c>
      <c r="J46" s="796" t="str">
        <f t="shared" si="2"/>
        <v/>
      </c>
      <c r="K46" s="796" t="str">
        <f t="shared" si="3"/>
        <v/>
      </c>
    </row>
    <row r="47" spans="1:11" ht="18.75">
      <c r="A47" s="565" t="s">
        <v>494</v>
      </c>
      <c r="B47" s="633" t="s">
        <v>495</v>
      </c>
      <c r="C47" s="689">
        <f t="shared" si="12"/>
        <v>1340</v>
      </c>
      <c r="D47" s="672">
        <v>1340</v>
      </c>
      <c r="E47" s="689"/>
      <c r="F47" s="689">
        <f t="shared" si="13"/>
        <v>1000.9</v>
      </c>
      <c r="G47" s="689">
        <v>1000.9</v>
      </c>
      <c r="H47" s="689">
        <v>0</v>
      </c>
      <c r="I47" s="796">
        <f t="shared" si="14"/>
        <v>74.694029850746261</v>
      </c>
      <c r="J47" s="796">
        <f t="shared" si="2"/>
        <v>74.694029850746261</v>
      </c>
      <c r="K47" s="796" t="str">
        <f t="shared" si="3"/>
        <v/>
      </c>
    </row>
    <row r="48" spans="1:11" ht="56.25">
      <c r="A48" s="565" t="s">
        <v>496</v>
      </c>
      <c r="B48" s="633" t="s">
        <v>497</v>
      </c>
      <c r="C48" s="689">
        <f t="shared" si="12"/>
        <v>89925</v>
      </c>
      <c r="D48" s="672">
        <v>89925</v>
      </c>
      <c r="E48" s="689">
        <v>0</v>
      </c>
      <c r="F48" s="689">
        <f t="shared" si="13"/>
        <v>96859.26</v>
      </c>
      <c r="G48" s="689">
        <v>96859.26</v>
      </c>
      <c r="H48" s="689">
        <v>0</v>
      </c>
      <c r="I48" s="796">
        <f t="shared" si="14"/>
        <v>107.71115929941618</v>
      </c>
      <c r="J48" s="796">
        <f t="shared" si="2"/>
        <v>107.71115929941618</v>
      </c>
      <c r="K48" s="796" t="str">
        <f t="shared" si="3"/>
        <v/>
      </c>
    </row>
    <row r="49" spans="1:11" ht="18.75">
      <c r="A49" s="565" t="s">
        <v>498</v>
      </c>
      <c r="B49" s="633" t="s">
        <v>499</v>
      </c>
      <c r="C49" s="689">
        <f t="shared" si="12"/>
        <v>9126</v>
      </c>
      <c r="D49" s="672">
        <v>9126</v>
      </c>
      <c r="E49" s="689">
        <v>0</v>
      </c>
      <c r="F49" s="689">
        <f t="shared" si="13"/>
        <v>6998.6386650000004</v>
      </c>
      <c r="G49" s="689">
        <v>6998.6386650000004</v>
      </c>
      <c r="H49" s="689">
        <v>0</v>
      </c>
      <c r="I49" s="796">
        <f t="shared" si="14"/>
        <v>76.689005752794216</v>
      </c>
      <c r="J49" s="796">
        <f t="shared" si="2"/>
        <v>76.689005752794216</v>
      </c>
      <c r="K49" s="796" t="str">
        <f t="shared" si="3"/>
        <v/>
      </c>
    </row>
    <row r="50" spans="1:11" ht="75">
      <c r="A50" s="565" t="s">
        <v>500</v>
      </c>
      <c r="B50" s="633" t="s">
        <v>501</v>
      </c>
      <c r="C50" s="689">
        <f t="shared" si="12"/>
        <v>22222</v>
      </c>
      <c r="D50" s="672">
        <v>22222</v>
      </c>
      <c r="E50" s="689">
        <v>0</v>
      </c>
      <c r="F50" s="689">
        <f t="shared" si="13"/>
        <v>23271.102674999998</v>
      </c>
      <c r="G50" s="689">
        <v>23271.102674999998</v>
      </c>
      <c r="H50" s="689">
        <v>0</v>
      </c>
      <c r="I50" s="796">
        <f t="shared" si="14"/>
        <v>104.72100924759246</v>
      </c>
      <c r="J50" s="796">
        <f t="shared" si="2"/>
        <v>104.72100924759246</v>
      </c>
      <c r="K50" s="796" t="str">
        <f t="shared" si="3"/>
        <v/>
      </c>
    </row>
    <row r="51" spans="1:11" ht="118.5" customHeight="1">
      <c r="A51" s="565" t="s">
        <v>502</v>
      </c>
      <c r="B51" s="633" t="s">
        <v>594</v>
      </c>
      <c r="C51" s="689">
        <f t="shared" si="12"/>
        <v>100674</v>
      </c>
      <c r="D51" s="672">
        <v>100674</v>
      </c>
      <c r="E51" s="689">
        <v>0</v>
      </c>
      <c r="F51" s="689">
        <f t="shared" si="13"/>
        <v>16597.491000000002</v>
      </c>
      <c r="G51" s="689">
        <v>16597.491000000002</v>
      </c>
      <c r="H51" s="689">
        <v>0</v>
      </c>
      <c r="I51" s="796">
        <f t="shared" si="14"/>
        <v>16.486372847011147</v>
      </c>
      <c r="J51" s="796">
        <f t="shared" si="2"/>
        <v>16.486372847011147</v>
      </c>
      <c r="K51" s="796" t="str">
        <f t="shared" si="3"/>
        <v/>
      </c>
    </row>
    <row r="52" spans="1:11" ht="37.5">
      <c r="A52" s="565" t="s">
        <v>504</v>
      </c>
      <c r="B52" s="633" t="s">
        <v>505</v>
      </c>
      <c r="C52" s="689">
        <f t="shared" si="12"/>
        <v>26088</v>
      </c>
      <c r="D52" s="672">
        <v>26088</v>
      </c>
      <c r="E52" s="689">
        <v>0</v>
      </c>
      <c r="F52" s="689">
        <f t="shared" si="13"/>
        <v>26088</v>
      </c>
      <c r="G52" s="689">
        <v>26088</v>
      </c>
      <c r="H52" s="689">
        <v>0</v>
      </c>
      <c r="I52" s="796">
        <f t="shared" si="14"/>
        <v>100</v>
      </c>
      <c r="J52" s="796">
        <f t="shared" si="2"/>
        <v>100</v>
      </c>
      <c r="K52" s="796" t="str">
        <f t="shared" si="3"/>
        <v/>
      </c>
    </row>
    <row r="53" spans="1:11" ht="37.5">
      <c r="A53" s="565" t="s">
        <v>506</v>
      </c>
      <c r="B53" s="633" t="s">
        <v>507</v>
      </c>
      <c r="C53" s="689">
        <f>D53+E53</f>
        <v>500</v>
      </c>
      <c r="D53" s="681">
        <v>500</v>
      </c>
      <c r="E53" s="689">
        <v>0</v>
      </c>
      <c r="F53" s="689">
        <f t="shared" si="13"/>
        <v>1300</v>
      </c>
      <c r="G53" s="689">
        <v>1300</v>
      </c>
      <c r="H53" s="689">
        <v>0</v>
      </c>
      <c r="I53" s="796">
        <f t="shared" si="14"/>
        <v>260</v>
      </c>
      <c r="J53" s="796">
        <f t="shared" si="2"/>
        <v>260</v>
      </c>
      <c r="K53" s="796" t="str">
        <f t="shared" si="3"/>
        <v/>
      </c>
    </row>
    <row r="54" spans="1:11" ht="18.75">
      <c r="A54" s="565" t="s">
        <v>508</v>
      </c>
      <c r="B54" s="633" t="s">
        <v>509</v>
      </c>
      <c r="C54" s="689">
        <f t="shared" si="12"/>
        <v>5635</v>
      </c>
      <c r="D54" s="672">
        <v>5635</v>
      </c>
      <c r="E54" s="689">
        <v>0</v>
      </c>
      <c r="F54" s="689">
        <f t="shared" si="13"/>
        <v>5544.5959999999995</v>
      </c>
      <c r="G54" s="689">
        <v>5544.5959999999995</v>
      </c>
      <c r="H54" s="689">
        <v>0</v>
      </c>
      <c r="I54" s="796">
        <f t="shared" si="14"/>
        <v>98.395669920141955</v>
      </c>
      <c r="J54" s="796">
        <f t="shared" si="2"/>
        <v>98.395669920141955</v>
      </c>
      <c r="K54" s="796" t="str">
        <f t="shared" si="3"/>
        <v/>
      </c>
    </row>
    <row r="55" spans="1:11" ht="18.75">
      <c r="A55" s="565" t="s">
        <v>510</v>
      </c>
      <c r="B55" s="633" t="s">
        <v>511</v>
      </c>
      <c r="C55" s="689">
        <f t="shared" si="12"/>
        <v>1682</v>
      </c>
      <c r="D55" s="689">
        <v>1682</v>
      </c>
      <c r="E55" s="689">
        <v>0</v>
      </c>
      <c r="F55" s="689">
        <f t="shared" si="13"/>
        <v>1573.4900990000001</v>
      </c>
      <c r="G55" s="689">
        <v>1573.4900990000001</v>
      </c>
      <c r="H55" s="689">
        <v>0</v>
      </c>
      <c r="I55" s="796">
        <f t="shared" si="14"/>
        <v>93.548757372175984</v>
      </c>
      <c r="J55" s="796">
        <f t="shared" si="2"/>
        <v>93.548757372175984</v>
      </c>
      <c r="K55" s="796" t="str">
        <f t="shared" si="3"/>
        <v/>
      </c>
    </row>
    <row r="56" spans="1:11" ht="18.75">
      <c r="A56" s="565" t="s">
        <v>512</v>
      </c>
      <c r="B56" s="633" t="s">
        <v>513</v>
      </c>
      <c r="C56" s="689">
        <f t="shared" si="12"/>
        <v>7916</v>
      </c>
      <c r="D56" s="689">
        <v>7916</v>
      </c>
      <c r="E56" s="689">
        <v>0</v>
      </c>
      <c r="F56" s="689">
        <f t="shared" si="13"/>
        <v>6488.4888920000003</v>
      </c>
      <c r="G56" s="689">
        <v>6488.4888920000003</v>
      </c>
      <c r="H56" s="689">
        <v>0</v>
      </c>
      <c r="I56" s="796">
        <f t="shared" si="14"/>
        <v>81.966762152602328</v>
      </c>
      <c r="J56" s="796">
        <f t="shared" si="2"/>
        <v>81.966762152602328</v>
      </c>
      <c r="K56" s="796" t="str">
        <f t="shared" si="3"/>
        <v/>
      </c>
    </row>
    <row r="57" spans="1:11" ht="37.5">
      <c r="A57" s="565" t="s">
        <v>514</v>
      </c>
      <c r="B57" s="633" t="s">
        <v>515</v>
      </c>
      <c r="C57" s="689">
        <f t="shared" si="12"/>
        <v>1760</v>
      </c>
      <c r="D57" s="689">
        <v>1760</v>
      </c>
      <c r="E57" s="689">
        <v>0</v>
      </c>
      <c r="F57" s="689">
        <f t="shared" si="13"/>
        <v>4510.152274</v>
      </c>
      <c r="G57" s="689">
        <f>2848.911848+1661.240426</f>
        <v>4510.152274</v>
      </c>
      <c r="H57" s="689">
        <v>0</v>
      </c>
      <c r="I57" s="796">
        <f t="shared" si="14"/>
        <v>256.25865193181818</v>
      </c>
      <c r="J57" s="796">
        <f t="shared" si="2"/>
        <v>256.25865193181818</v>
      </c>
      <c r="K57" s="796" t="str">
        <f t="shared" si="3"/>
        <v/>
      </c>
    </row>
    <row r="58" spans="1:11" ht="18.75">
      <c r="A58" s="565" t="s">
        <v>516</v>
      </c>
      <c r="B58" s="633" t="s">
        <v>517</v>
      </c>
      <c r="C58" s="689">
        <f t="shared" si="12"/>
        <v>500</v>
      </c>
      <c r="D58" s="689">
        <v>500</v>
      </c>
      <c r="E58" s="689">
        <v>0</v>
      </c>
      <c r="F58" s="689">
        <f t="shared" si="13"/>
        <v>300</v>
      </c>
      <c r="G58" s="689">
        <v>300</v>
      </c>
      <c r="H58" s="689">
        <v>0</v>
      </c>
      <c r="I58" s="796">
        <f t="shared" si="14"/>
        <v>60</v>
      </c>
      <c r="J58" s="796">
        <f t="shared" si="2"/>
        <v>60</v>
      </c>
      <c r="K58" s="796" t="str">
        <f t="shared" si="3"/>
        <v/>
      </c>
    </row>
    <row r="59" spans="1:11" ht="18.75">
      <c r="A59" s="565" t="s">
        <v>518</v>
      </c>
      <c r="B59" s="633" t="s">
        <v>519</v>
      </c>
      <c r="C59" s="689">
        <f t="shared" si="12"/>
        <v>1550</v>
      </c>
      <c r="D59" s="689">
        <v>1550</v>
      </c>
      <c r="E59" s="689">
        <v>0</v>
      </c>
      <c r="F59" s="689">
        <f t="shared" si="13"/>
        <v>427.64960000000002</v>
      </c>
      <c r="G59" s="689">
        <v>427.64960000000002</v>
      </c>
      <c r="H59" s="689">
        <v>0</v>
      </c>
      <c r="I59" s="796">
        <f t="shared" si="14"/>
        <v>27.590296774193551</v>
      </c>
      <c r="J59" s="796">
        <f t="shared" si="2"/>
        <v>27.590296774193551</v>
      </c>
      <c r="K59" s="796" t="str">
        <f t="shared" si="3"/>
        <v/>
      </c>
    </row>
    <row r="60" spans="1:11" ht="37.5">
      <c r="A60" s="565" t="s">
        <v>520</v>
      </c>
      <c r="B60" s="633" t="s">
        <v>521</v>
      </c>
      <c r="C60" s="689">
        <f t="shared" si="12"/>
        <v>1500</v>
      </c>
      <c r="D60" s="689">
        <v>1500</v>
      </c>
      <c r="E60" s="689">
        <v>0</v>
      </c>
      <c r="F60" s="689">
        <f t="shared" si="13"/>
        <v>572.32000000000005</v>
      </c>
      <c r="G60" s="689">
        <v>572.32000000000005</v>
      </c>
      <c r="H60" s="689">
        <v>0</v>
      </c>
      <c r="I60" s="796">
        <f t="shared" si="14"/>
        <v>38.154666666666671</v>
      </c>
      <c r="J60" s="796">
        <f t="shared" si="2"/>
        <v>38.154666666666671</v>
      </c>
      <c r="K60" s="796" t="str">
        <f t="shared" si="3"/>
        <v/>
      </c>
    </row>
    <row r="61" spans="1:11" s="9" customFormat="1" ht="19.5">
      <c r="A61" s="601" t="s">
        <v>37</v>
      </c>
      <c r="B61" s="602" t="s">
        <v>208</v>
      </c>
      <c r="C61" s="691">
        <f t="shared" si="12"/>
        <v>0</v>
      </c>
      <c r="D61" s="637">
        <v>0</v>
      </c>
      <c r="E61" s="637">
        <v>0</v>
      </c>
      <c r="F61" s="691">
        <f t="shared" si="13"/>
        <v>3390006.465911</v>
      </c>
      <c r="G61" s="650">
        <v>3002874.775618</v>
      </c>
      <c r="H61" s="650">
        <f>359513.759704+27617.930589</f>
        <v>387131.69029300002</v>
      </c>
      <c r="I61" s="798" t="str">
        <f t="shared" si="14"/>
        <v/>
      </c>
      <c r="J61" s="798" t="str">
        <f t="shared" si="2"/>
        <v/>
      </c>
      <c r="K61" s="798" t="str">
        <f t="shared" si="3"/>
        <v/>
      </c>
    </row>
  </sheetData>
  <mergeCells count="13">
    <mergeCell ref="A8:A9"/>
    <mergeCell ref="B8:B9"/>
    <mergeCell ref="F7:K7"/>
    <mergeCell ref="I8:K8"/>
    <mergeCell ref="D8:E8"/>
    <mergeCell ref="C8:C9"/>
    <mergeCell ref="F8:F9"/>
    <mergeCell ref="G8:H8"/>
    <mergeCell ref="A3:K3"/>
    <mergeCell ref="A1:K1"/>
    <mergeCell ref="A2:K2"/>
    <mergeCell ref="A4:K4"/>
    <mergeCell ref="A5:K5"/>
  </mergeCells>
  <printOptions horizontalCentered="1"/>
  <pageMargins left="0.49" right="0.17" top="0.56999999999999995" bottom="0.16" header="0.32" footer="0.19"/>
  <pageSetup paperSize="9" scale="51" fitToHeight="5" orientation="portrait" r:id="rId1"/>
  <headerFooter alignWithMargins="0">
    <oddHeader>&amp;C&amp;"Times New Roman,Regular"</oddHeader>
    <oddFooter>&amp;C&amp;".VnTime,Italic"&amp;8</oddFooter>
  </headerFooter>
</worksheet>
</file>

<file path=xl/worksheets/sheet16.xml><?xml version="1.0" encoding="utf-8"?>
<worksheet xmlns="http://schemas.openxmlformats.org/spreadsheetml/2006/main" xmlns:r="http://schemas.openxmlformats.org/officeDocument/2006/relationships">
  <sheetPr>
    <tabColor rgb="FFFFFF00"/>
    <pageSetUpPr fitToPage="1"/>
  </sheetPr>
  <dimension ref="A1:L61"/>
  <sheetViews>
    <sheetView topLeftCell="A19" zoomScale="70" zoomScaleNormal="70" workbookViewId="0">
      <selection activeCell="G36" sqref="G36"/>
    </sheetView>
  </sheetViews>
  <sheetFormatPr defaultColWidth="9" defaultRowHeight="15.75"/>
  <cols>
    <col min="1" max="1" width="5.125" style="4" customWidth="1"/>
    <col min="2" max="2" width="66.75" style="4" customWidth="1"/>
    <col min="3" max="8" width="15.875" style="4" customWidth="1"/>
    <col min="9" max="11" width="10" style="4" customWidth="1"/>
    <col min="12" max="12" width="11.5" style="4" bestFit="1" customWidth="1"/>
    <col min="13" max="16384" width="9" style="4"/>
  </cols>
  <sheetData>
    <row r="1" spans="1:12" ht="21" customHeight="1">
      <c r="A1" s="1"/>
      <c r="B1" s="1"/>
      <c r="C1" s="2"/>
      <c r="D1" s="3"/>
      <c r="E1" s="2"/>
      <c r="F1" s="3"/>
      <c r="G1" s="3"/>
      <c r="H1" s="2"/>
      <c r="I1" s="815" t="s">
        <v>355</v>
      </c>
      <c r="J1" s="815"/>
      <c r="K1" s="815"/>
    </row>
    <row r="2" spans="1:12" ht="18.75">
      <c r="A2" s="5"/>
      <c r="B2" s="5"/>
      <c r="C2" s="2"/>
      <c r="D2" s="2"/>
      <c r="E2" s="2"/>
      <c r="F2" s="2"/>
      <c r="G2" s="2"/>
      <c r="H2" s="2"/>
      <c r="I2" s="2"/>
      <c r="J2" s="2"/>
      <c r="K2" s="2"/>
    </row>
    <row r="3" spans="1:12" ht="21" customHeight="1">
      <c r="A3" s="930" t="s">
        <v>524</v>
      </c>
      <c r="B3" s="930"/>
      <c r="C3" s="930"/>
      <c r="D3" s="930"/>
      <c r="E3" s="930"/>
      <c r="F3" s="930"/>
      <c r="G3" s="930"/>
      <c r="H3" s="930"/>
      <c r="I3" s="930"/>
      <c r="J3" s="930"/>
      <c r="K3" s="930"/>
    </row>
    <row r="4" spans="1:12" ht="21" customHeight="1">
      <c r="A4" s="930" t="s">
        <v>525</v>
      </c>
      <c r="B4" s="930"/>
      <c r="C4" s="930"/>
      <c r="D4" s="930"/>
      <c r="E4" s="930"/>
      <c r="F4" s="930"/>
      <c r="G4" s="930"/>
      <c r="H4" s="930"/>
      <c r="I4" s="930"/>
      <c r="J4" s="930"/>
      <c r="K4" s="930"/>
    </row>
    <row r="5" spans="1:12" ht="21" customHeight="1">
      <c r="A5" s="960" t="s">
        <v>454</v>
      </c>
      <c r="B5" s="960"/>
      <c r="C5" s="960"/>
      <c r="D5" s="960"/>
      <c r="E5" s="960"/>
      <c r="F5" s="960"/>
      <c r="G5" s="960"/>
      <c r="H5" s="960"/>
      <c r="I5" s="960"/>
      <c r="J5" s="960"/>
      <c r="K5" s="960"/>
    </row>
    <row r="6" spans="1:12" ht="18.75">
      <c r="A6" s="7"/>
      <c r="B6" s="7"/>
      <c r="C6" s="2"/>
      <c r="D6" s="2"/>
      <c r="E6" s="2"/>
      <c r="F6" s="2"/>
      <c r="G6" s="2"/>
      <c r="H6" s="2"/>
      <c r="I6" s="2"/>
      <c r="J6" s="2"/>
      <c r="K6" s="2"/>
    </row>
    <row r="7" spans="1:12" ht="19.5" customHeight="1" thickBot="1">
      <c r="A7" s="8"/>
      <c r="B7" s="8"/>
      <c r="C7" s="9"/>
      <c r="D7" s="9"/>
      <c r="E7" s="9"/>
      <c r="F7" s="961" t="s">
        <v>187</v>
      </c>
      <c r="G7" s="961"/>
      <c r="H7" s="961"/>
      <c r="I7" s="961"/>
      <c r="J7" s="961"/>
      <c r="K7" s="961"/>
    </row>
    <row r="8" spans="1:12" s="10" customFormat="1" ht="21.75" customHeight="1">
      <c r="A8" s="962" t="s">
        <v>110</v>
      </c>
      <c r="B8" s="964" t="s">
        <v>11</v>
      </c>
      <c r="C8" s="812" t="s">
        <v>87</v>
      </c>
      <c r="D8" s="956" t="s">
        <v>70</v>
      </c>
      <c r="E8" s="957"/>
      <c r="F8" s="812" t="s">
        <v>109</v>
      </c>
      <c r="G8" s="956" t="s">
        <v>70</v>
      </c>
      <c r="H8" s="957"/>
      <c r="I8" s="956" t="s">
        <v>200</v>
      </c>
      <c r="J8" s="958"/>
      <c r="K8" s="959"/>
    </row>
    <row r="9" spans="1:12" s="10" customFormat="1" ht="75">
      <c r="A9" s="963"/>
      <c r="B9" s="965"/>
      <c r="C9" s="813"/>
      <c r="D9" s="749" t="s">
        <v>526</v>
      </c>
      <c r="E9" s="749" t="s">
        <v>319</v>
      </c>
      <c r="F9" s="813"/>
      <c r="G9" s="749" t="s">
        <v>526</v>
      </c>
      <c r="H9" s="749" t="s">
        <v>319</v>
      </c>
      <c r="I9" s="748" t="s">
        <v>527</v>
      </c>
      <c r="J9" s="749" t="s">
        <v>526</v>
      </c>
      <c r="K9" s="749" t="s">
        <v>319</v>
      </c>
    </row>
    <row r="10" spans="1:12" s="36" customFormat="1" ht="17.25" customHeight="1">
      <c r="A10" s="682" t="s">
        <v>15</v>
      </c>
      <c r="B10" s="683" t="s">
        <v>16</v>
      </c>
      <c r="C10" s="750" t="s">
        <v>72</v>
      </c>
      <c r="D10" s="750">
        <v>2</v>
      </c>
      <c r="E10" s="750">
        <f>D10+1</f>
        <v>3</v>
      </c>
      <c r="F10" s="750" t="s">
        <v>73</v>
      </c>
      <c r="G10" s="750">
        <v>5</v>
      </c>
      <c r="H10" s="750">
        <f>G10+1</f>
        <v>6</v>
      </c>
      <c r="I10" s="750" t="s">
        <v>80</v>
      </c>
      <c r="J10" s="750" t="s">
        <v>81</v>
      </c>
      <c r="K10" s="684" t="s">
        <v>82</v>
      </c>
    </row>
    <row r="11" spans="1:12" s="9" customFormat="1" ht="18.75">
      <c r="A11" s="580"/>
      <c r="B11" s="581" t="s">
        <v>261</v>
      </c>
      <c r="C11" s="639">
        <f>C12+C31</f>
        <v>8938477</v>
      </c>
      <c r="D11" s="639">
        <f>D12+D31</f>
        <v>5064635</v>
      </c>
      <c r="E11" s="639">
        <f>E12+E31</f>
        <v>3873842</v>
      </c>
      <c r="F11" s="639">
        <f>F12+F31+F61</f>
        <v>11435100.594091002</v>
      </c>
      <c r="G11" s="639">
        <f>G12+G31+G61</f>
        <v>6940854.2280170005</v>
      </c>
      <c r="H11" s="639">
        <f>H12+H31+H61</f>
        <v>4494246.3660740005</v>
      </c>
      <c r="I11" s="640">
        <f>IF(AND(C11&lt;&gt;0,F11&lt;&gt;0),F11/C11%,"")</f>
        <v>127.93119671383616</v>
      </c>
      <c r="J11" s="640">
        <f>IF(AND(D11&lt;&gt;0,G11&lt;&gt;0),G11/D11%,"")</f>
        <v>137.04549741525304</v>
      </c>
      <c r="K11" s="640">
        <f>IF(AND(E11&lt;&gt;0,H11&lt;&gt;0),H11/E11%,"")</f>
        <v>116.01522122156766</v>
      </c>
      <c r="L11" s="695"/>
    </row>
    <row r="12" spans="1:12" s="9" customFormat="1" ht="18.75">
      <c r="A12" s="582" t="s">
        <v>15</v>
      </c>
      <c r="B12" s="583" t="s">
        <v>329</v>
      </c>
      <c r="C12" s="641">
        <f t="shared" ref="C12:H12" si="0">C13+C23+C27+C28+C29+C30</f>
        <v>7070667</v>
      </c>
      <c r="D12" s="641">
        <f t="shared" si="0"/>
        <v>3196825</v>
      </c>
      <c r="E12" s="641">
        <f t="shared" si="0"/>
        <v>3873842</v>
      </c>
      <c r="F12" s="641">
        <f t="shared" si="0"/>
        <v>7175600.6760000009</v>
      </c>
      <c r="G12" s="641">
        <f t="shared" si="0"/>
        <v>3099426.0088560004</v>
      </c>
      <c r="H12" s="641">
        <f t="shared" si="0"/>
        <v>4076174.6671440005</v>
      </c>
      <c r="I12" s="635">
        <f t="shared" ref="I12:K43" si="1">IF(AND(C12&lt;&gt;0,F12&lt;&gt;0),F12/C12%,"")</f>
        <v>101.48407039958184</v>
      </c>
      <c r="J12" s="635">
        <f t="shared" si="1"/>
        <v>96.953258588005298</v>
      </c>
      <c r="K12" s="635">
        <f t="shared" si="1"/>
        <v>105.22304903359509</v>
      </c>
      <c r="L12" s="695"/>
    </row>
    <row r="13" spans="1:12" s="9" customFormat="1" ht="18.75">
      <c r="A13" s="582" t="s">
        <v>32</v>
      </c>
      <c r="B13" s="583" t="s">
        <v>64</v>
      </c>
      <c r="C13" s="641">
        <f t="shared" ref="C13:H13" si="2">C14+C21+C22</f>
        <v>1714880</v>
      </c>
      <c r="D13" s="641">
        <f t="shared" si="2"/>
        <v>1514977</v>
      </c>
      <c r="E13" s="641">
        <f t="shared" si="2"/>
        <v>199903</v>
      </c>
      <c r="F13" s="641">
        <f t="shared" si="2"/>
        <v>1797069.3904290001</v>
      </c>
      <c r="G13" s="641">
        <f t="shared" si="2"/>
        <v>1439605.4255070002</v>
      </c>
      <c r="H13" s="641">
        <f t="shared" si="2"/>
        <v>357463.96492200001</v>
      </c>
      <c r="I13" s="635">
        <f t="shared" si="1"/>
        <v>104.79271963221917</v>
      </c>
      <c r="J13" s="635">
        <f t="shared" si="1"/>
        <v>95.024903051795519</v>
      </c>
      <c r="K13" s="635">
        <f t="shared" si="1"/>
        <v>178.81870953512455</v>
      </c>
      <c r="L13" s="695"/>
    </row>
    <row r="14" spans="1:12" s="9" customFormat="1" ht="18.75">
      <c r="A14" s="584">
        <v>1</v>
      </c>
      <c r="B14" s="23" t="s">
        <v>159</v>
      </c>
      <c r="C14" s="642">
        <f>D14+E14</f>
        <v>1707680</v>
      </c>
      <c r="D14" s="685">
        <f>399680+110000+1200000-E14-2000</f>
        <v>1507777</v>
      </c>
      <c r="E14" s="685">
        <v>199903</v>
      </c>
      <c r="F14" s="642">
        <f>G14+H14</f>
        <v>1797069.3904290001</v>
      </c>
      <c r="G14" s="642">
        <f>2024064.735531-'PL53 (2)'!G36-151906.455435</f>
        <v>1439605.4255070002</v>
      </c>
      <c r="H14" s="642">
        <f>(320338.976008+37124.988914)</f>
        <v>357463.96492200001</v>
      </c>
      <c r="I14" s="632">
        <f t="shared" si="1"/>
        <v>105.23455158044834</v>
      </c>
      <c r="J14" s="632">
        <f t="shared" si="1"/>
        <v>95.47866995629991</v>
      </c>
      <c r="K14" s="632">
        <f t="shared" si="1"/>
        <v>178.81870953512455</v>
      </c>
    </row>
    <row r="15" spans="1:12" s="19" customFormat="1" ht="18.75">
      <c r="A15" s="585"/>
      <c r="B15" s="587" t="s">
        <v>401</v>
      </c>
      <c r="C15" s="636">
        <f t="shared" ref="C15:C30" si="3">D15+E15</f>
        <v>0</v>
      </c>
      <c r="D15" s="685"/>
      <c r="E15" s="685"/>
      <c r="F15" s="636">
        <f t="shared" ref="F15:F30" si="4">G15+H15</f>
        <v>0</v>
      </c>
      <c r="G15" s="636"/>
      <c r="H15" s="636"/>
      <c r="I15" s="631" t="str">
        <f t="shared" si="1"/>
        <v/>
      </c>
      <c r="J15" s="631" t="str">
        <f t="shared" si="1"/>
        <v/>
      </c>
      <c r="K15" s="631" t="str">
        <f t="shared" si="1"/>
        <v/>
      </c>
    </row>
    <row r="16" spans="1:12" s="19" customFormat="1" ht="18.75">
      <c r="A16" s="586" t="s">
        <v>24</v>
      </c>
      <c r="B16" s="587" t="s">
        <v>117</v>
      </c>
      <c r="C16" s="636">
        <f t="shared" si="3"/>
        <v>426703</v>
      </c>
      <c r="D16" s="686">
        <v>426703</v>
      </c>
      <c r="E16" s="685">
        <v>0</v>
      </c>
      <c r="F16" s="636">
        <f t="shared" si="4"/>
        <v>455198.32941800001</v>
      </c>
      <c r="G16" s="636">
        <f>447822.043865</f>
        <v>447822.04386500001</v>
      </c>
      <c r="H16" s="636">
        <f>7376.285553</f>
        <v>7376.2855529999997</v>
      </c>
      <c r="I16" s="631">
        <f t="shared" si="1"/>
        <v>106.67802415684915</v>
      </c>
      <c r="J16" s="631">
        <f t="shared" si="1"/>
        <v>104.94935443739557</v>
      </c>
      <c r="K16" s="631" t="str">
        <f t="shared" si="1"/>
        <v/>
      </c>
    </row>
    <row r="17" spans="1:11" s="9" customFormat="1" ht="18.75">
      <c r="A17" s="586" t="s">
        <v>24</v>
      </c>
      <c r="B17" s="587" t="s">
        <v>74</v>
      </c>
      <c r="C17" s="636">
        <f t="shared" si="3"/>
        <v>10000</v>
      </c>
      <c r="D17" s="686">
        <v>10000</v>
      </c>
      <c r="E17" s="685">
        <v>0</v>
      </c>
      <c r="F17" s="636">
        <f t="shared" si="4"/>
        <v>277.34321599999998</v>
      </c>
      <c r="G17" s="636">
        <v>277.34321599999998</v>
      </c>
      <c r="H17" s="636">
        <v>0</v>
      </c>
      <c r="I17" s="631">
        <f t="shared" si="1"/>
        <v>2.77343216</v>
      </c>
      <c r="J17" s="631">
        <f t="shared" si="1"/>
        <v>2.77343216</v>
      </c>
      <c r="K17" s="631" t="str">
        <f t="shared" si="1"/>
        <v/>
      </c>
    </row>
    <row r="18" spans="1:11" s="19" customFormat="1" ht="18.75">
      <c r="A18" s="585"/>
      <c r="B18" s="587" t="s">
        <v>402</v>
      </c>
      <c r="C18" s="636">
        <f t="shared" si="3"/>
        <v>0</v>
      </c>
      <c r="D18" s="685"/>
      <c r="E18" s="685"/>
      <c r="F18" s="636">
        <f t="shared" si="4"/>
        <v>0</v>
      </c>
      <c r="G18" s="636"/>
      <c r="H18" s="636"/>
      <c r="I18" s="631" t="str">
        <f t="shared" si="1"/>
        <v/>
      </c>
      <c r="J18" s="631" t="str">
        <f t="shared" si="1"/>
        <v/>
      </c>
      <c r="K18" s="631" t="str">
        <f t="shared" si="1"/>
        <v/>
      </c>
    </row>
    <row r="19" spans="1:11" s="19" customFormat="1" ht="18.75">
      <c r="A19" s="586" t="s">
        <v>24</v>
      </c>
      <c r="B19" s="587" t="s">
        <v>40</v>
      </c>
      <c r="C19" s="636">
        <f t="shared" si="3"/>
        <v>110000</v>
      </c>
      <c r="D19" s="686">
        <v>30000</v>
      </c>
      <c r="E19" s="686">
        <v>80000</v>
      </c>
      <c r="F19" s="636">
        <f t="shared" si="4"/>
        <v>108984.141326</v>
      </c>
      <c r="G19" s="751">
        <v>45788.586261999997</v>
      </c>
      <c r="H19" s="751">
        <v>63195.555064</v>
      </c>
      <c r="I19" s="631">
        <f t="shared" si="1"/>
        <v>99.076492114545445</v>
      </c>
      <c r="J19" s="631">
        <f t="shared" si="1"/>
        <v>152.62862087333332</v>
      </c>
      <c r="K19" s="631">
        <f t="shared" si="1"/>
        <v>78.994443829999994</v>
      </c>
    </row>
    <row r="20" spans="1:11" s="19" customFormat="1" ht="18.75">
      <c r="A20" s="586" t="s">
        <v>24</v>
      </c>
      <c r="B20" s="587" t="s">
        <v>41</v>
      </c>
      <c r="C20" s="636">
        <f t="shared" si="3"/>
        <v>1200000</v>
      </c>
      <c r="D20" s="686">
        <v>1200000</v>
      </c>
      <c r="E20" s="686">
        <v>0</v>
      </c>
      <c r="F20" s="636">
        <f t="shared" si="4"/>
        <v>1210697.411668</v>
      </c>
      <c r="G20" s="751">
        <v>1210597.411668</v>
      </c>
      <c r="H20" s="751">
        <v>100</v>
      </c>
      <c r="I20" s="631">
        <f t="shared" si="1"/>
        <v>100.89145097233333</v>
      </c>
      <c r="J20" s="631">
        <f t="shared" si="1"/>
        <v>100.88311763900001</v>
      </c>
      <c r="K20" s="631" t="str">
        <f t="shared" si="1"/>
        <v/>
      </c>
    </row>
    <row r="21" spans="1:11" s="9" customFormat="1" ht="56.25">
      <c r="A21" s="565">
        <v>2</v>
      </c>
      <c r="B21" s="599" t="s">
        <v>112</v>
      </c>
      <c r="C21" s="642">
        <f t="shared" si="3"/>
        <v>2000</v>
      </c>
      <c r="D21" s="685">
        <v>2000</v>
      </c>
      <c r="E21" s="685">
        <v>0</v>
      </c>
      <c r="F21" s="642">
        <f t="shared" si="4"/>
        <v>0</v>
      </c>
      <c r="G21" s="642"/>
      <c r="H21" s="642"/>
      <c r="I21" s="632" t="str">
        <f t="shared" si="1"/>
        <v/>
      </c>
      <c r="J21" s="632" t="str">
        <f t="shared" si="1"/>
        <v/>
      </c>
      <c r="K21" s="632" t="str">
        <f t="shared" si="1"/>
        <v/>
      </c>
    </row>
    <row r="22" spans="1:11" s="9" customFormat="1" ht="18.75">
      <c r="A22" s="584">
        <v>3</v>
      </c>
      <c r="B22" s="23" t="s">
        <v>400</v>
      </c>
      <c r="C22" s="642">
        <f t="shared" si="3"/>
        <v>5200</v>
      </c>
      <c r="D22" s="685">
        <v>5200</v>
      </c>
      <c r="E22" s="685">
        <v>0</v>
      </c>
      <c r="F22" s="642">
        <f t="shared" si="4"/>
        <v>0</v>
      </c>
      <c r="G22" s="642"/>
      <c r="H22" s="642"/>
      <c r="I22" s="632" t="str">
        <f t="shared" si="1"/>
        <v/>
      </c>
      <c r="J22" s="632" t="str">
        <f t="shared" si="1"/>
        <v/>
      </c>
      <c r="K22" s="632" t="str">
        <f t="shared" si="1"/>
        <v/>
      </c>
    </row>
    <row r="23" spans="1:11" s="9" customFormat="1" ht="19.5">
      <c r="A23" s="582" t="s">
        <v>33</v>
      </c>
      <c r="B23" s="583" t="s">
        <v>42</v>
      </c>
      <c r="C23" s="641">
        <f t="shared" si="3"/>
        <v>5180587</v>
      </c>
      <c r="D23" s="687">
        <v>1568611</v>
      </c>
      <c r="E23" s="687">
        <v>3611976</v>
      </c>
      <c r="F23" s="641">
        <f t="shared" si="4"/>
        <v>5377531.2855710005</v>
      </c>
      <c r="G23" s="638">
        <f>1914174.139397+0-G37-29033.478864</f>
        <v>1658820.583349</v>
      </c>
      <c r="H23" s="638">
        <f>(3029290.148366+719783.420392)+577.142101-H32</f>
        <v>3718710.7022220003</v>
      </c>
      <c r="I23" s="635">
        <f t="shared" si="1"/>
        <v>103.80158243787818</v>
      </c>
      <c r="J23" s="635">
        <f t="shared" si="1"/>
        <v>105.75092125128536</v>
      </c>
      <c r="K23" s="635">
        <f t="shared" si="1"/>
        <v>102.95502246476721</v>
      </c>
    </row>
    <row r="24" spans="1:11" s="9" customFormat="1" ht="18.75">
      <c r="A24" s="585"/>
      <c r="B24" s="587" t="s">
        <v>62</v>
      </c>
      <c r="C24" s="636">
        <f t="shared" si="3"/>
        <v>0</v>
      </c>
      <c r="D24" s="685"/>
      <c r="E24" s="685"/>
      <c r="F24" s="636">
        <f t="shared" si="4"/>
        <v>0</v>
      </c>
      <c r="G24" s="636"/>
      <c r="H24" s="636"/>
      <c r="I24" s="631" t="str">
        <f t="shared" si="1"/>
        <v/>
      </c>
      <c r="J24" s="631" t="str">
        <f t="shared" si="1"/>
        <v/>
      </c>
      <c r="K24" s="631" t="str">
        <f t="shared" si="1"/>
        <v/>
      </c>
    </row>
    <row r="25" spans="1:11" s="9" customFormat="1" ht="18.75">
      <c r="A25" s="585">
        <v>1</v>
      </c>
      <c r="B25" s="587" t="s">
        <v>203</v>
      </c>
      <c r="C25" s="636">
        <f t="shared" si="3"/>
        <v>2408215</v>
      </c>
      <c r="D25" s="686">
        <v>458119</v>
      </c>
      <c r="E25" s="686">
        <v>1950096</v>
      </c>
      <c r="F25" s="636">
        <f t="shared" si="4"/>
        <v>2251227.2088919999</v>
      </c>
      <c r="G25" s="751">
        <f>373509.166229</f>
        <v>373509.16622900002</v>
      </c>
      <c r="H25" s="751">
        <f>1876564.795197+1153.247466</f>
        <v>1877718.0426630001</v>
      </c>
      <c r="I25" s="631">
        <f t="shared" si="1"/>
        <v>93.481155498657714</v>
      </c>
      <c r="J25" s="631">
        <f t="shared" si="1"/>
        <v>81.53103587255714</v>
      </c>
      <c r="K25" s="631">
        <f t="shared" si="1"/>
        <v>96.28849260051814</v>
      </c>
    </row>
    <row r="26" spans="1:11" s="9" customFormat="1" ht="18.75">
      <c r="A26" s="585">
        <f>A25+1</f>
        <v>2</v>
      </c>
      <c r="B26" s="587" t="s">
        <v>417</v>
      </c>
      <c r="C26" s="636">
        <f t="shared" si="3"/>
        <v>19639</v>
      </c>
      <c r="D26" s="686">
        <v>19639</v>
      </c>
      <c r="E26" s="686">
        <v>0</v>
      </c>
      <c r="F26" s="636">
        <f t="shared" si="4"/>
        <v>17170.165165000002</v>
      </c>
      <c r="G26" s="751">
        <v>17015.212165000001</v>
      </c>
      <c r="H26" s="751">
        <v>154.953</v>
      </c>
      <c r="I26" s="631">
        <f t="shared" si="1"/>
        <v>87.428917791129905</v>
      </c>
      <c r="J26" s="631">
        <f t="shared" si="1"/>
        <v>86.639911222567349</v>
      </c>
      <c r="K26" s="631" t="str">
        <f t="shared" si="1"/>
        <v/>
      </c>
    </row>
    <row r="27" spans="1:11" ht="18.75">
      <c r="A27" s="582" t="s">
        <v>34</v>
      </c>
      <c r="B27" s="583" t="s">
        <v>157</v>
      </c>
      <c r="C27" s="641">
        <f t="shared" si="3"/>
        <v>800</v>
      </c>
      <c r="D27" s="687">
        <v>800</v>
      </c>
      <c r="E27" s="687">
        <v>0</v>
      </c>
      <c r="F27" s="641">
        <f t="shared" si="4"/>
        <v>0</v>
      </c>
      <c r="G27" s="688"/>
      <c r="H27" s="688"/>
      <c r="I27" s="635" t="str">
        <f t="shared" si="1"/>
        <v/>
      </c>
      <c r="J27" s="635" t="str">
        <f t="shared" si="1"/>
        <v/>
      </c>
      <c r="K27" s="635" t="str">
        <f t="shared" si="1"/>
        <v/>
      </c>
    </row>
    <row r="28" spans="1:11" ht="18.75">
      <c r="A28" s="582" t="s">
        <v>35</v>
      </c>
      <c r="B28" s="583" t="s">
        <v>289</v>
      </c>
      <c r="C28" s="641">
        <f t="shared" si="3"/>
        <v>1000</v>
      </c>
      <c r="D28" s="687">
        <v>1000</v>
      </c>
      <c r="E28" s="687">
        <v>0</v>
      </c>
      <c r="F28" s="641">
        <f t="shared" si="4"/>
        <v>1000</v>
      </c>
      <c r="G28" s="688">
        <v>1000</v>
      </c>
      <c r="H28" s="688"/>
      <c r="I28" s="635">
        <f t="shared" si="1"/>
        <v>100</v>
      </c>
      <c r="J28" s="635">
        <f t="shared" si="1"/>
        <v>100</v>
      </c>
      <c r="K28" s="635" t="str">
        <f t="shared" si="1"/>
        <v/>
      </c>
    </row>
    <row r="29" spans="1:11" ht="18.75">
      <c r="A29" s="582" t="s">
        <v>36</v>
      </c>
      <c r="B29" s="583" t="s">
        <v>44</v>
      </c>
      <c r="C29" s="641">
        <f t="shared" si="3"/>
        <v>139350</v>
      </c>
      <c r="D29" s="687">
        <f>139350-E29</f>
        <v>77387</v>
      </c>
      <c r="E29" s="687">
        <v>61963</v>
      </c>
      <c r="F29" s="641">
        <f t="shared" si="4"/>
        <v>0</v>
      </c>
      <c r="G29" s="688"/>
      <c r="H29" s="688"/>
      <c r="I29" s="635" t="str">
        <f t="shared" si="1"/>
        <v/>
      </c>
      <c r="J29" s="635" t="str">
        <f t="shared" si="1"/>
        <v/>
      </c>
      <c r="K29" s="635" t="str">
        <f t="shared" si="1"/>
        <v/>
      </c>
    </row>
    <row r="30" spans="1:11" ht="18.75">
      <c r="A30" s="582" t="s">
        <v>61</v>
      </c>
      <c r="B30" s="583" t="s">
        <v>160</v>
      </c>
      <c r="C30" s="641">
        <f t="shared" si="3"/>
        <v>34050</v>
      </c>
      <c r="D30" s="687">
        <v>34050</v>
      </c>
      <c r="E30" s="687">
        <v>0</v>
      </c>
      <c r="F30" s="641">
        <f t="shared" si="4"/>
        <v>0</v>
      </c>
      <c r="G30" s="688"/>
      <c r="H30" s="688"/>
      <c r="I30" s="635" t="str">
        <f t="shared" si="1"/>
        <v/>
      </c>
      <c r="J30" s="635" t="str">
        <f t="shared" si="1"/>
        <v/>
      </c>
      <c r="K30" s="635" t="str">
        <f t="shared" si="1"/>
        <v/>
      </c>
    </row>
    <row r="31" spans="1:11" s="19" customFormat="1" ht="18.75">
      <c r="A31" s="582" t="s">
        <v>16</v>
      </c>
      <c r="B31" s="600" t="s">
        <v>330</v>
      </c>
      <c r="C31" s="641">
        <f t="shared" ref="C31:H31" si="5">C32+C35</f>
        <v>1867810</v>
      </c>
      <c r="D31" s="641">
        <f t="shared" si="5"/>
        <v>1867810</v>
      </c>
      <c r="E31" s="641">
        <f t="shared" si="5"/>
        <v>0</v>
      </c>
      <c r="F31" s="641">
        <f t="shared" si="5"/>
        <v>870752.87470899988</v>
      </c>
      <c r="G31" s="641">
        <f t="shared" si="5"/>
        <v>839812.86607199989</v>
      </c>
      <c r="H31" s="641">
        <f t="shared" si="5"/>
        <v>30940.008636999999</v>
      </c>
      <c r="I31" s="635">
        <f t="shared" si="1"/>
        <v>46.618921341517606</v>
      </c>
      <c r="J31" s="635">
        <f t="shared" si="1"/>
        <v>44.962435476413553</v>
      </c>
      <c r="K31" s="635" t="str">
        <f t="shared" si="1"/>
        <v/>
      </c>
    </row>
    <row r="32" spans="1:11" ht="18.75">
      <c r="A32" s="582" t="s">
        <v>32</v>
      </c>
      <c r="B32" s="583" t="s">
        <v>302</v>
      </c>
      <c r="C32" s="688">
        <f t="shared" ref="C32:H32" si="6">C33+C34</f>
        <v>230446</v>
      </c>
      <c r="D32" s="688">
        <f t="shared" si="6"/>
        <v>230446</v>
      </c>
      <c r="E32" s="688">
        <f t="shared" si="6"/>
        <v>0</v>
      </c>
      <c r="F32" s="688">
        <f t="shared" si="6"/>
        <v>211879.94293600001</v>
      </c>
      <c r="G32" s="688">
        <f t="shared" si="6"/>
        <v>180939.93429899999</v>
      </c>
      <c r="H32" s="688">
        <f t="shared" si="6"/>
        <v>30940.008636999999</v>
      </c>
      <c r="I32" s="635">
        <f t="shared" si="1"/>
        <v>91.943424028188815</v>
      </c>
      <c r="J32" s="635">
        <f t="shared" si="1"/>
        <v>78.517281401716659</v>
      </c>
      <c r="K32" s="635" t="str">
        <f t="shared" si="1"/>
        <v/>
      </c>
    </row>
    <row r="33" spans="1:11" ht="18.75">
      <c r="A33" s="565">
        <v>1</v>
      </c>
      <c r="B33" s="566" t="s">
        <v>477</v>
      </c>
      <c r="C33" s="689">
        <f>D33+E33</f>
        <v>183200</v>
      </c>
      <c r="D33" s="672">
        <v>183200</v>
      </c>
      <c r="E33" s="689"/>
      <c r="F33" s="689">
        <f>G33+H33</f>
        <v>172220.237199</v>
      </c>
      <c r="G33" s="689">
        <v>155733.08573799999</v>
      </c>
      <c r="H33" s="689">
        <v>16487.151461000001</v>
      </c>
      <c r="I33" s="632">
        <f t="shared" si="1"/>
        <v>94.006679693777286</v>
      </c>
      <c r="J33" s="632">
        <f t="shared" si="1"/>
        <v>85.007142870087335</v>
      </c>
      <c r="K33" s="632" t="str">
        <f t="shared" si="1"/>
        <v/>
      </c>
    </row>
    <row r="34" spans="1:11" ht="18.75">
      <c r="A34" s="565">
        <v>2</v>
      </c>
      <c r="B34" s="566" t="s">
        <v>478</v>
      </c>
      <c r="C34" s="689">
        <f>D34+E34</f>
        <v>47246</v>
      </c>
      <c r="D34" s="672">
        <v>47246</v>
      </c>
      <c r="E34" s="689"/>
      <c r="F34" s="689">
        <f>G34+H34</f>
        <v>39659.705736999997</v>
      </c>
      <c r="G34" s="689">
        <v>25206.848560999999</v>
      </c>
      <c r="H34" s="689">
        <v>14452.857176</v>
      </c>
      <c r="I34" s="632">
        <f t="shared" si="1"/>
        <v>83.942991442661807</v>
      </c>
      <c r="J34" s="632">
        <f t="shared" si="1"/>
        <v>53.352344242898873</v>
      </c>
      <c r="K34" s="632" t="str">
        <f t="shared" si="1"/>
        <v/>
      </c>
    </row>
    <row r="35" spans="1:11" ht="18.75">
      <c r="A35" s="582" t="s">
        <v>33</v>
      </c>
      <c r="B35" s="583" t="s">
        <v>303</v>
      </c>
      <c r="C35" s="688">
        <f t="shared" ref="C35:H35" si="7">C36+C37</f>
        <v>1637364</v>
      </c>
      <c r="D35" s="688">
        <f t="shared" si="7"/>
        <v>1637364</v>
      </c>
      <c r="E35" s="688">
        <f t="shared" si="7"/>
        <v>0</v>
      </c>
      <c r="F35" s="688">
        <f t="shared" si="7"/>
        <v>658872.93177299993</v>
      </c>
      <c r="G35" s="688">
        <f t="shared" si="7"/>
        <v>658872.93177299993</v>
      </c>
      <c r="H35" s="688">
        <f t="shared" si="7"/>
        <v>0</v>
      </c>
      <c r="I35" s="635">
        <f t="shared" si="1"/>
        <v>40.239856975785464</v>
      </c>
      <c r="J35" s="635">
        <f t="shared" si="1"/>
        <v>40.239856975785464</v>
      </c>
      <c r="K35" s="635" t="str">
        <f t="shared" si="1"/>
        <v/>
      </c>
    </row>
    <row r="36" spans="1:11" ht="18.75">
      <c r="A36" s="565">
        <v>1</v>
      </c>
      <c r="B36" s="633" t="s">
        <v>479</v>
      </c>
      <c r="C36" s="689">
        <f>D36+E36</f>
        <v>1304081</v>
      </c>
      <c r="D36" s="689">
        <v>1304081</v>
      </c>
      <c r="E36" s="689">
        <v>0</v>
      </c>
      <c r="F36" s="689">
        <f>G36+H36</f>
        <v>432552.854589</v>
      </c>
      <c r="G36" s="694">
        <f>357191.986564+75360.868025</f>
        <v>432552.854589</v>
      </c>
      <c r="H36" s="689">
        <v>0</v>
      </c>
      <c r="I36" s="632">
        <f t="shared" si="1"/>
        <v>33.16917082520181</v>
      </c>
      <c r="J36" s="632">
        <f t="shared" si="1"/>
        <v>33.16917082520181</v>
      </c>
      <c r="K36" s="632" t="str">
        <f t="shared" si="1"/>
        <v/>
      </c>
    </row>
    <row r="37" spans="1:11" ht="18.75">
      <c r="A37" s="565">
        <v>2</v>
      </c>
      <c r="B37" s="633" t="s">
        <v>480</v>
      </c>
      <c r="C37" s="689">
        <f t="shared" ref="C37:H37" si="8">C38+SUM(C42:C60)</f>
        <v>333283</v>
      </c>
      <c r="D37" s="689">
        <f t="shared" si="8"/>
        <v>333283</v>
      </c>
      <c r="E37" s="689">
        <f t="shared" si="8"/>
        <v>0</v>
      </c>
      <c r="F37" s="689">
        <f t="shared" si="8"/>
        <v>226320.07718399999</v>
      </c>
      <c r="G37" s="689">
        <f t="shared" si="8"/>
        <v>226320.07718399999</v>
      </c>
      <c r="H37" s="689">
        <f t="shared" si="8"/>
        <v>0</v>
      </c>
      <c r="I37" s="632">
        <f t="shared" si="1"/>
        <v>67.906277003027455</v>
      </c>
      <c r="J37" s="632">
        <f t="shared" si="1"/>
        <v>67.906277003027455</v>
      </c>
      <c r="K37" s="632" t="str">
        <f t="shared" si="1"/>
        <v/>
      </c>
    </row>
    <row r="38" spans="1:11" ht="18.75">
      <c r="A38" s="565" t="s">
        <v>481</v>
      </c>
      <c r="B38" s="633" t="s">
        <v>39</v>
      </c>
      <c r="C38" s="689">
        <f t="shared" ref="C38:H38" si="9">SUM(C39:C41)</f>
        <v>21500</v>
      </c>
      <c r="D38" s="689">
        <f>SUM(D39:D41)</f>
        <v>21500</v>
      </c>
      <c r="E38" s="689">
        <f t="shared" si="9"/>
        <v>0</v>
      </c>
      <c r="F38" s="689">
        <f t="shared" si="9"/>
        <v>13236.211979</v>
      </c>
      <c r="G38" s="689">
        <f t="shared" si="9"/>
        <v>13236.211979</v>
      </c>
      <c r="H38" s="689">
        <f t="shared" si="9"/>
        <v>0</v>
      </c>
      <c r="I38" s="632">
        <f t="shared" si="1"/>
        <v>61.563776646511627</v>
      </c>
      <c r="J38" s="632">
        <f t="shared" si="1"/>
        <v>61.563776646511627</v>
      </c>
      <c r="K38" s="632" t="str">
        <f t="shared" si="1"/>
        <v/>
      </c>
    </row>
    <row r="39" spans="1:11" ht="18.75">
      <c r="A39" s="592" t="s">
        <v>472</v>
      </c>
      <c r="B39" s="634" t="s">
        <v>482</v>
      </c>
      <c r="C39" s="690">
        <f>D39+E39</f>
        <v>10000</v>
      </c>
      <c r="D39" s="690">
        <v>10000</v>
      </c>
      <c r="E39" s="690"/>
      <c r="F39" s="690">
        <f>G39+H39</f>
        <v>4171.7251900000001</v>
      </c>
      <c r="G39" s="693">
        <v>4171.7251900000001</v>
      </c>
      <c r="H39" s="690"/>
      <c r="I39" s="631">
        <f t="shared" si="1"/>
        <v>41.717251900000001</v>
      </c>
      <c r="J39" s="631">
        <f t="shared" si="1"/>
        <v>41.717251900000001</v>
      </c>
      <c r="K39" s="631" t="str">
        <f t="shared" si="1"/>
        <v/>
      </c>
    </row>
    <row r="40" spans="1:11" ht="37.5">
      <c r="A40" s="592" t="s">
        <v>472</v>
      </c>
      <c r="B40" s="634" t="s">
        <v>483</v>
      </c>
      <c r="C40" s="690">
        <f>D40+E40</f>
        <v>9800</v>
      </c>
      <c r="D40" s="690">
        <v>9800</v>
      </c>
      <c r="E40" s="690"/>
      <c r="F40" s="690">
        <f>G40+H40</f>
        <v>9064.4867890000005</v>
      </c>
      <c r="G40" s="693">
        <v>9064.4867890000005</v>
      </c>
      <c r="H40" s="690"/>
      <c r="I40" s="631">
        <f t="shared" si="1"/>
        <v>92.494763153061228</v>
      </c>
      <c r="J40" s="631">
        <f t="shared" si="1"/>
        <v>92.494763153061228</v>
      </c>
      <c r="K40" s="631" t="str">
        <f t="shared" si="1"/>
        <v/>
      </c>
    </row>
    <row r="41" spans="1:11" ht="18.75">
      <c r="A41" s="592" t="s">
        <v>472</v>
      </c>
      <c r="B41" s="634" t="s">
        <v>484</v>
      </c>
      <c r="C41" s="690">
        <f t="shared" ref="C41:C61" si="10">D41+E41</f>
        <v>1700</v>
      </c>
      <c r="D41" s="690">
        <v>1700</v>
      </c>
      <c r="E41" s="690"/>
      <c r="F41" s="690">
        <f t="shared" ref="F41:F61" si="11">G41+H41</f>
        <v>0</v>
      </c>
      <c r="G41" s="697">
        <v>0</v>
      </c>
      <c r="H41" s="690"/>
      <c r="I41" s="631" t="str">
        <f t="shared" si="1"/>
        <v/>
      </c>
      <c r="J41" s="631" t="str">
        <f t="shared" si="1"/>
        <v/>
      </c>
      <c r="K41" s="631" t="str">
        <f t="shared" si="1"/>
        <v/>
      </c>
    </row>
    <row r="42" spans="1:11" ht="18.75">
      <c r="A42" s="565" t="s">
        <v>485</v>
      </c>
      <c r="B42" s="633" t="s">
        <v>486</v>
      </c>
      <c r="C42" s="689">
        <f t="shared" si="10"/>
        <v>295</v>
      </c>
      <c r="D42" s="672">
        <v>295</v>
      </c>
      <c r="E42" s="689"/>
      <c r="F42" s="689">
        <f t="shared" si="11"/>
        <v>278.58100000000002</v>
      </c>
      <c r="G42" s="689">
        <v>278.58100000000002</v>
      </c>
      <c r="H42" s="689"/>
      <c r="I42" s="632">
        <f t="shared" si="1"/>
        <v>94.434237288135591</v>
      </c>
      <c r="J42" s="632">
        <f t="shared" si="1"/>
        <v>94.434237288135591</v>
      </c>
      <c r="K42" s="632" t="str">
        <f t="shared" si="1"/>
        <v/>
      </c>
    </row>
    <row r="43" spans="1:11" ht="37.5">
      <c r="A43" s="565" t="s">
        <v>487</v>
      </c>
      <c r="B43" s="633" t="s">
        <v>593</v>
      </c>
      <c r="C43" s="689">
        <f t="shared" si="10"/>
        <v>615</v>
      </c>
      <c r="D43" s="672">
        <v>615</v>
      </c>
      <c r="E43" s="689"/>
      <c r="F43" s="689">
        <f t="shared" si="11"/>
        <v>615</v>
      </c>
      <c r="G43" s="689">
        <v>615</v>
      </c>
      <c r="H43" s="689"/>
      <c r="I43" s="632">
        <f t="shared" si="1"/>
        <v>100</v>
      </c>
      <c r="J43" s="632">
        <f t="shared" si="1"/>
        <v>100</v>
      </c>
      <c r="K43" s="632" t="str">
        <f t="shared" si="1"/>
        <v/>
      </c>
    </row>
    <row r="44" spans="1:11" ht="18.75">
      <c r="A44" s="565" t="s">
        <v>488</v>
      </c>
      <c r="B44" s="633" t="s">
        <v>489</v>
      </c>
      <c r="C44" s="689">
        <f t="shared" si="10"/>
        <v>29515</v>
      </c>
      <c r="D44" s="672">
        <v>29515</v>
      </c>
      <c r="E44" s="689"/>
      <c r="F44" s="689">
        <f t="shared" si="11"/>
        <v>20020.645</v>
      </c>
      <c r="G44" s="689">
        <v>20020.645</v>
      </c>
      <c r="H44" s="689"/>
      <c r="I44" s="632">
        <f t="shared" ref="I44:K61" si="12">IF(AND(C44&lt;&gt;0,F44&lt;&gt;0),F44/C44%,"")</f>
        <v>67.832102320853807</v>
      </c>
      <c r="J44" s="632">
        <f t="shared" si="12"/>
        <v>67.832102320853807</v>
      </c>
      <c r="K44" s="632" t="str">
        <f t="shared" si="12"/>
        <v/>
      </c>
    </row>
    <row r="45" spans="1:11" ht="18.75">
      <c r="A45" s="565" t="s">
        <v>490</v>
      </c>
      <c r="B45" s="633" t="s">
        <v>491</v>
      </c>
      <c r="C45" s="689">
        <f t="shared" si="10"/>
        <v>10698</v>
      </c>
      <c r="D45" s="672">
        <v>10698</v>
      </c>
      <c r="E45" s="689"/>
      <c r="F45" s="689">
        <f t="shared" si="11"/>
        <v>637.54999999999995</v>
      </c>
      <c r="G45" s="689">
        <v>637.54999999999995</v>
      </c>
      <c r="H45" s="689"/>
      <c r="I45" s="632">
        <f t="shared" si="12"/>
        <v>5.9595251448868938</v>
      </c>
      <c r="J45" s="632">
        <f t="shared" si="12"/>
        <v>5.9595251448868938</v>
      </c>
      <c r="K45" s="632" t="str">
        <f t="shared" si="12"/>
        <v/>
      </c>
    </row>
    <row r="46" spans="1:11" ht="37.5">
      <c r="A46" s="565" t="s">
        <v>492</v>
      </c>
      <c r="B46" s="633" t="s">
        <v>493</v>
      </c>
      <c r="C46" s="689">
        <f t="shared" si="10"/>
        <v>242</v>
      </c>
      <c r="D46" s="672">
        <v>242</v>
      </c>
      <c r="E46" s="689"/>
      <c r="F46" s="689">
        <f t="shared" si="11"/>
        <v>0</v>
      </c>
      <c r="G46" s="689"/>
      <c r="H46" s="689"/>
      <c r="I46" s="632" t="str">
        <f t="shared" si="12"/>
        <v/>
      </c>
      <c r="J46" s="632" t="str">
        <f t="shared" si="12"/>
        <v/>
      </c>
      <c r="K46" s="632" t="str">
        <f t="shared" si="12"/>
        <v/>
      </c>
    </row>
    <row r="47" spans="1:11" ht="18.75">
      <c r="A47" s="565" t="s">
        <v>494</v>
      </c>
      <c r="B47" s="633" t="s">
        <v>495</v>
      </c>
      <c r="C47" s="689">
        <f t="shared" si="10"/>
        <v>1340</v>
      </c>
      <c r="D47" s="672">
        <v>1340</v>
      </c>
      <c r="E47" s="689"/>
      <c r="F47" s="689">
        <f t="shared" si="11"/>
        <v>1000.9</v>
      </c>
      <c r="G47" s="689">
        <v>1000.9</v>
      </c>
      <c r="H47" s="689"/>
      <c r="I47" s="632">
        <f t="shared" si="12"/>
        <v>74.694029850746261</v>
      </c>
      <c r="J47" s="632">
        <f t="shared" si="12"/>
        <v>74.694029850746261</v>
      </c>
      <c r="K47" s="632" t="str">
        <f t="shared" si="12"/>
        <v/>
      </c>
    </row>
    <row r="48" spans="1:11" ht="56.25">
      <c r="A48" s="565" t="s">
        <v>496</v>
      </c>
      <c r="B48" s="633" t="s">
        <v>497</v>
      </c>
      <c r="C48" s="689">
        <f t="shared" si="10"/>
        <v>89925</v>
      </c>
      <c r="D48" s="672">
        <v>89925</v>
      </c>
      <c r="E48" s="689"/>
      <c r="F48" s="689">
        <f t="shared" si="11"/>
        <v>96859.26</v>
      </c>
      <c r="G48" s="692">
        <v>96859.26</v>
      </c>
      <c r="H48" s="689"/>
      <c r="I48" s="632">
        <f t="shared" si="12"/>
        <v>107.71115929941618</v>
      </c>
      <c r="J48" s="632">
        <f t="shared" si="12"/>
        <v>107.71115929941618</v>
      </c>
      <c r="K48" s="632" t="str">
        <f t="shared" si="12"/>
        <v/>
      </c>
    </row>
    <row r="49" spans="1:11" ht="18.75">
      <c r="A49" s="565" t="s">
        <v>498</v>
      </c>
      <c r="B49" s="633" t="s">
        <v>499</v>
      </c>
      <c r="C49" s="689">
        <f t="shared" si="10"/>
        <v>9126</v>
      </c>
      <c r="D49" s="672">
        <v>9126</v>
      </c>
      <c r="E49" s="689"/>
      <c r="F49" s="689">
        <f t="shared" si="11"/>
        <v>6998.6386650000004</v>
      </c>
      <c r="G49" s="689">
        <v>6998.6386650000004</v>
      </c>
      <c r="H49" s="689"/>
      <c r="I49" s="632">
        <f t="shared" si="12"/>
        <v>76.689005752794216</v>
      </c>
      <c r="J49" s="632">
        <f t="shared" si="12"/>
        <v>76.689005752794216</v>
      </c>
      <c r="K49" s="632" t="str">
        <f t="shared" si="12"/>
        <v/>
      </c>
    </row>
    <row r="50" spans="1:11" ht="56.25">
      <c r="A50" s="565" t="s">
        <v>500</v>
      </c>
      <c r="B50" s="633" t="s">
        <v>501</v>
      </c>
      <c r="C50" s="689">
        <f t="shared" si="10"/>
        <v>22222</v>
      </c>
      <c r="D50" s="672">
        <v>22222</v>
      </c>
      <c r="E50" s="689">
        <v>0</v>
      </c>
      <c r="F50" s="689">
        <f t="shared" si="11"/>
        <v>23271.102674999998</v>
      </c>
      <c r="G50" s="692">
        <v>23271.102674999998</v>
      </c>
      <c r="H50" s="689"/>
      <c r="I50" s="632">
        <f t="shared" si="12"/>
        <v>104.72100924759246</v>
      </c>
      <c r="J50" s="632">
        <f t="shared" si="12"/>
        <v>104.72100924759246</v>
      </c>
      <c r="K50" s="632" t="str">
        <f t="shared" si="12"/>
        <v/>
      </c>
    </row>
    <row r="51" spans="1:11" ht="93.75">
      <c r="A51" s="565" t="s">
        <v>502</v>
      </c>
      <c r="B51" s="633" t="s">
        <v>594</v>
      </c>
      <c r="C51" s="689">
        <f t="shared" si="10"/>
        <v>100674</v>
      </c>
      <c r="D51" s="672">
        <v>100674</v>
      </c>
      <c r="E51" s="689"/>
      <c r="F51" s="689">
        <f t="shared" si="11"/>
        <v>16597.491000000002</v>
      </c>
      <c r="G51" s="689">
        <v>16597.491000000002</v>
      </c>
      <c r="H51" s="689"/>
      <c r="I51" s="632">
        <f t="shared" si="12"/>
        <v>16.486372847011147</v>
      </c>
      <c r="J51" s="632">
        <f t="shared" si="12"/>
        <v>16.486372847011147</v>
      </c>
      <c r="K51" s="632" t="str">
        <f t="shared" si="12"/>
        <v/>
      </c>
    </row>
    <row r="52" spans="1:11" ht="37.5">
      <c r="A52" s="565" t="s">
        <v>504</v>
      </c>
      <c r="B52" s="633" t="s">
        <v>505</v>
      </c>
      <c r="C52" s="689">
        <f t="shared" si="10"/>
        <v>26088</v>
      </c>
      <c r="D52" s="672">
        <v>26088</v>
      </c>
      <c r="E52" s="689"/>
      <c r="F52" s="689">
        <f t="shared" si="11"/>
        <v>26088</v>
      </c>
      <c r="G52" s="689">
        <v>26088</v>
      </c>
      <c r="H52" s="689"/>
      <c r="I52" s="632">
        <f t="shared" si="12"/>
        <v>100</v>
      </c>
      <c r="J52" s="632">
        <f t="shared" si="12"/>
        <v>100</v>
      </c>
      <c r="K52" s="632" t="str">
        <f t="shared" si="12"/>
        <v/>
      </c>
    </row>
    <row r="53" spans="1:11" ht="37.5">
      <c r="A53" s="565" t="s">
        <v>506</v>
      </c>
      <c r="B53" s="633" t="s">
        <v>507</v>
      </c>
      <c r="C53" s="689">
        <f>D53+E53</f>
        <v>500</v>
      </c>
      <c r="D53" s="681">
        <v>500</v>
      </c>
      <c r="E53" s="689"/>
      <c r="F53" s="689">
        <f t="shared" si="11"/>
        <v>1300</v>
      </c>
      <c r="G53" s="692">
        <v>1300</v>
      </c>
      <c r="H53" s="689"/>
      <c r="I53" s="632">
        <f t="shared" si="12"/>
        <v>260</v>
      </c>
      <c r="J53" s="632">
        <f t="shared" si="12"/>
        <v>260</v>
      </c>
      <c r="K53" s="632" t="str">
        <f t="shared" si="12"/>
        <v/>
      </c>
    </row>
    <row r="54" spans="1:11" ht="18.75">
      <c r="A54" s="565" t="s">
        <v>508</v>
      </c>
      <c r="B54" s="633" t="s">
        <v>509</v>
      </c>
      <c r="C54" s="689">
        <f t="shared" si="10"/>
        <v>5635</v>
      </c>
      <c r="D54" s="672">
        <v>5635</v>
      </c>
      <c r="E54" s="689"/>
      <c r="F54" s="689">
        <f t="shared" si="11"/>
        <v>5544.5959999999995</v>
      </c>
      <c r="G54" s="692">
        <v>5544.5959999999995</v>
      </c>
      <c r="H54" s="689"/>
      <c r="I54" s="632">
        <f t="shared" si="12"/>
        <v>98.395669920141955</v>
      </c>
      <c r="J54" s="632">
        <f t="shared" si="12"/>
        <v>98.395669920141955</v>
      </c>
      <c r="K54" s="632" t="str">
        <f t="shared" si="12"/>
        <v/>
      </c>
    </row>
    <row r="55" spans="1:11" ht="18.75">
      <c r="A55" s="565" t="s">
        <v>510</v>
      </c>
      <c r="B55" s="633" t="s">
        <v>511</v>
      </c>
      <c r="C55" s="689">
        <f t="shared" si="10"/>
        <v>1682</v>
      </c>
      <c r="D55" s="689">
        <v>1682</v>
      </c>
      <c r="E55" s="689"/>
      <c r="F55" s="689">
        <f t="shared" si="11"/>
        <v>1573.4900990000001</v>
      </c>
      <c r="G55" s="692">
        <v>1573.4900990000001</v>
      </c>
      <c r="H55" s="689"/>
      <c r="I55" s="632">
        <f t="shared" si="12"/>
        <v>93.548757372175984</v>
      </c>
      <c r="J55" s="632">
        <f t="shared" si="12"/>
        <v>93.548757372175984</v>
      </c>
      <c r="K55" s="632" t="str">
        <f t="shared" si="12"/>
        <v/>
      </c>
    </row>
    <row r="56" spans="1:11" ht="18.75">
      <c r="A56" s="565" t="s">
        <v>512</v>
      </c>
      <c r="B56" s="633" t="s">
        <v>513</v>
      </c>
      <c r="C56" s="689">
        <f t="shared" si="10"/>
        <v>7916</v>
      </c>
      <c r="D56" s="689">
        <v>7916</v>
      </c>
      <c r="E56" s="689"/>
      <c r="F56" s="689">
        <f t="shared" si="11"/>
        <v>6488.4888920000003</v>
      </c>
      <c r="G56" s="689">
        <v>6488.4888920000003</v>
      </c>
      <c r="H56" s="689"/>
      <c r="I56" s="632">
        <f t="shared" si="12"/>
        <v>81.966762152602328</v>
      </c>
      <c r="J56" s="632">
        <f t="shared" si="12"/>
        <v>81.966762152602328</v>
      </c>
      <c r="K56" s="632" t="str">
        <f t="shared" si="12"/>
        <v/>
      </c>
    </row>
    <row r="57" spans="1:11" ht="37.5">
      <c r="A57" s="565" t="s">
        <v>514</v>
      </c>
      <c r="B57" s="633" t="s">
        <v>515</v>
      </c>
      <c r="C57" s="689">
        <f t="shared" si="10"/>
        <v>1760</v>
      </c>
      <c r="D57" s="689">
        <v>1760</v>
      </c>
      <c r="E57" s="689"/>
      <c r="F57" s="689">
        <f t="shared" si="11"/>
        <v>4510.152274</v>
      </c>
      <c r="G57" s="692">
        <f>2848.911848+1661.240426</f>
        <v>4510.152274</v>
      </c>
      <c r="H57" s="689"/>
      <c r="I57" s="632">
        <f t="shared" si="12"/>
        <v>256.25865193181818</v>
      </c>
      <c r="J57" s="632">
        <f t="shared" si="12"/>
        <v>256.25865193181818</v>
      </c>
      <c r="K57" s="632" t="str">
        <f t="shared" si="12"/>
        <v/>
      </c>
    </row>
    <row r="58" spans="1:11" ht="18.75">
      <c r="A58" s="565" t="s">
        <v>516</v>
      </c>
      <c r="B58" s="633" t="s">
        <v>517</v>
      </c>
      <c r="C58" s="689">
        <f t="shared" si="10"/>
        <v>500</v>
      </c>
      <c r="D58" s="689">
        <v>500</v>
      </c>
      <c r="E58" s="689"/>
      <c r="F58" s="689">
        <f t="shared" si="11"/>
        <v>300</v>
      </c>
      <c r="G58" s="689">
        <v>300</v>
      </c>
      <c r="H58" s="689"/>
      <c r="I58" s="632">
        <f t="shared" si="12"/>
        <v>60</v>
      </c>
      <c r="J58" s="632">
        <f t="shared" si="12"/>
        <v>60</v>
      </c>
      <c r="K58" s="632" t="str">
        <f t="shared" si="12"/>
        <v/>
      </c>
    </row>
    <row r="59" spans="1:11" ht="18.75">
      <c r="A59" s="565" t="s">
        <v>518</v>
      </c>
      <c r="B59" s="633" t="s">
        <v>519</v>
      </c>
      <c r="C59" s="689">
        <f t="shared" si="10"/>
        <v>1550</v>
      </c>
      <c r="D59" s="689">
        <v>1550</v>
      </c>
      <c r="E59" s="689"/>
      <c r="F59" s="689">
        <f t="shared" si="11"/>
        <v>427.64960000000002</v>
      </c>
      <c r="G59" s="689">
        <v>427.64960000000002</v>
      </c>
      <c r="H59" s="689"/>
      <c r="I59" s="632">
        <f t="shared" si="12"/>
        <v>27.590296774193551</v>
      </c>
      <c r="J59" s="632">
        <f t="shared" si="12"/>
        <v>27.590296774193551</v>
      </c>
      <c r="K59" s="632" t="str">
        <f t="shared" si="12"/>
        <v/>
      </c>
    </row>
    <row r="60" spans="1:11" ht="37.5">
      <c r="A60" s="565" t="s">
        <v>520</v>
      </c>
      <c r="B60" s="633" t="s">
        <v>521</v>
      </c>
      <c r="C60" s="689">
        <f t="shared" si="10"/>
        <v>1500</v>
      </c>
      <c r="D60" s="689">
        <v>1500</v>
      </c>
      <c r="E60" s="689"/>
      <c r="F60" s="689">
        <f t="shared" si="11"/>
        <v>572.32000000000005</v>
      </c>
      <c r="G60" s="689">
        <v>572.32000000000005</v>
      </c>
      <c r="H60" s="689"/>
      <c r="I60" s="632">
        <f t="shared" si="12"/>
        <v>38.154666666666671</v>
      </c>
      <c r="J60" s="632">
        <f t="shared" si="12"/>
        <v>38.154666666666671</v>
      </c>
      <c r="K60" s="632" t="str">
        <f t="shared" si="12"/>
        <v/>
      </c>
    </row>
    <row r="61" spans="1:11" s="9" customFormat="1" ht="19.5">
      <c r="A61" s="601" t="s">
        <v>37</v>
      </c>
      <c r="B61" s="602" t="s">
        <v>208</v>
      </c>
      <c r="C61" s="691">
        <f t="shared" si="10"/>
        <v>0</v>
      </c>
      <c r="D61" s="637"/>
      <c r="E61" s="637"/>
      <c r="F61" s="691">
        <f t="shared" si="11"/>
        <v>3388747.0433820002</v>
      </c>
      <c r="G61" s="637">
        <v>3001615.3530890001</v>
      </c>
      <c r="H61" s="637">
        <f>359513.759704+27617.930589</f>
        <v>387131.69029300002</v>
      </c>
      <c r="I61" s="643" t="str">
        <f t="shared" si="12"/>
        <v/>
      </c>
      <c r="J61" s="643" t="str">
        <f t="shared" si="12"/>
        <v/>
      </c>
      <c r="K61" s="643" t="str">
        <f t="shared" si="12"/>
        <v/>
      </c>
    </row>
  </sheetData>
  <mergeCells count="12">
    <mergeCell ref="G8:H8"/>
    <mergeCell ref="I8:K8"/>
    <mergeCell ref="I1:K1"/>
    <mergeCell ref="A3:K3"/>
    <mergeCell ref="A4:K4"/>
    <mergeCell ref="A5:K5"/>
    <mergeCell ref="F7:K7"/>
    <mergeCell ref="A8:A9"/>
    <mergeCell ref="B8:B9"/>
    <mergeCell ref="C8:C9"/>
    <mergeCell ref="D8:E8"/>
    <mergeCell ref="F8:F9"/>
  </mergeCells>
  <printOptions horizontalCentered="1"/>
  <pageMargins left="0.31" right="0.35" top="0.75" bottom="0.16" header="0.56000000000000005" footer="0.19"/>
  <pageSetup paperSize="9" scale="46" fitToHeight="5" orientation="portrait" r:id="rId1"/>
  <headerFooter alignWithMargins="0">
    <oddHeader>&amp;C&amp;"Times New Roman,Regular"57</oddHeader>
    <oddFooter>&amp;C&amp;".VnTime,Italic"&amp;8</oddFooter>
  </headerFooter>
</worksheet>
</file>

<file path=xl/worksheets/sheet17.xml><?xml version="1.0" encoding="utf-8"?>
<worksheet xmlns="http://schemas.openxmlformats.org/spreadsheetml/2006/main" xmlns:r="http://schemas.openxmlformats.org/officeDocument/2006/relationships">
  <sheetPr>
    <tabColor rgb="FF00B0F0"/>
    <pageSetUpPr fitToPage="1"/>
  </sheetPr>
  <dimension ref="A1:AB98"/>
  <sheetViews>
    <sheetView zoomScale="70" zoomScaleNormal="70" workbookViewId="0">
      <selection activeCell="A4" sqref="A4:BA4"/>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950" t="s">
        <v>671</v>
      </c>
      <c r="B1" s="950"/>
      <c r="C1" s="950"/>
      <c r="D1" s="950"/>
      <c r="E1" s="950"/>
      <c r="F1" s="950"/>
      <c r="G1" s="950"/>
      <c r="H1" s="950"/>
      <c r="I1" s="950"/>
      <c r="J1" s="950"/>
      <c r="K1" s="950"/>
      <c r="L1" s="950"/>
      <c r="M1" s="950"/>
      <c r="N1" s="950"/>
      <c r="O1" s="950"/>
      <c r="P1" s="950"/>
      <c r="Q1" s="950"/>
      <c r="R1" s="950"/>
      <c r="S1" s="950"/>
      <c r="T1" s="950"/>
      <c r="U1" s="950"/>
      <c r="V1" s="950"/>
      <c r="W1" s="950"/>
      <c r="X1" s="950"/>
      <c r="Y1" s="950"/>
      <c r="Z1" s="950"/>
      <c r="AA1" s="950"/>
    </row>
    <row r="2" spans="1:28" ht="21" customHeight="1">
      <c r="A2" s="970" t="s">
        <v>679</v>
      </c>
      <c r="B2" s="970"/>
      <c r="C2" s="970"/>
      <c r="D2" s="970"/>
      <c r="E2" s="970"/>
      <c r="F2" s="970"/>
      <c r="G2" s="970"/>
      <c r="H2" s="970"/>
      <c r="I2" s="970"/>
      <c r="J2" s="970"/>
      <c r="K2" s="970"/>
      <c r="L2" s="970"/>
      <c r="M2" s="970"/>
      <c r="N2" s="970"/>
      <c r="O2" s="970"/>
      <c r="P2" s="970"/>
      <c r="Q2" s="970"/>
      <c r="R2" s="970"/>
      <c r="S2" s="970"/>
      <c r="T2" s="970"/>
      <c r="U2" s="970"/>
      <c r="V2" s="970"/>
      <c r="W2" s="970"/>
      <c r="X2" s="970"/>
      <c r="Y2" s="970"/>
      <c r="Z2" s="970"/>
      <c r="AA2" s="970"/>
    </row>
    <row r="3" spans="1:28" ht="21" customHeight="1">
      <c r="A3" s="950" t="s">
        <v>598</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950"/>
    </row>
    <row r="4" spans="1:28" ht="21" customHeight="1">
      <c r="A4" s="970" t="s">
        <v>682</v>
      </c>
      <c r="B4" s="970"/>
      <c r="C4" s="970"/>
      <c r="D4" s="970"/>
      <c r="E4" s="970"/>
      <c r="F4" s="970"/>
      <c r="G4" s="970"/>
      <c r="H4" s="970"/>
      <c r="I4" s="970"/>
      <c r="J4" s="970"/>
      <c r="K4" s="970"/>
      <c r="L4" s="970"/>
      <c r="M4" s="970"/>
      <c r="N4" s="970"/>
      <c r="O4" s="970"/>
      <c r="P4" s="970"/>
      <c r="Q4" s="970"/>
      <c r="R4" s="970"/>
      <c r="S4" s="970"/>
      <c r="T4" s="970"/>
      <c r="U4" s="970"/>
      <c r="V4" s="970"/>
      <c r="W4" s="970"/>
      <c r="X4" s="970"/>
      <c r="Y4" s="970"/>
      <c r="Z4" s="970"/>
      <c r="AA4" s="970"/>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205" t="s">
        <v>187</v>
      </c>
    </row>
    <row r="8" spans="1:28" s="10" customFormat="1" ht="30" customHeight="1">
      <c r="A8" s="894" t="s">
        <v>425</v>
      </c>
      <c r="B8" s="64"/>
      <c r="C8" s="953" t="s">
        <v>601</v>
      </c>
      <c r="D8" s="969"/>
      <c r="E8" s="969"/>
      <c r="F8" s="969"/>
      <c r="G8" s="969"/>
      <c r="H8" s="969"/>
      <c r="I8" s="969"/>
      <c r="J8" s="969"/>
      <c r="K8" s="953" t="s">
        <v>109</v>
      </c>
      <c r="L8" s="969"/>
      <c r="M8" s="969"/>
      <c r="N8" s="969"/>
      <c r="O8" s="969"/>
      <c r="P8" s="969"/>
      <c r="Q8" s="969"/>
      <c r="R8" s="969"/>
      <c r="S8" s="972"/>
      <c r="T8" s="958" t="s">
        <v>200</v>
      </c>
      <c r="U8" s="958"/>
      <c r="V8" s="958"/>
      <c r="W8" s="958"/>
      <c r="X8" s="958"/>
      <c r="Y8" s="958"/>
      <c r="Z8" s="958"/>
      <c r="AA8" s="958"/>
      <c r="AB8" s="712"/>
    </row>
    <row r="9" spans="1:28" s="10" customFormat="1" ht="45" customHeight="1">
      <c r="A9" s="971"/>
      <c r="B9" s="101"/>
      <c r="C9" s="906" t="s">
        <v>180</v>
      </c>
      <c r="D9" s="906" t="s">
        <v>352</v>
      </c>
      <c r="E9" s="906" t="s">
        <v>353</v>
      </c>
      <c r="F9" s="906" t="s">
        <v>595</v>
      </c>
      <c r="G9" s="906" t="s">
        <v>43</v>
      </c>
      <c r="H9" s="966" t="s">
        <v>343</v>
      </c>
      <c r="I9" s="967"/>
      <c r="J9" s="968"/>
      <c r="K9" s="906" t="s">
        <v>180</v>
      </c>
      <c r="L9" s="906" t="s">
        <v>352</v>
      </c>
      <c r="M9" s="906" t="s">
        <v>353</v>
      </c>
      <c r="N9" s="906" t="s">
        <v>595</v>
      </c>
      <c r="O9" s="906" t="s">
        <v>43</v>
      </c>
      <c r="P9" s="966" t="s">
        <v>343</v>
      </c>
      <c r="Q9" s="967"/>
      <c r="R9" s="968"/>
      <c r="S9" s="906" t="s">
        <v>204</v>
      </c>
      <c r="T9" s="906" t="s">
        <v>180</v>
      </c>
      <c r="U9" s="906" t="s">
        <v>38</v>
      </c>
      <c r="V9" s="906" t="s">
        <v>353</v>
      </c>
      <c r="W9" s="906" t="s">
        <v>595</v>
      </c>
      <c r="X9" s="906" t="s">
        <v>43</v>
      </c>
      <c r="Y9" s="966" t="s">
        <v>343</v>
      </c>
      <c r="Z9" s="967"/>
      <c r="AA9" s="968"/>
      <c r="AB9" s="712"/>
    </row>
    <row r="10" spans="1:28" s="10" customFormat="1" ht="45" customHeight="1">
      <c r="A10" s="971"/>
      <c r="B10" s="105" t="s">
        <v>50</v>
      </c>
      <c r="C10" s="813"/>
      <c r="D10" s="813"/>
      <c r="E10" s="813"/>
      <c r="F10" s="813"/>
      <c r="G10" s="813"/>
      <c r="H10" s="906" t="s">
        <v>180</v>
      </c>
      <c r="I10" s="906" t="s">
        <v>38</v>
      </c>
      <c r="J10" s="906" t="s">
        <v>42</v>
      </c>
      <c r="K10" s="813"/>
      <c r="L10" s="813"/>
      <c r="M10" s="813"/>
      <c r="N10" s="813"/>
      <c r="O10" s="813"/>
      <c r="P10" s="906" t="s">
        <v>180</v>
      </c>
      <c r="Q10" s="906" t="s">
        <v>38</v>
      </c>
      <c r="R10" s="906" t="s">
        <v>42</v>
      </c>
      <c r="S10" s="813"/>
      <c r="T10" s="813"/>
      <c r="U10" s="813"/>
      <c r="V10" s="813"/>
      <c r="W10" s="813"/>
      <c r="X10" s="813"/>
      <c r="Y10" s="906" t="s">
        <v>180</v>
      </c>
      <c r="Z10" s="906" t="s">
        <v>38</v>
      </c>
      <c r="AA10" s="906" t="s">
        <v>42</v>
      </c>
      <c r="AB10" s="712"/>
    </row>
    <row r="11" spans="1:28" s="10" customFormat="1" ht="45" customHeight="1">
      <c r="A11" s="971"/>
      <c r="B11" s="105"/>
      <c r="C11" s="813"/>
      <c r="D11" s="813"/>
      <c r="E11" s="813"/>
      <c r="F11" s="813"/>
      <c r="G11" s="813"/>
      <c r="H11" s="813"/>
      <c r="I11" s="813"/>
      <c r="J11" s="813"/>
      <c r="K11" s="813"/>
      <c r="L11" s="813"/>
      <c r="M11" s="813"/>
      <c r="N11" s="813"/>
      <c r="O11" s="813"/>
      <c r="P11" s="813"/>
      <c r="Q11" s="813"/>
      <c r="R11" s="813"/>
      <c r="S11" s="813"/>
      <c r="T11" s="813"/>
      <c r="U11" s="813"/>
      <c r="V11" s="813"/>
      <c r="W11" s="813"/>
      <c r="X11" s="813"/>
      <c r="Y11" s="813"/>
      <c r="Z11" s="813"/>
      <c r="AA11" s="813"/>
      <c r="AB11" s="712"/>
    </row>
    <row r="12" spans="1:28" s="10" customFormat="1" ht="45" customHeight="1">
      <c r="A12" s="963"/>
      <c r="B12" s="105"/>
      <c r="C12" s="814"/>
      <c r="D12" s="814"/>
      <c r="E12" s="814"/>
      <c r="F12" s="814"/>
      <c r="G12" s="814"/>
      <c r="H12" s="814"/>
      <c r="I12" s="814"/>
      <c r="J12" s="814"/>
      <c r="K12" s="814"/>
      <c r="L12" s="814"/>
      <c r="M12" s="814"/>
      <c r="N12" s="814"/>
      <c r="O12" s="814"/>
      <c r="P12" s="814"/>
      <c r="Q12" s="814"/>
      <c r="R12" s="814"/>
      <c r="S12" s="814"/>
      <c r="T12" s="814"/>
      <c r="U12" s="814"/>
      <c r="V12" s="814"/>
      <c r="W12" s="814"/>
      <c r="X12" s="814"/>
      <c r="Y12" s="814"/>
      <c r="Z12" s="814"/>
      <c r="AA12" s="814"/>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20" si="2">I14+J14</f>
        <v>198567</v>
      </c>
      <c r="I14" s="573">
        <f>I15+I86+I87+I88+I89+I90+I91</f>
        <v>161400</v>
      </c>
      <c r="J14" s="573">
        <f>J15+J86+J87+J88+J89+J90+J91</f>
        <v>37167</v>
      </c>
      <c r="K14" s="573">
        <f t="shared" ref="K14:K20" si="3">SUM(L14:P14)+S14</f>
        <v>10268362.162645999</v>
      </c>
      <c r="L14" s="573">
        <f>L15+L86+L87+L88+L89+L90+L91</f>
        <v>1872158.2800960001</v>
      </c>
      <c r="M14" s="573">
        <f>M15+M86+M87+M88+M89+M90+M91</f>
        <v>5211389.1726329997</v>
      </c>
      <c r="N14" s="573">
        <f>N15+N86+N87+N88+N89+N90+N91</f>
        <v>0</v>
      </c>
      <c r="O14" s="573">
        <f>O15+O86+O87+O88+O89+O90+O91</f>
        <v>1000</v>
      </c>
      <c r="P14" s="573">
        <f t="shared" ref="P14:P20" si="4">Q14+R14</f>
        <v>180939.93429900002</v>
      </c>
      <c r="Q14" s="573">
        <f>Q15+Q86+Q87+Q88+Q89+Q90+Q91</f>
        <v>151906.45543500001</v>
      </c>
      <c r="R14" s="573">
        <f>R15+R86+R87+R88+R89+R90+R91</f>
        <v>29033.478864000001</v>
      </c>
      <c r="S14" s="573">
        <f>S15+S86+S87+S88+S89+S90+S91</f>
        <v>3002874.775618</v>
      </c>
      <c r="T14" s="742">
        <f>IF(AND(C14&lt;&gt;0,K14&lt;&gt;0),K14/C14%,"")</f>
        <v>147.76607622730882</v>
      </c>
      <c r="U14" s="742">
        <f t="shared" ref="U14:AA14" si="5">IF(AND(D14&lt;&gt;0,L14&lt;&gt;0),L14/D14%,"")</f>
        <v>92.125658226760535</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3938238.4849280003</v>
      </c>
      <c r="L15" s="574">
        <f>SUM(L16:L85)</f>
        <v>1872158.2800960001</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0</v>
      </c>
      <c r="T15" s="743">
        <f t="shared" ref="T15:T90" si="7">IF(AND(C15&lt;&gt;0,K15&lt;&gt;0),K15/C15%,"")</f>
        <v>103.65539445037675</v>
      </c>
      <c r="U15" s="743">
        <f t="shared" ref="U15:U90" si="8">IF(AND(D15&lt;&gt;0,L15&lt;&gt;0),L15/D15%,"")</f>
        <v>92.125658226760535</v>
      </c>
      <c r="V15" s="743">
        <f t="shared" ref="V15:V90" si="9">IF(AND(E15&lt;&gt;0,M15&lt;&gt;0),M15/E15%,"")</f>
        <v>120.17895262324438</v>
      </c>
      <c r="W15" s="743" t="str">
        <f t="shared" ref="W15:W90" si="10">IF(AND(F15&lt;&gt;0,N15&lt;&gt;0),N15/F15%,"")</f>
        <v/>
      </c>
      <c r="X15" s="743" t="str">
        <f t="shared" ref="X15:X90" si="11">IF(AND(G15&lt;&gt;0,O15&lt;&gt;0),O15/G15%,"")</f>
        <v/>
      </c>
      <c r="Y15" s="743">
        <f t="shared" ref="Y15:Y90" si="12">IF(AND(H15&lt;&gt;0,P15&lt;&gt;0),P15/H15%,"")</f>
        <v>91.122862459018876</v>
      </c>
      <c r="Z15" s="743">
        <f t="shared" ref="Z15:Z90" si="13">IF(AND(I15&lt;&gt;0,Q15&lt;&gt;0),Q15/I15%,"")</f>
        <v>94.118002128252797</v>
      </c>
      <c r="AA15" s="743">
        <f t="shared" ref="AA15:AA90" si="14">IF(AND(J15&lt;&gt;0,R15&lt;&gt;0),R15/J15%,"")</f>
        <v>78.116282896117525</v>
      </c>
      <c r="AB15" s="709"/>
    </row>
    <row r="16" spans="1:28" s="9" customFormat="1" ht="18.75">
      <c r="A16" s="584">
        <v>1</v>
      </c>
      <c r="B16" s="633" t="s">
        <v>619</v>
      </c>
      <c r="C16" s="575">
        <f t="shared" ref="C16:C91" si="15">SUM(D16:H16)</f>
        <v>69708</v>
      </c>
      <c r="D16" s="575">
        <v>0</v>
      </c>
      <c r="E16" s="575">
        <v>69708</v>
      </c>
      <c r="F16" s="575">
        <v>0</v>
      </c>
      <c r="G16" s="575">
        <v>0</v>
      </c>
      <c r="H16" s="575">
        <v>0</v>
      </c>
      <c r="I16" s="575">
        <v>0</v>
      </c>
      <c r="J16" s="575">
        <v>0</v>
      </c>
      <c r="K16" s="575">
        <f>SUM(L16:P16)+S16</f>
        <v>72083.478768000001</v>
      </c>
      <c r="L16" s="575">
        <v>0</v>
      </c>
      <c r="M16" s="575">
        <f>72083.478768-R16</f>
        <v>72083.478768000001</v>
      </c>
      <c r="N16" s="575">
        <v>0</v>
      </c>
      <c r="O16" s="575">
        <v>0</v>
      </c>
      <c r="P16" s="575">
        <v>0</v>
      </c>
      <c r="Q16" s="575">
        <v>0</v>
      </c>
      <c r="R16" s="575">
        <v>0</v>
      </c>
      <c r="S16" s="575">
        <v>0</v>
      </c>
      <c r="T16" s="706"/>
      <c r="U16" s="706"/>
      <c r="V16" s="706"/>
      <c r="W16" s="706"/>
      <c r="X16" s="706"/>
      <c r="Y16" s="706"/>
      <c r="Z16" s="706"/>
      <c r="AA16" s="706"/>
      <c r="AB16" s="766"/>
    </row>
    <row r="17" spans="1:28" s="9" customFormat="1" ht="18.75">
      <c r="A17" s="584">
        <v>2</v>
      </c>
      <c r="B17" s="633" t="s">
        <v>596</v>
      </c>
      <c r="C17" s="575">
        <f t="shared" si="15"/>
        <v>9583</v>
      </c>
      <c r="D17" s="744">
        <v>0</v>
      </c>
      <c r="E17" s="575">
        <v>9583</v>
      </c>
      <c r="F17" s="575">
        <v>0</v>
      </c>
      <c r="G17" s="575">
        <v>0</v>
      </c>
      <c r="H17" s="575">
        <f t="shared" si="2"/>
        <v>0</v>
      </c>
      <c r="I17" s="744"/>
      <c r="J17" s="705">
        <v>0</v>
      </c>
      <c r="K17" s="575">
        <f>SUM(L17:P17)+S17</f>
        <v>11901.921125000001</v>
      </c>
      <c r="L17" s="744">
        <v>2146.9520000000002</v>
      </c>
      <c r="M17" s="575">
        <v>9754.9691249999996</v>
      </c>
      <c r="N17" s="575">
        <v>0</v>
      </c>
      <c r="O17" s="575">
        <v>0</v>
      </c>
      <c r="P17" s="575">
        <f t="shared" si="4"/>
        <v>0</v>
      </c>
      <c r="Q17" s="575">
        <v>0</v>
      </c>
      <c r="R17" s="575">
        <f t="shared" ref="R17:R85" si="16">AB17</f>
        <v>0</v>
      </c>
      <c r="S17" s="575">
        <v>0</v>
      </c>
      <c r="T17" s="706">
        <f t="shared" si="7"/>
        <v>124.19827950537412</v>
      </c>
      <c r="U17" s="706" t="str">
        <f t="shared" si="8"/>
        <v/>
      </c>
      <c r="V17" s="706">
        <f t="shared" si="9"/>
        <v>101.7945228529688</v>
      </c>
      <c r="W17" s="706" t="str">
        <f t="shared" si="10"/>
        <v/>
      </c>
      <c r="X17" s="706" t="str">
        <f t="shared" si="11"/>
        <v/>
      </c>
      <c r="Y17" s="706" t="str">
        <f t="shared" si="12"/>
        <v/>
      </c>
      <c r="Z17" s="706" t="str">
        <f t="shared" si="13"/>
        <v/>
      </c>
      <c r="AA17" s="706" t="str">
        <f t="shared" si="14"/>
        <v/>
      </c>
      <c r="AB17" s="710"/>
    </row>
    <row r="18" spans="1:28" s="9" customFormat="1" ht="18.75">
      <c r="A18" s="584">
        <v>3</v>
      </c>
      <c r="B18" s="633" t="s">
        <v>597</v>
      </c>
      <c r="C18" s="575">
        <f t="shared" si="15"/>
        <v>16922</v>
      </c>
      <c r="D18" s="575">
        <v>0</v>
      </c>
      <c r="E18" s="575">
        <v>16922</v>
      </c>
      <c r="F18" s="575">
        <v>0</v>
      </c>
      <c r="G18" s="575">
        <v>0</v>
      </c>
      <c r="H18" s="575">
        <f t="shared" si="2"/>
        <v>0</v>
      </c>
      <c r="I18" s="575"/>
      <c r="J18" s="705"/>
      <c r="K18" s="575">
        <f t="shared" si="3"/>
        <v>18338.743505999999</v>
      </c>
      <c r="L18" s="575">
        <v>0</v>
      </c>
      <c r="M18" s="575">
        <v>18338.743505999999</v>
      </c>
      <c r="N18" s="575">
        <v>0</v>
      </c>
      <c r="O18" s="575">
        <v>0</v>
      </c>
      <c r="P18" s="575">
        <f t="shared" si="4"/>
        <v>0</v>
      </c>
      <c r="Q18" s="575">
        <v>0</v>
      </c>
      <c r="R18" s="575">
        <f t="shared" si="16"/>
        <v>0</v>
      </c>
      <c r="S18" s="575">
        <v>0</v>
      </c>
      <c r="T18" s="706">
        <f t="shared" si="7"/>
        <v>108.37219894811487</v>
      </c>
      <c r="U18" s="706" t="str">
        <f t="shared" si="8"/>
        <v/>
      </c>
      <c r="V18" s="706">
        <f t="shared" si="9"/>
        <v>108.37219894811487</v>
      </c>
      <c r="W18" s="706" t="str">
        <f t="shared" si="10"/>
        <v/>
      </c>
      <c r="X18" s="706" t="str">
        <f t="shared" si="11"/>
        <v/>
      </c>
      <c r="Y18" s="706" t="str">
        <f t="shared" si="12"/>
        <v/>
      </c>
      <c r="Z18" s="706" t="str">
        <f t="shared" si="13"/>
        <v/>
      </c>
      <c r="AA18" s="706" t="str">
        <f t="shared" si="14"/>
        <v/>
      </c>
      <c r="AB18" s="710"/>
    </row>
    <row r="19" spans="1:28" s="9" customFormat="1" ht="18.75">
      <c r="A19" s="584">
        <v>4</v>
      </c>
      <c r="B19" s="633" t="s">
        <v>599</v>
      </c>
      <c r="C19" s="575">
        <f t="shared" si="15"/>
        <v>129535.0235</v>
      </c>
      <c r="D19" s="575">
        <f>19047.0235+13554+12489</f>
        <v>45090.023499999996</v>
      </c>
      <c r="E19" s="575">
        <v>56915</v>
      </c>
      <c r="F19" s="575">
        <v>0</v>
      </c>
      <c r="G19" s="575">
        <v>0</v>
      </c>
      <c r="H19" s="575">
        <f t="shared" si="2"/>
        <v>27530</v>
      </c>
      <c r="I19" s="575">
        <f>'PL61'!D19</f>
        <v>11230</v>
      </c>
      <c r="J19" s="575">
        <f>'PL61'!E19</f>
        <v>16300</v>
      </c>
      <c r="K19" s="575">
        <f>SUM(L19:P19)+S19</f>
        <v>165702.19213499999</v>
      </c>
      <c r="L19" s="575">
        <v>45491.610744999998</v>
      </c>
      <c r="M19" s="575">
        <f>94092.54539-R19</f>
        <v>81062.059764999998</v>
      </c>
      <c r="N19" s="575">
        <v>0</v>
      </c>
      <c r="O19" s="575">
        <v>0</v>
      </c>
      <c r="P19" s="575">
        <f t="shared" si="4"/>
        <v>39148.521625000001</v>
      </c>
      <c r="Q19" s="575">
        <f>'PL61'!U19</f>
        <v>26118.036</v>
      </c>
      <c r="R19" s="575">
        <f>'PL61'!V19</f>
        <v>13030.485624999999</v>
      </c>
      <c r="S19" s="575">
        <v>0</v>
      </c>
      <c r="T19" s="706">
        <f t="shared" si="7"/>
        <v>127.92076432903879</v>
      </c>
      <c r="U19" s="706">
        <f t="shared" si="8"/>
        <v>100.89063436615864</v>
      </c>
      <c r="V19" s="706">
        <f t="shared" si="9"/>
        <v>142.42653037863482</v>
      </c>
      <c r="W19" s="706" t="str">
        <f t="shared" si="10"/>
        <v/>
      </c>
      <c r="X19" s="706" t="str">
        <f t="shared" si="11"/>
        <v/>
      </c>
      <c r="Y19" s="706">
        <f t="shared" si="12"/>
        <v>142.20312976752632</v>
      </c>
      <c r="Z19" s="706">
        <f t="shared" si="13"/>
        <v>232.57378450578807</v>
      </c>
      <c r="AA19" s="706">
        <f t="shared" si="14"/>
        <v>79.941629601226992</v>
      </c>
      <c r="AB19" s="710">
        <f>12883.800625+146.685</f>
        <v>13030.485624999999</v>
      </c>
    </row>
    <row r="20" spans="1:28" s="9" customFormat="1" ht="18.75">
      <c r="A20" s="584">
        <v>5</v>
      </c>
      <c r="B20" s="633" t="s">
        <v>600</v>
      </c>
      <c r="C20" s="575">
        <f t="shared" si="15"/>
        <v>11310</v>
      </c>
      <c r="D20" s="575">
        <v>0</v>
      </c>
      <c r="E20" s="575">
        <v>9790</v>
      </c>
      <c r="F20" s="575">
        <v>0</v>
      </c>
      <c r="G20" s="575">
        <v>0</v>
      </c>
      <c r="H20" s="575">
        <f t="shared" si="2"/>
        <v>1520</v>
      </c>
      <c r="I20" s="575">
        <f>'PL61'!D20</f>
        <v>0</v>
      </c>
      <c r="J20" s="575">
        <f>'PL61'!E20</f>
        <v>1520</v>
      </c>
      <c r="K20" s="575">
        <f t="shared" si="3"/>
        <v>14443.263954</v>
      </c>
      <c r="L20" s="575">
        <v>0</v>
      </c>
      <c r="M20" s="575">
        <f>14443.263954-R20</f>
        <v>13433.796944</v>
      </c>
      <c r="N20" s="575">
        <v>0</v>
      </c>
      <c r="O20" s="575">
        <v>0</v>
      </c>
      <c r="P20" s="575">
        <f t="shared" si="4"/>
        <v>1009.46701</v>
      </c>
      <c r="Q20" s="575">
        <f>'PL61'!U20</f>
        <v>0</v>
      </c>
      <c r="R20" s="575">
        <f>'PL61'!V20</f>
        <v>1009.46701</v>
      </c>
      <c r="S20" s="575">
        <v>0</v>
      </c>
      <c r="T20" s="706">
        <f t="shared" si="7"/>
        <v>127.70348323607428</v>
      </c>
      <c r="U20" s="706" t="str">
        <f t="shared" si="8"/>
        <v/>
      </c>
      <c r="V20" s="706">
        <f t="shared" si="9"/>
        <v>137.21958063329927</v>
      </c>
      <c r="W20" s="706" t="str">
        <f t="shared" si="10"/>
        <v/>
      </c>
      <c r="X20" s="706" t="str">
        <f t="shared" si="11"/>
        <v/>
      </c>
      <c r="Y20" s="706">
        <f t="shared" si="12"/>
        <v>66.412303289473684</v>
      </c>
      <c r="Z20" s="706" t="str">
        <f t="shared" si="13"/>
        <v/>
      </c>
      <c r="AA20" s="706">
        <f t="shared" si="14"/>
        <v>66.412303289473684</v>
      </c>
      <c r="AB20" s="710">
        <v>1009.46701</v>
      </c>
    </row>
    <row r="21" spans="1:28" s="9" customFormat="1" ht="18.75">
      <c r="A21" s="584">
        <v>6</v>
      </c>
      <c r="B21" s="633" t="s">
        <v>602</v>
      </c>
      <c r="C21" s="575">
        <f t="shared" si="15"/>
        <v>8696</v>
      </c>
      <c r="D21" s="575">
        <v>0</v>
      </c>
      <c r="E21" s="575">
        <v>8696</v>
      </c>
      <c r="F21" s="575">
        <v>0</v>
      </c>
      <c r="G21" s="575">
        <v>0</v>
      </c>
      <c r="H21" s="575">
        <f t="shared" ref="H21:H85" si="17">I21+J21</f>
        <v>0</v>
      </c>
      <c r="I21" s="575"/>
      <c r="J21" s="705">
        <v>0</v>
      </c>
      <c r="K21" s="575">
        <f t="shared" ref="K21:K85" si="18">SUM(L21:P21)+S21</f>
        <v>8874.2176999999992</v>
      </c>
      <c r="L21" s="575">
        <v>0</v>
      </c>
      <c r="M21" s="575">
        <v>8874.2176999999992</v>
      </c>
      <c r="N21" s="575">
        <v>0</v>
      </c>
      <c r="O21" s="575">
        <v>0</v>
      </c>
      <c r="P21" s="575">
        <f t="shared" ref="P21:P85" si="19">Q21+R21</f>
        <v>0</v>
      </c>
      <c r="Q21" s="575">
        <v>0</v>
      </c>
      <c r="R21" s="575">
        <f t="shared" si="16"/>
        <v>0</v>
      </c>
      <c r="S21" s="575">
        <v>0</v>
      </c>
      <c r="T21" s="706">
        <f t="shared" si="7"/>
        <v>102.04942157313707</v>
      </c>
      <c r="U21" s="706" t="str">
        <f t="shared" si="8"/>
        <v/>
      </c>
      <c r="V21" s="706">
        <f t="shared" si="9"/>
        <v>102.04942157313707</v>
      </c>
      <c r="W21" s="706" t="str">
        <f t="shared" si="10"/>
        <v/>
      </c>
      <c r="X21" s="706" t="str">
        <f t="shared" si="11"/>
        <v/>
      </c>
      <c r="Y21" s="706" t="str">
        <f t="shared" si="12"/>
        <v/>
      </c>
      <c r="Z21" s="706" t="str">
        <f t="shared" si="13"/>
        <v/>
      </c>
      <c r="AA21" s="706" t="str">
        <f t="shared" si="14"/>
        <v/>
      </c>
      <c r="AB21" s="710"/>
    </row>
    <row r="22" spans="1:28" s="9" customFormat="1" ht="18.75">
      <c r="A22" s="584">
        <v>7</v>
      </c>
      <c r="B22" s="633" t="s">
        <v>603</v>
      </c>
      <c r="C22" s="575">
        <f t="shared" si="15"/>
        <v>24408</v>
      </c>
      <c r="D22" s="575">
        <v>0</v>
      </c>
      <c r="E22" s="575">
        <v>24408</v>
      </c>
      <c r="F22" s="575">
        <v>0</v>
      </c>
      <c r="G22" s="575">
        <v>0</v>
      </c>
      <c r="H22" s="575">
        <f t="shared" si="17"/>
        <v>0</v>
      </c>
      <c r="I22" s="575"/>
      <c r="J22" s="705">
        <v>0</v>
      </c>
      <c r="K22" s="575">
        <f t="shared" si="18"/>
        <v>23595.620137999998</v>
      </c>
      <c r="L22" s="575">
        <v>0</v>
      </c>
      <c r="M22" s="575">
        <v>23595.620137999998</v>
      </c>
      <c r="N22" s="575">
        <v>0</v>
      </c>
      <c r="O22" s="575">
        <v>0</v>
      </c>
      <c r="P22" s="575">
        <f t="shared" si="19"/>
        <v>0</v>
      </c>
      <c r="Q22" s="575">
        <v>0</v>
      </c>
      <c r="R22" s="575">
        <f t="shared" si="16"/>
        <v>0</v>
      </c>
      <c r="S22" s="575">
        <v>0</v>
      </c>
      <c r="T22" s="706">
        <f t="shared" si="7"/>
        <v>96.671665593248107</v>
      </c>
      <c r="U22" s="706" t="str">
        <f t="shared" si="8"/>
        <v/>
      </c>
      <c r="V22" s="706">
        <f t="shared" si="9"/>
        <v>96.671665593248107</v>
      </c>
      <c r="W22" s="706" t="str">
        <f t="shared" si="10"/>
        <v/>
      </c>
      <c r="X22" s="706" t="str">
        <f t="shared" si="11"/>
        <v/>
      </c>
      <c r="Y22" s="706" t="str">
        <f t="shared" si="12"/>
        <v/>
      </c>
      <c r="Z22" s="706" t="str">
        <f t="shared" si="13"/>
        <v/>
      </c>
      <c r="AA22" s="706" t="str">
        <f t="shared" si="14"/>
        <v/>
      </c>
      <c r="AB22" s="710"/>
    </row>
    <row r="23" spans="1:28" s="9" customFormat="1" ht="18.75">
      <c r="A23" s="584">
        <v>8</v>
      </c>
      <c r="B23" s="633" t="s">
        <v>604</v>
      </c>
      <c r="C23" s="575">
        <f t="shared" si="15"/>
        <v>16840</v>
      </c>
      <c r="D23" s="575">
        <v>0</v>
      </c>
      <c r="E23" s="575">
        <v>16840</v>
      </c>
      <c r="F23" s="575">
        <v>0</v>
      </c>
      <c r="G23" s="575">
        <v>0</v>
      </c>
      <c r="H23" s="575">
        <f t="shared" si="17"/>
        <v>0</v>
      </c>
      <c r="I23" s="575"/>
      <c r="J23" s="705">
        <v>0</v>
      </c>
      <c r="K23" s="575">
        <f t="shared" si="18"/>
        <v>21219.525164999999</v>
      </c>
      <c r="L23" s="575">
        <v>0</v>
      </c>
      <c r="M23" s="575">
        <v>21219.525164999999</v>
      </c>
      <c r="N23" s="575">
        <v>0</v>
      </c>
      <c r="O23" s="575">
        <v>0</v>
      </c>
      <c r="P23" s="575">
        <f t="shared" si="19"/>
        <v>0</v>
      </c>
      <c r="Q23" s="575">
        <v>0</v>
      </c>
      <c r="R23" s="575">
        <f t="shared" si="16"/>
        <v>0</v>
      </c>
      <c r="S23" s="575">
        <v>0</v>
      </c>
      <c r="T23" s="706">
        <f t="shared" si="7"/>
        <v>126.00668150237529</v>
      </c>
      <c r="U23" s="706" t="str">
        <f t="shared" si="8"/>
        <v/>
      </c>
      <c r="V23" s="706">
        <f t="shared" si="9"/>
        <v>126.00668150237529</v>
      </c>
      <c r="W23" s="706" t="str">
        <f t="shared" si="10"/>
        <v/>
      </c>
      <c r="X23" s="706" t="str">
        <f t="shared" si="11"/>
        <v/>
      </c>
      <c r="Y23" s="706" t="str">
        <f t="shared" si="12"/>
        <v/>
      </c>
      <c r="Z23" s="706" t="str">
        <f t="shared" si="13"/>
        <v/>
      </c>
      <c r="AA23" s="706" t="str">
        <f t="shared" si="14"/>
        <v/>
      </c>
      <c r="AB23" s="710"/>
    </row>
    <row r="24" spans="1:28" s="9" customFormat="1" ht="18.75">
      <c r="A24" s="584">
        <v>9</v>
      </c>
      <c r="B24" s="633" t="s">
        <v>605</v>
      </c>
      <c r="C24" s="575">
        <f t="shared" si="15"/>
        <v>9761</v>
      </c>
      <c r="D24" s="575">
        <v>0</v>
      </c>
      <c r="E24" s="575">
        <v>9761</v>
      </c>
      <c r="F24" s="575">
        <v>0</v>
      </c>
      <c r="G24" s="575">
        <v>0</v>
      </c>
      <c r="H24" s="575">
        <f t="shared" si="17"/>
        <v>0</v>
      </c>
      <c r="I24" s="575"/>
      <c r="J24" s="705">
        <v>0</v>
      </c>
      <c r="K24" s="575">
        <f t="shared" si="18"/>
        <v>9399.5254370000002</v>
      </c>
      <c r="L24" s="575">
        <v>0</v>
      </c>
      <c r="M24" s="575">
        <v>9399.5254370000002</v>
      </c>
      <c r="N24" s="575">
        <v>0</v>
      </c>
      <c r="O24" s="575">
        <v>0</v>
      </c>
      <c r="P24" s="575">
        <f t="shared" si="19"/>
        <v>0</v>
      </c>
      <c r="Q24" s="575">
        <v>0</v>
      </c>
      <c r="R24" s="575">
        <f t="shared" si="16"/>
        <v>0</v>
      </c>
      <c r="S24" s="575">
        <v>0</v>
      </c>
      <c r="T24" s="706">
        <f t="shared" si="7"/>
        <v>96.296746614076426</v>
      </c>
      <c r="U24" s="706" t="str">
        <f t="shared" si="8"/>
        <v/>
      </c>
      <c r="V24" s="706">
        <f t="shared" si="9"/>
        <v>96.296746614076426</v>
      </c>
      <c r="W24" s="706" t="str">
        <f t="shared" si="10"/>
        <v/>
      </c>
      <c r="X24" s="706" t="str">
        <f t="shared" si="11"/>
        <v/>
      </c>
      <c r="Y24" s="706" t="str">
        <f t="shared" si="12"/>
        <v/>
      </c>
      <c r="Z24" s="706" t="str">
        <f t="shared" si="13"/>
        <v/>
      </c>
      <c r="AA24" s="706" t="str">
        <f t="shared" si="14"/>
        <v/>
      </c>
      <c r="AB24" s="710"/>
    </row>
    <row r="25" spans="1:28" s="9" customFormat="1" ht="18.75">
      <c r="A25" s="584">
        <v>10</v>
      </c>
      <c r="B25" s="633" t="s">
        <v>606</v>
      </c>
      <c r="C25" s="575">
        <f t="shared" si="15"/>
        <v>16508</v>
      </c>
      <c r="D25" s="575">
        <v>0</v>
      </c>
      <c r="E25" s="575">
        <v>16508</v>
      </c>
      <c r="F25" s="575">
        <v>0</v>
      </c>
      <c r="G25" s="575">
        <v>0</v>
      </c>
      <c r="H25" s="575">
        <f t="shared" si="17"/>
        <v>0</v>
      </c>
      <c r="I25" s="575"/>
      <c r="J25" s="705">
        <v>0</v>
      </c>
      <c r="K25" s="575">
        <f t="shared" si="18"/>
        <v>14816.305566000001</v>
      </c>
      <c r="L25" s="575">
        <v>0</v>
      </c>
      <c r="M25" s="575">
        <v>14816.305566000001</v>
      </c>
      <c r="N25" s="575">
        <v>0</v>
      </c>
      <c r="O25" s="575">
        <v>0</v>
      </c>
      <c r="P25" s="575">
        <f t="shared" si="19"/>
        <v>0</v>
      </c>
      <c r="Q25" s="575">
        <v>0</v>
      </c>
      <c r="R25" s="575">
        <f t="shared" si="16"/>
        <v>0</v>
      </c>
      <c r="S25" s="575">
        <v>0</v>
      </c>
      <c r="T25" s="706">
        <f t="shared" si="7"/>
        <v>89.752275054519018</v>
      </c>
      <c r="U25" s="706" t="str">
        <f t="shared" si="8"/>
        <v/>
      </c>
      <c r="V25" s="706">
        <f t="shared" si="9"/>
        <v>89.752275054519018</v>
      </c>
      <c r="W25" s="706" t="str">
        <f t="shared" si="10"/>
        <v/>
      </c>
      <c r="X25" s="706" t="str">
        <f t="shared" si="11"/>
        <v/>
      </c>
      <c r="Y25" s="706" t="str">
        <f t="shared" si="12"/>
        <v/>
      </c>
      <c r="Z25" s="706" t="str">
        <f t="shared" si="13"/>
        <v/>
      </c>
      <c r="AA25" s="706" t="str">
        <f t="shared" si="14"/>
        <v/>
      </c>
      <c r="AB25" s="710"/>
    </row>
    <row r="26" spans="1:28" s="9" customFormat="1" ht="18.75">
      <c r="A26" s="584">
        <v>11</v>
      </c>
      <c r="B26" s="633" t="s">
        <v>607</v>
      </c>
      <c r="C26" s="575">
        <f t="shared" si="15"/>
        <v>40478</v>
      </c>
      <c r="D26" s="575">
        <v>0</v>
      </c>
      <c r="E26" s="575">
        <v>40478</v>
      </c>
      <c r="F26" s="575">
        <v>0</v>
      </c>
      <c r="G26" s="575">
        <v>0</v>
      </c>
      <c r="H26" s="575">
        <f t="shared" si="17"/>
        <v>0</v>
      </c>
      <c r="I26" s="575"/>
      <c r="J26" s="705">
        <v>0</v>
      </c>
      <c r="K26" s="575">
        <f t="shared" si="18"/>
        <v>21237.855797</v>
      </c>
      <c r="L26" s="575">
        <v>0</v>
      </c>
      <c r="M26" s="575">
        <v>21237.855797</v>
      </c>
      <c r="N26" s="575">
        <v>0</v>
      </c>
      <c r="O26" s="575">
        <v>0</v>
      </c>
      <c r="P26" s="575">
        <f t="shared" si="19"/>
        <v>0</v>
      </c>
      <c r="Q26" s="575">
        <v>0</v>
      </c>
      <c r="R26" s="575">
        <f t="shared" si="16"/>
        <v>0</v>
      </c>
      <c r="S26" s="575">
        <v>0</v>
      </c>
      <c r="T26" s="706">
        <f t="shared" si="7"/>
        <v>52.467651062305457</v>
      </c>
      <c r="U26" s="706" t="str">
        <f t="shared" si="8"/>
        <v/>
      </c>
      <c r="V26" s="706">
        <f t="shared" si="9"/>
        <v>52.467651062305457</v>
      </c>
      <c r="W26" s="706" t="str">
        <f t="shared" si="10"/>
        <v/>
      </c>
      <c r="X26" s="706" t="str">
        <f t="shared" si="11"/>
        <v/>
      </c>
      <c r="Y26" s="706" t="str">
        <f t="shared" si="12"/>
        <v/>
      </c>
      <c r="Z26" s="706" t="str">
        <f t="shared" si="13"/>
        <v/>
      </c>
      <c r="AA26" s="706" t="str">
        <f t="shared" si="14"/>
        <v/>
      </c>
      <c r="AB26" s="710"/>
    </row>
    <row r="27" spans="1:28" s="9" customFormat="1" ht="18.75">
      <c r="A27" s="584">
        <v>12</v>
      </c>
      <c r="B27" s="633" t="s">
        <v>608</v>
      </c>
      <c r="C27" s="575">
        <f t="shared" si="15"/>
        <v>311815</v>
      </c>
      <c r="D27" s="575">
        <v>0</v>
      </c>
      <c r="E27" s="575">
        <v>311815</v>
      </c>
      <c r="F27" s="575">
        <v>0</v>
      </c>
      <c r="G27" s="575">
        <v>0</v>
      </c>
      <c r="H27" s="575">
        <f t="shared" si="17"/>
        <v>0</v>
      </c>
      <c r="I27" s="575"/>
      <c r="J27" s="705">
        <v>0</v>
      </c>
      <c r="K27" s="575">
        <f t="shared" si="18"/>
        <v>293633.86012899998</v>
      </c>
      <c r="L27" s="575">
        <v>0</v>
      </c>
      <c r="M27" s="575">
        <v>293633.86012899998</v>
      </c>
      <c r="N27" s="575">
        <v>0</v>
      </c>
      <c r="O27" s="575">
        <v>0</v>
      </c>
      <c r="P27" s="575">
        <f t="shared" si="19"/>
        <v>0</v>
      </c>
      <c r="Q27" s="575">
        <v>0</v>
      </c>
      <c r="R27" s="575">
        <f t="shared" si="16"/>
        <v>0</v>
      </c>
      <c r="S27" s="575">
        <v>0</v>
      </c>
      <c r="T27" s="706">
        <f t="shared" si="7"/>
        <v>94.169254246588508</v>
      </c>
      <c r="U27" s="706" t="str">
        <f t="shared" si="8"/>
        <v/>
      </c>
      <c r="V27" s="706">
        <f t="shared" si="9"/>
        <v>94.169254246588508</v>
      </c>
      <c r="W27" s="706" t="str">
        <f t="shared" si="10"/>
        <v/>
      </c>
      <c r="X27" s="706" t="str">
        <f t="shared" si="11"/>
        <v/>
      </c>
      <c r="Y27" s="706" t="str">
        <f t="shared" si="12"/>
        <v/>
      </c>
      <c r="Z27" s="706" t="str">
        <f t="shared" si="13"/>
        <v/>
      </c>
      <c r="AA27" s="706" t="str">
        <f t="shared" si="14"/>
        <v/>
      </c>
      <c r="AB27" s="710"/>
    </row>
    <row r="28" spans="1:28" s="9" customFormat="1" ht="18.75">
      <c r="A28" s="584">
        <v>13</v>
      </c>
      <c r="B28" s="633" t="s">
        <v>609</v>
      </c>
      <c r="C28" s="575">
        <f t="shared" si="15"/>
        <v>160510</v>
      </c>
      <c r="D28" s="575">
        <v>0</v>
      </c>
      <c r="E28" s="575">
        <v>160510</v>
      </c>
      <c r="F28" s="575">
        <v>0</v>
      </c>
      <c r="G28" s="575">
        <v>0</v>
      </c>
      <c r="H28" s="575">
        <f t="shared" si="17"/>
        <v>0</v>
      </c>
      <c r="I28" s="575">
        <v>0</v>
      </c>
      <c r="J28" s="705">
        <v>0</v>
      </c>
      <c r="K28" s="575">
        <f t="shared" si="18"/>
        <v>186978.02782600001</v>
      </c>
      <c r="L28" s="575">
        <v>0</v>
      </c>
      <c r="M28" s="575">
        <v>186978.02782600001</v>
      </c>
      <c r="N28" s="575">
        <v>0</v>
      </c>
      <c r="O28" s="575">
        <v>0</v>
      </c>
      <c r="P28" s="575">
        <f t="shared" si="19"/>
        <v>0</v>
      </c>
      <c r="Q28" s="575">
        <v>0</v>
      </c>
      <c r="R28" s="575">
        <f t="shared" si="16"/>
        <v>0</v>
      </c>
      <c r="S28" s="575">
        <v>0</v>
      </c>
      <c r="T28" s="706">
        <f t="shared" si="7"/>
        <v>116.48995565759144</v>
      </c>
      <c r="U28" s="706" t="str">
        <f t="shared" si="8"/>
        <v/>
      </c>
      <c r="V28" s="706">
        <f t="shared" si="9"/>
        <v>116.48995565759144</v>
      </c>
      <c r="W28" s="706" t="str">
        <f t="shared" si="10"/>
        <v/>
      </c>
      <c r="X28" s="706" t="str">
        <f t="shared" si="11"/>
        <v/>
      </c>
      <c r="Y28" s="706" t="str">
        <f t="shared" si="12"/>
        <v/>
      </c>
      <c r="Z28" s="706" t="str">
        <f t="shared" si="13"/>
        <v/>
      </c>
      <c r="AA28" s="706" t="str">
        <f t="shared" si="14"/>
        <v/>
      </c>
      <c r="AB28" s="710"/>
    </row>
    <row r="29" spans="1:28" s="9" customFormat="1" ht="18.75">
      <c r="A29" s="584">
        <v>14</v>
      </c>
      <c r="B29" s="633" t="s">
        <v>610</v>
      </c>
      <c r="C29" s="575">
        <f t="shared" si="15"/>
        <v>82608</v>
      </c>
      <c r="D29" s="575">
        <v>0</v>
      </c>
      <c r="E29" s="575">
        <f>52739+22462</f>
        <v>75201</v>
      </c>
      <c r="F29" s="575">
        <v>0</v>
      </c>
      <c r="G29" s="575">
        <v>0</v>
      </c>
      <c r="H29" s="575">
        <f t="shared" si="17"/>
        <v>7407</v>
      </c>
      <c r="I29" s="575">
        <f>'PL61'!D21</f>
        <v>0</v>
      </c>
      <c r="J29" s="575">
        <f>'PL61'!E21</f>
        <v>7407</v>
      </c>
      <c r="K29" s="575">
        <f t="shared" si="18"/>
        <v>92221.754423000006</v>
      </c>
      <c r="L29" s="575">
        <v>0</v>
      </c>
      <c r="M29" s="575">
        <f>92221.754423-R29</f>
        <v>87384.564294000011</v>
      </c>
      <c r="N29" s="575">
        <v>0</v>
      </c>
      <c r="O29" s="575">
        <v>0</v>
      </c>
      <c r="P29" s="575">
        <f t="shared" si="19"/>
        <v>4837.1901290000005</v>
      </c>
      <c r="Q29" s="575">
        <f>'PL61'!U21</f>
        <v>0</v>
      </c>
      <c r="R29" s="575">
        <f t="shared" si="16"/>
        <v>4837.1901290000005</v>
      </c>
      <c r="S29" s="575">
        <v>0</v>
      </c>
      <c r="T29" s="706">
        <f t="shared" si="7"/>
        <v>111.63780072511138</v>
      </c>
      <c r="U29" s="706" t="str">
        <f t="shared" si="8"/>
        <v/>
      </c>
      <c r="V29" s="706">
        <f t="shared" si="9"/>
        <v>116.2013328200423</v>
      </c>
      <c r="W29" s="706" t="str">
        <f t="shared" si="10"/>
        <v/>
      </c>
      <c r="X29" s="706" t="str">
        <f t="shared" si="11"/>
        <v/>
      </c>
      <c r="Y29" s="706">
        <f t="shared" si="12"/>
        <v>65.305658552720416</v>
      </c>
      <c r="Z29" s="706" t="str">
        <f t="shared" si="13"/>
        <v/>
      </c>
      <c r="AA29" s="706">
        <f t="shared" si="14"/>
        <v>65.305658552720416</v>
      </c>
      <c r="AB29" s="710">
        <f>1860.579829+2472.812+503.7983</f>
        <v>4837.1901290000005</v>
      </c>
    </row>
    <row r="30" spans="1:28" s="9" customFormat="1" ht="18.75">
      <c r="A30" s="584">
        <v>15</v>
      </c>
      <c r="B30" s="633" t="s">
        <v>611</v>
      </c>
      <c r="C30" s="575">
        <f t="shared" si="15"/>
        <v>53282</v>
      </c>
      <c r="D30" s="575">
        <v>0</v>
      </c>
      <c r="E30" s="575">
        <v>48262</v>
      </c>
      <c r="F30" s="575">
        <v>0</v>
      </c>
      <c r="G30" s="575">
        <v>0</v>
      </c>
      <c r="H30" s="575">
        <f t="shared" si="17"/>
        <v>5020</v>
      </c>
      <c r="I30" s="575">
        <f>'PL61'!D22</f>
        <v>0</v>
      </c>
      <c r="J30" s="575">
        <f>'PL61'!E22</f>
        <v>5020</v>
      </c>
      <c r="K30" s="575">
        <f t="shared" si="18"/>
        <v>61877.101267000005</v>
      </c>
      <c r="L30" s="575">
        <v>8552.7605000000003</v>
      </c>
      <c r="M30" s="575">
        <f>53324.340767-R30</f>
        <v>47951.277367000002</v>
      </c>
      <c r="N30" s="575">
        <v>0</v>
      </c>
      <c r="O30" s="575">
        <v>0</v>
      </c>
      <c r="P30" s="575">
        <f t="shared" si="19"/>
        <v>5373.0634</v>
      </c>
      <c r="Q30" s="575">
        <f>'PL61'!U22</f>
        <v>0</v>
      </c>
      <c r="R30" s="575">
        <f>AB30</f>
        <v>5373.0634</v>
      </c>
      <c r="S30" s="575">
        <v>0</v>
      </c>
      <c r="T30" s="706">
        <f t="shared" si="7"/>
        <v>116.13134129161818</v>
      </c>
      <c r="U30" s="706" t="str">
        <f t="shared" si="8"/>
        <v/>
      </c>
      <c r="V30" s="706">
        <f t="shared" si="9"/>
        <v>99.356175390576439</v>
      </c>
      <c r="W30" s="706" t="str">
        <f t="shared" si="10"/>
        <v/>
      </c>
      <c r="X30" s="706" t="str">
        <f t="shared" si="11"/>
        <v/>
      </c>
      <c r="Y30" s="706">
        <f t="shared" si="12"/>
        <v>107.03313545816732</v>
      </c>
      <c r="Z30" s="706" t="str">
        <f t="shared" si="13"/>
        <v/>
      </c>
      <c r="AA30" s="706">
        <f t="shared" si="14"/>
        <v>107.03313545816732</v>
      </c>
      <c r="AB30" s="710">
        <f>5087.861+285.2024</f>
        <v>5373.0634</v>
      </c>
    </row>
    <row r="31" spans="1:28" s="9" customFormat="1" ht="18.75">
      <c r="A31" s="584">
        <v>16</v>
      </c>
      <c r="B31" s="633" t="s">
        <v>612</v>
      </c>
      <c r="C31" s="575">
        <f t="shared" si="15"/>
        <v>45987</v>
      </c>
      <c r="D31" s="575">
        <v>0</v>
      </c>
      <c r="E31" s="575">
        <v>45987</v>
      </c>
      <c r="F31" s="575">
        <v>0</v>
      </c>
      <c r="G31" s="575">
        <v>0</v>
      </c>
      <c r="H31" s="575">
        <f t="shared" si="17"/>
        <v>0</v>
      </c>
      <c r="I31" s="575">
        <v>0</v>
      </c>
      <c r="J31" s="705">
        <v>0</v>
      </c>
      <c r="K31" s="575">
        <f t="shared" si="18"/>
        <v>29618.76513</v>
      </c>
      <c r="L31" s="575">
        <v>0</v>
      </c>
      <c r="M31" s="575">
        <v>29618.76513</v>
      </c>
      <c r="N31" s="575">
        <v>0</v>
      </c>
      <c r="O31" s="575">
        <v>0</v>
      </c>
      <c r="P31" s="575">
        <f t="shared" si="19"/>
        <v>0</v>
      </c>
      <c r="Q31" s="575">
        <f>'PL61'!U23</f>
        <v>0</v>
      </c>
      <c r="R31" s="575">
        <f t="shared" si="16"/>
        <v>0</v>
      </c>
      <c r="S31" s="575">
        <v>0</v>
      </c>
      <c r="T31" s="706">
        <f t="shared" si="7"/>
        <v>64.406821775719223</v>
      </c>
      <c r="U31" s="706" t="str">
        <f t="shared" si="8"/>
        <v/>
      </c>
      <c r="V31" s="706">
        <f t="shared" si="9"/>
        <v>64.406821775719223</v>
      </c>
      <c r="W31" s="706" t="str">
        <f t="shared" si="10"/>
        <v/>
      </c>
      <c r="X31" s="706" t="str">
        <f t="shared" si="11"/>
        <v/>
      </c>
      <c r="Y31" s="706" t="str">
        <f t="shared" si="12"/>
        <v/>
      </c>
      <c r="Z31" s="706" t="str">
        <f t="shared" si="13"/>
        <v/>
      </c>
      <c r="AA31" s="706" t="str">
        <f t="shared" si="14"/>
        <v/>
      </c>
      <c r="AB31" s="710"/>
    </row>
    <row r="32" spans="1:28" s="9" customFormat="1" ht="18.75">
      <c r="A32" s="584">
        <v>17</v>
      </c>
      <c r="B32" s="633" t="s">
        <v>613</v>
      </c>
      <c r="C32" s="575">
        <f t="shared" si="15"/>
        <v>14329</v>
      </c>
      <c r="D32" s="575">
        <v>0</v>
      </c>
      <c r="E32" s="575">
        <v>8709</v>
      </c>
      <c r="F32" s="575">
        <v>0</v>
      </c>
      <c r="G32" s="575">
        <v>0</v>
      </c>
      <c r="H32" s="575">
        <f t="shared" si="17"/>
        <v>5620</v>
      </c>
      <c r="I32" s="575">
        <f>'PL61'!D23</f>
        <v>0</v>
      </c>
      <c r="J32" s="575">
        <f>'PL61'!E23</f>
        <v>5620</v>
      </c>
      <c r="K32" s="575">
        <f t="shared" si="18"/>
        <v>10775.615492999999</v>
      </c>
      <c r="L32" s="575">
        <v>0</v>
      </c>
      <c r="M32" s="575">
        <f>10775.615493-R32</f>
        <v>9975.7249929999998</v>
      </c>
      <c r="N32" s="575"/>
      <c r="O32" s="575"/>
      <c r="P32" s="575">
        <f t="shared" si="19"/>
        <v>799.89049999999997</v>
      </c>
      <c r="Q32" s="575">
        <f>'PL61'!U23</f>
        <v>0</v>
      </c>
      <c r="R32" s="575">
        <f>'PL61'!V23</f>
        <v>799.89049999999997</v>
      </c>
      <c r="S32" s="575">
        <v>0</v>
      </c>
      <c r="T32" s="706">
        <f t="shared" si="7"/>
        <v>75.201448063367991</v>
      </c>
      <c r="U32" s="706" t="str">
        <f t="shared" si="8"/>
        <v/>
      </c>
      <c r="V32" s="706">
        <f t="shared" si="9"/>
        <v>114.5450108278792</v>
      </c>
      <c r="W32" s="706" t="str">
        <f t="shared" si="10"/>
        <v/>
      </c>
      <c r="X32" s="706" t="str">
        <f t="shared" si="11"/>
        <v/>
      </c>
      <c r="Y32" s="706">
        <f t="shared" si="12"/>
        <v>14.232927046263343</v>
      </c>
      <c r="Z32" s="706" t="str">
        <f t="shared" si="13"/>
        <v/>
      </c>
      <c r="AA32" s="706">
        <f t="shared" si="14"/>
        <v>14.232927046263343</v>
      </c>
      <c r="AB32" s="710">
        <f>515.686+284.2045</f>
        <v>799.89049999999997</v>
      </c>
    </row>
    <row r="33" spans="1:28" s="9" customFormat="1" ht="18.75">
      <c r="A33" s="584">
        <v>18</v>
      </c>
      <c r="B33" s="633" t="s">
        <v>614</v>
      </c>
      <c r="C33" s="575">
        <f t="shared" si="15"/>
        <v>29022</v>
      </c>
      <c r="D33" s="575">
        <v>0</v>
      </c>
      <c r="E33" s="575">
        <v>28022</v>
      </c>
      <c r="F33" s="575">
        <v>0</v>
      </c>
      <c r="G33" s="575">
        <v>0</v>
      </c>
      <c r="H33" s="575">
        <f t="shared" si="17"/>
        <v>1000</v>
      </c>
      <c r="I33" s="575">
        <v>0</v>
      </c>
      <c r="J33" s="575">
        <f>'PL61'!E24</f>
        <v>1000</v>
      </c>
      <c r="K33" s="575">
        <f t="shared" si="18"/>
        <v>37493.375914999997</v>
      </c>
      <c r="L33" s="575">
        <v>0</v>
      </c>
      <c r="M33" s="575">
        <f>37493.375915-R33</f>
        <v>36749.385114999997</v>
      </c>
      <c r="N33" s="575">
        <v>0</v>
      </c>
      <c r="O33" s="575">
        <v>0</v>
      </c>
      <c r="P33" s="575">
        <f t="shared" si="19"/>
        <v>743.99080000000004</v>
      </c>
      <c r="Q33" s="575">
        <f>'PL61'!U24</f>
        <v>0</v>
      </c>
      <c r="R33" s="575">
        <f>'PL61'!V24</f>
        <v>743.99080000000004</v>
      </c>
      <c r="S33" s="575">
        <v>0</v>
      </c>
      <c r="T33" s="706">
        <f t="shared" si="7"/>
        <v>129.18949732961198</v>
      </c>
      <c r="U33" s="706" t="str">
        <f t="shared" si="8"/>
        <v/>
      </c>
      <c r="V33" s="706">
        <f t="shared" si="9"/>
        <v>131.14476166940258</v>
      </c>
      <c r="W33" s="706" t="str">
        <f t="shared" si="10"/>
        <v/>
      </c>
      <c r="X33" s="706" t="str">
        <f t="shared" si="11"/>
        <v/>
      </c>
      <c r="Y33" s="706">
        <f t="shared" si="12"/>
        <v>74.399079999999998</v>
      </c>
      <c r="Z33" s="706" t="str">
        <f t="shared" si="13"/>
        <v/>
      </c>
      <c r="AA33" s="706">
        <f t="shared" si="14"/>
        <v>74.399079999999998</v>
      </c>
      <c r="AB33" s="710">
        <v>743.99080000000004</v>
      </c>
    </row>
    <row r="34" spans="1:28" s="9" customFormat="1" ht="18.75">
      <c r="A34" s="584">
        <v>19</v>
      </c>
      <c r="B34" s="633" t="s">
        <v>615</v>
      </c>
      <c r="C34" s="575">
        <f t="shared" si="15"/>
        <v>6593</v>
      </c>
      <c r="D34" s="575">
        <v>0</v>
      </c>
      <c r="E34" s="575">
        <v>6593</v>
      </c>
      <c r="F34" s="575">
        <v>0</v>
      </c>
      <c r="G34" s="575">
        <v>0</v>
      </c>
      <c r="H34" s="575">
        <f t="shared" si="17"/>
        <v>0</v>
      </c>
      <c r="I34" s="575">
        <v>0</v>
      </c>
      <c r="J34" s="705">
        <v>0</v>
      </c>
      <c r="K34" s="575">
        <f t="shared" si="18"/>
        <v>7791.4525610000001</v>
      </c>
      <c r="L34" s="575">
        <v>0</v>
      </c>
      <c r="M34" s="575">
        <v>7791.4525610000001</v>
      </c>
      <c r="N34" s="575">
        <v>0</v>
      </c>
      <c r="O34" s="575">
        <v>0</v>
      </c>
      <c r="P34" s="575">
        <f t="shared" si="19"/>
        <v>0</v>
      </c>
      <c r="Q34" s="575">
        <v>0</v>
      </c>
      <c r="R34" s="575">
        <f t="shared" si="16"/>
        <v>0</v>
      </c>
      <c r="S34" s="575">
        <v>0</v>
      </c>
      <c r="T34" s="706">
        <f t="shared" si="7"/>
        <v>118.17765146367358</v>
      </c>
      <c r="U34" s="706" t="str">
        <f t="shared" si="8"/>
        <v/>
      </c>
      <c r="V34" s="706">
        <f t="shared" si="9"/>
        <v>118.17765146367358</v>
      </c>
      <c r="W34" s="706" t="str">
        <f t="shared" si="10"/>
        <v/>
      </c>
      <c r="X34" s="706" t="str">
        <f t="shared" si="11"/>
        <v/>
      </c>
      <c r="Y34" s="706" t="str">
        <f t="shared" si="12"/>
        <v/>
      </c>
      <c r="Z34" s="706" t="str">
        <f t="shared" si="13"/>
        <v/>
      </c>
      <c r="AA34" s="706" t="str">
        <f t="shared" si="14"/>
        <v/>
      </c>
      <c r="AB34" s="710"/>
    </row>
    <row r="35" spans="1:28" s="9" customFormat="1" ht="18.75">
      <c r="A35" s="584">
        <v>20</v>
      </c>
      <c r="B35" s="633" t="s">
        <v>616</v>
      </c>
      <c r="C35" s="575">
        <f t="shared" si="15"/>
        <v>1230</v>
      </c>
      <c r="D35" s="575">
        <v>0</v>
      </c>
      <c r="E35" s="575">
        <v>1230</v>
      </c>
      <c r="F35" s="575">
        <v>0</v>
      </c>
      <c r="G35" s="575">
        <v>0</v>
      </c>
      <c r="H35" s="575">
        <f t="shared" si="17"/>
        <v>0</v>
      </c>
      <c r="I35" s="575">
        <v>0</v>
      </c>
      <c r="J35" s="705">
        <v>0</v>
      </c>
      <c r="K35" s="575">
        <f t="shared" si="18"/>
        <v>2550</v>
      </c>
      <c r="L35" s="575">
        <v>0</v>
      </c>
      <c r="M35" s="575">
        <v>2550</v>
      </c>
      <c r="N35" s="575">
        <v>0</v>
      </c>
      <c r="O35" s="575">
        <v>0</v>
      </c>
      <c r="P35" s="575">
        <f>Q35+R35</f>
        <v>0</v>
      </c>
      <c r="Q35" s="575">
        <v>0</v>
      </c>
      <c r="R35" s="575">
        <f t="shared" si="16"/>
        <v>0</v>
      </c>
      <c r="S35" s="575">
        <v>0</v>
      </c>
      <c r="T35" s="706">
        <f t="shared" si="7"/>
        <v>207.3170731707317</v>
      </c>
      <c r="U35" s="706" t="str">
        <f t="shared" si="8"/>
        <v/>
      </c>
      <c r="V35" s="706">
        <f t="shared" si="9"/>
        <v>207.3170731707317</v>
      </c>
      <c r="W35" s="706" t="str">
        <f t="shared" si="10"/>
        <v/>
      </c>
      <c r="X35" s="706" t="str">
        <f t="shared" si="11"/>
        <v/>
      </c>
      <c r="Y35" s="706" t="str">
        <f t="shared" si="12"/>
        <v/>
      </c>
      <c r="Z35" s="706" t="str">
        <f t="shared" si="13"/>
        <v/>
      </c>
      <c r="AA35" s="706" t="str">
        <f t="shared" si="14"/>
        <v/>
      </c>
      <c r="AB35" s="710"/>
    </row>
    <row r="36" spans="1:28" s="9" customFormat="1" ht="18.75">
      <c r="A36" s="584">
        <v>21</v>
      </c>
      <c r="B36" s="633" t="s">
        <v>617</v>
      </c>
      <c r="C36" s="575">
        <f t="shared" si="15"/>
        <v>1327</v>
      </c>
      <c r="D36" s="575">
        <v>0</v>
      </c>
      <c r="E36" s="575">
        <v>1327</v>
      </c>
      <c r="F36" s="575">
        <v>0</v>
      </c>
      <c r="G36" s="575">
        <v>0</v>
      </c>
      <c r="H36" s="575">
        <f t="shared" si="17"/>
        <v>0</v>
      </c>
      <c r="I36" s="575">
        <v>0</v>
      </c>
      <c r="J36" s="705">
        <v>0</v>
      </c>
      <c r="K36" s="575">
        <f t="shared" si="18"/>
        <v>1735.898682</v>
      </c>
      <c r="L36" s="575">
        <v>0</v>
      </c>
      <c r="M36" s="575">
        <v>1735.898682</v>
      </c>
      <c r="N36" s="575">
        <v>0</v>
      </c>
      <c r="O36" s="575">
        <v>0</v>
      </c>
      <c r="P36" s="575">
        <f t="shared" si="19"/>
        <v>0</v>
      </c>
      <c r="Q36" s="575">
        <v>0</v>
      </c>
      <c r="R36" s="575">
        <f t="shared" si="16"/>
        <v>0</v>
      </c>
      <c r="S36" s="575">
        <v>0</v>
      </c>
      <c r="T36" s="706">
        <f t="shared" si="7"/>
        <v>130.81376654107009</v>
      </c>
      <c r="U36" s="706" t="str">
        <f t="shared" si="8"/>
        <v/>
      </c>
      <c r="V36" s="706">
        <f t="shared" si="9"/>
        <v>130.81376654107009</v>
      </c>
      <c r="W36" s="706" t="str">
        <f t="shared" si="10"/>
        <v/>
      </c>
      <c r="X36" s="706" t="str">
        <f t="shared" si="11"/>
        <v/>
      </c>
      <c r="Y36" s="706" t="str">
        <f t="shared" si="12"/>
        <v/>
      </c>
      <c r="Z36" s="706" t="str">
        <f t="shared" si="13"/>
        <v/>
      </c>
      <c r="AA36" s="706" t="str">
        <f t="shared" si="14"/>
        <v/>
      </c>
      <c r="AB36" s="710"/>
    </row>
    <row r="37" spans="1:28" s="9" customFormat="1" ht="18.75">
      <c r="A37" s="584">
        <v>22</v>
      </c>
      <c r="B37" s="633" t="s">
        <v>618</v>
      </c>
      <c r="C37" s="575">
        <f t="shared" si="15"/>
        <v>2743</v>
      </c>
      <c r="D37" s="575">
        <v>0</v>
      </c>
      <c r="E37" s="575">
        <v>2743</v>
      </c>
      <c r="F37" s="575">
        <v>0</v>
      </c>
      <c r="G37" s="575">
        <v>0</v>
      </c>
      <c r="H37" s="575">
        <f t="shared" si="17"/>
        <v>0</v>
      </c>
      <c r="I37" s="575">
        <v>0</v>
      </c>
      <c r="J37" s="705">
        <v>0</v>
      </c>
      <c r="K37" s="575">
        <f>SUM(L37:P37)+S37</f>
        <v>24265.071985999999</v>
      </c>
      <c r="L37" s="575">
        <v>0</v>
      </c>
      <c r="M37" s="575">
        <v>24265.071985999999</v>
      </c>
      <c r="N37" s="575">
        <v>0</v>
      </c>
      <c r="O37" s="575">
        <v>0</v>
      </c>
      <c r="P37" s="575">
        <f t="shared" si="19"/>
        <v>0</v>
      </c>
      <c r="Q37" s="575">
        <v>0</v>
      </c>
      <c r="R37" s="575">
        <f t="shared" si="16"/>
        <v>0</v>
      </c>
      <c r="S37" s="575">
        <v>0</v>
      </c>
      <c r="T37" s="706">
        <f t="shared" si="7"/>
        <v>884.61800896828288</v>
      </c>
      <c r="U37" s="706" t="str">
        <f t="shared" si="8"/>
        <v/>
      </c>
      <c r="V37" s="706">
        <f t="shared" si="9"/>
        <v>884.61800896828288</v>
      </c>
      <c r="W37" s="706" t="str">
        <f t="shared" si="10"/>
        <v/>
      </c>
      <c r="X37" s="706" t="str">
        <f t="shared" si="11"/>
        <v/>
      </c>
      <c r="Y37" s="706" t="str">
        <f t="shared" si="12"/>
        <v/>
      </c>
      <c r="Z37" s="706" t="str">
        <f t="shared" si="13"/>
        <v/>
      </c>
      <c r="AA37" s="706" t="str">
        <f t="shared" si="14"/>
        <v/>
      </c>
      <c r="AB37" s="710"/>
    </row>
    <row r="38" spans="1:28" s="9" customFormat="1" ht="18.75">
      <c r="A38" s="584">
        <v>23</v>
      </c>
      <c r="B38" s="633" t="s">
        <v>652</v>
      </c>
      <c r="C38" s="575">
        <f t="shared" si="15"/>
        <v>13739</v>
      </c>
      <c r="D38" s="575">
        <v>0</v>
      </c>
      <c r="E38" s="575">
        <v>13739</v>
      </c>
      <c r="F38" s="575">
        <v>0</v>
      </c>
      <c r="G38" s="575">
        <v>0</v>
      </c>
      <c r="H38" s="575">
        <f t="shared" si="17"/>
        <v>0</v>
      </c>
      <c r="I38" s="575">
        <v>0</v>
      </c>
      <c r="J38" s="705">
        <v>0</v>
      </c>
      <c r="K38" s="575">
        <f t="shared" si="18"/>
        <v>11660.762656999999</v>
      </c>
      <c r="L38" s="575">
        <v>0</v>
      </c>
      <c r="M38" s="575">
        <v>11660.762656999999</v>
      </c>
      <c r="N38" s="575">
        <v>0</v>
      </c>
      <c r="O38" s="575">
        <v>0</v>
      </c>
      <c r="P38" s="575">
        <f t="shared" si="19"/>
        <v>0</v>
      </c>
      <c r="Q38" s="575">
        <v>0</v>
      </c>
      <c r="R38" s="575">
        <f t="shared" si="16"/>
        <v>0</v>
      </c>
      <c r="S38" s="575">
        <v>0</v>
      </c>
      <c r="T38" s="706">
        <f t="shared" si="7"/>
        <v>84.87344535264576</v>
      </c>
      <c r="U38" s="706" t="str">
        <f t="shared" si="8"/>
        <v/>
      </c>
      <c r="V38" s="706">
        <f t="shared" si="9"/>
        <v>84.87344535264576</v>
      </c>
      <c r="W38" s="706" t="str">
        <f t="shared" si="10"/>
        <v/>
      </c>
      <c r="X38" s="706" t="str">
        <f t="shared" si="11"/>
        <v/>
      </c>
      <c r="Y38" s="706" t="str">
        <f t="shared" si="12"/>
        <v/>
      </c>
      <c r="Z38" s="706" t="str">
        <f t="shared" si="13"/>
        <v/>
      </c>
      <c r="AA38" s="706" t="str">
        <f t="shared" si="14"/>
        <v/>
      </c>
      <c r="AB38" s="710"/>
    </row>
    <row r="39" spans="1:28" s="9" customFormat="1" ht="18.75">
      <c r="A39" s="584">
        <v>24</v>
      </c>
      <c r="B39" s="633" t="s">
        <v>620</v>
      </c>
      <c r="C39" s="575">
        <f t="shared" si="15"/>
        <v>5522</v>
      </c>
      <c r="D39" s="575">
        <v>0</v>
      </c>
      <c r="E39" s="575">
        <v>5522</v>
      </c>
      <c r="F39" s="575">
        <v>0</v>
      </c>
      <c r="G39" s="575">
        <v>0</v>
      </c>
      <c r="H39" s="575">
        <f t="shared" si="17"/>
        <v>0</v>
      </c>
      <c r="I39" s="575">
        <v>0</v>
      </c>
      <c r="J39" s="705">
        <v>0</v>
      </c>
      <c r="K39" s="575">
        <f t="shared" si="18"/>
        <v>5354.8271219999997</v>
      </c>
      <c r="L39" s="575">
        <v>0</v>
      </c>
      <c r="M39" s="575">
        <v>5354.8271219999997</v>
      </c>
      <c r="N39" s="575">
        <v>0</v>
      </c>
      <c r="O39" s="575">
        <v>0</v>
      </c>
      <c r="P39" s="575">
        <f t="shared" si="19"/>
        <v>0</v>
      </c>
      <c r="Q39" s="575">
        <v>0</v>
      </c>
      <c r="R39" s="575">
        <f t="shared" si="16"/>
        <v>0</v>
      </c>
      <c r="S39" s="575">
        <v>0</v>
      </c>
      <c r="T39" s="706">
        <f t="shared" si="7"/>
        <v>96.972602716407096</v>
      </c>
      <c r="U39" s="706" t="str">
        <f t="shared" si="8"/>
        <v/>
      </c>
      <c r="V39" s="706">
        <f t="shared" si="9"/>
        <v>96.972602716407096</v>
      </c>
      <c r="W39" s="706" t="str">
        <f t="shared" si="10"/>
        <v/>
      </c>
      <c r="X39" s="706" t="str">
        <f t="shared" si="11"/>
        <v/>
      </c>
      <c r="Y39" s="706" t="str">
        <f t="shared" si="12"/>
        <v/>
      </c>
      <c r="Z39" s="706" t="str">
        <f t="shared" si="13"/>
        <v/>
      </c>
      <c r="AA39" s="706" t="str">
        <f t="shared" si="14"/>
        <v/>
      </c>
      <c r="AB39" s="710"/>
    </row>
    <row r="40" spans="1:28" s="9" customFormat="1" ht="18.75">
      <c r="A40" s="584">
        <v>25</v>
      </c>
      <c r="B40" s="633" t="s">
        <v>621</v>
      </c>
      <c r="C40" s="575">
        <f t="shared" si="15"/>
        <v>7159</v>
      </c>
      <c r="D40" s="575">
        <v>0</v>
      </c>
      <c r="E40" s="575">
        <v>7159</v>
      </c>
      <c r="F40" s="575">
        <v>0</v>
      </c>
      <c r="G40" s="575">
        <v>0</v>
      </c>
      <c r="H40" s="575">
        <f t="shared" si="17"/>
        <v>0</v>
      </c>
      <c r="I40" s="575">
        <v>0</v>
      </c>
      <c r="J40" s="705">
        <v>0</v>
      </c>
      <c r="K40" s="575">
        <f t="shared" si="18"/>
        <v>6600.2741260000003</v>
      </c>
      <c r="L40" s="575">
        <v>0</v>
      </c>
      <c r="M40" s="575">
        <v>6600.2741260000003</v>
      </c>
      <c r="N40" s="575">
        <v>0</v>
      </c>
      <c r="O40" s="575">
        <v>0</v>
      </c>
      <c r="P40" s="575">
        <f t="shared" si="19"/>
        <v>0</v>
      </c>
      <c r="Q40" s="575">
        <v>0</v>
      </c>
      <c r="R40" s="575">
        <f t="shared" si="16"/>
        <v>0</v>
      </c>
      <c r="S40" s="575">
        <v>0</v>
      </c>
      <c r="T40" s="706">
        <f t="shared" si="7"/>
        <v>92.195475988266523</v>
      </c>
      <c r="U40" s="706" t="str">
        <f t="shared" si="8"/>
        <v/>
      </c>
      <c r="V40" s="706">
        <f t="shared" si="9"/>
        <v>92.195475988266523</v>
      </c>
      <c r="W40" s="706" t="str">
        <f t="shared" si="10"/>
        <v/>
      </c>
      <c r="X40" s="706" t="str">
        <f t="shared" si="11"/>
        <v/>
      </c>
      <c r="Y40" s="706" t="str">
        <f t="shared" si="12"/>
        <v/>
      </c>
      <c r="Z40" s="706" t="str">
        <f t="shared" si="13"/>
        <v/>
      </c>
      <c r="AA40" s="706" t="str">
        <f t="shared" si="14"/>
        <v/>
      </c>
      <c r="AB40" s="710"/>
    </row>
    <row r="41" spans="1:28" s="9" customFormat="1" ht="18.75">
      <c r="A41" s="584">
        <v>26</v>
      </c>
      <c r="B41" s="633" t="s">
        <v>622</v>
      </c>
      <c r="C41" s="575">
        <f t="shared" si="15"/>
        <v>4608</v>
      </c>
      <c r="D41" s="575">
        <v>0</v>
      </c>
      <c r="E41" s="575">
        <v>4608</v>
      </c>
      <c r="F41" s="575">
        <v>0</v>
      </c>
      <c r="G41" s="575">
        <v>0</v>
      </c>
      <c r="H41" s="575">
        <f t="shared" si="17"/>
        <v>0</v>
      </c>
      <c r="I41" s="575">
        <v>0</v>
      </c>
      <c r="J41" s="705">
        <v>0</v>
      </c>
      <c r="K41" s="575">
        <f t="shared" si="18"/>
        <v>5051.2917550000002</v>
      </c>
      <c r="L41" s="575">
        <v>0</v>
      </c>
      <c r="M41" s="575">
        <v>5051.2917550000002</v>
      </c>
      <c r="N41" s="575">
        <v>0</v>
      </c>
      <c r="O41" s="575">
        <v>0</v>
      </c>
      <c r="P41" s="575">
        <f t="shared" si="19"/>
        <v>0</v>
      </c>
      <c r="Q41" s="575">
        <v>0</v>
      </c>
      <c r="R41" s="575">
        <f t="shared" si="16"/>
        <v>0</v>
      </c>
      <c r="S41" s="575">
        <v>0</v>
      </c>
      <c r="T41" s="706">
        <f t="shared" si="7"/>
        <v>109.62004676649306</v>
      </c>
      <c r="U41" s="706" t="str">
        <f t="shared" si="8"/>
        <v/>
      </c>
      <c r="V41" s="706">
        <f t="shared" si="9"/>
        <v>109.62004676649306</v>
      </c>
      <c r="W41" s="706" t="str">
        <f t="shared" si="10"/>
        <v/>
      </c>
      <c r="X41" s="706" t="str">
        <f t="shared" si="11"/>
        <v/>
      </c>
      <c r="Y41" s="706" t="str">
        <f t="shared" si="12"/>
        <v/>
      </c>
      <c r="Z41" s="706" t="str">
        <f t="shared" si="13"/>
        <v/>
      </c>
      <c r="AA41" s="706" t="str">
        <f t="shared" si="14"/>
        <v/>
      </c>
      <c r="AB41" s="710"/>
    </row>
    <row r="42" spans="1:28" s="9" customFormat="1" ht="18.75">
      <c r="A42" s="584">
        <v>27</v>
      </c>
      <c r="B42" s="633" t="s">
        <v>623</v>
      </c>
      <c r="C42" s="575">
        <f t="shared" si="15"/>
        <v>4731</v>
      </c>
      <c r="D42" s="575">
        <v>0</v>
      </c>
      <c r="E42" s="575">
        <v>4631</v>
      </c>
      <c r="F42" s="575">
        <v>0</v>
      </c>
      <c r="G42" s="575">
        <v>0</v>
      </c>
      <c r="H42" s="575">
        <f t="shared" si="17"/>
        <v>100</v>
      </c>
      <c r="I42" s="575">
        <f>'PL61'!D25</f>
        <v>0</v>
      </c>
      <c r="J42" s="575">
        <f>'PL61'!E25</f>
        <v>100</v>
      </c>
      <c r="K42" s="575">
        <f t="shared" si="18"/>
        <v>5539.1305009999996</v>
      </c>
      <c r="L42" s="575">
        <v>0</v>
      </c>
      <c r="M42" s="575">
        <f>5539.130501-R42</f>
        <v>5439.1305009999996</v>
      </c>
      <c r="N42" s="575">
        <v>0</v>
      </c>
      <c r="O42" s="575">
        <v>0</v>
      </c>
      <c r="P42" s="575">
        <f t="shared" si="19"/>
        <v>100</v>
      </c>
      <c r="Q42" s="575">
        <f>'PL61'!U25</f>
        <v>0</v>
      </c>
      <c r="R42" s="575">
        <f>'PL61'!V25</f>
        <v>100</v>
      </c>
      <c r="S42" s="575">
        <v>0</v>
      </c>
      <c r="T42" s="706">
        <f t="shared" si="7"/>
        <v>117.08160010568589</v>
      </c>
      <c r="U42" s="706" t="str">
        <f t="shared" si="8"/>
        <v/>
      </c>
      <c r="V42" s="706">
        <f t="shared" si="9"/>
        <v>117.45045348736772</v>
      </c>
      <c r="W42" s="706" t="str">
        <f t="shared" si="10"/>
        <v/>
      </c>
      <c r="X42" s="706" t="str">
        <f t="shared" si="11"/>
        <v/>
      </c>
      <c r="Y42" s="706">
        <f t="shared" si="12"/>
        <v>100</v>
      </c>
      <c r="Z42" s="706" t="str">
        <f t="shared" si="13"/>
        <v/>
      </c>
      <c r="AA42" s="706">
        <f t="shared" si="14"/>
        <v>100</v>
      </c>
      <c r="AB42" s="710">
        <v>100</v>
      </c>
    </row>
    <row r="43" spans="1:28" s="9" customFormat="1" ht="18.75">
      <c r="A43" s="584">
        <v>28</v>
      </c>
      <c r="B43" s="633" t="s">
        <v>624</v>
      </c>
      <c r="C43" s="575">
        <f t="shared" si="15"/>
        <v>2731</v>
      </c>
      <c r="D43" s="575">
        <v>0</v>
      </c>
      <c r="E43" s="575">
        <v>2531</v>
      </c>
      <c r="F43" s="575">
        <v>0</v>
      </c>
      <c r="G43" s="575">
        <v>0</v>
      </c>
      <c r="H43" s="575">
        <f t="shared" si="17"/>
        <v>200</v>
      </c>
      <c r="I43" s="575">
        <f>'PL61'!D26</f>
        <v>0</v>
      </c>
      <c r="J43" s="575">
        <f>'PL61'!E26</f>
        <v>200</v>
      </c>
      <c r="K43" s="575">
        <f t="shared" si="18"/>
        <v>2541.2009600000001</v>
      </c>
      <c r="L43" s="575">
        <v>0</v>
      </c>
      <c r="M43" s="575">
        <f>2541.20096-R43</f>
        <v>2341.2009600000001</v>
      </c>
      <c r="N43" s="575">
        <v>0</v>
      </c>
      <c r="O43" s="575">
        <v>0</v>
      </c>
      <c r="P43" s="575">
        <f t="shared" si="19"/>
        <v>200</v>
      </c>
      <c r="Q43" s="575">
        <f>'PL61'!U26</f>
        <v>0</v>
      </c>
      <c r="R43" s="575">
        <f>'PL61'!V26</f>
        <v>200</v>
      </c>
      <c r="S43" s="575">
        <v>0</v>
      </c>
      <c r="T43" s="706">
        <f t="shared" si="7"/>
        <v>93.050199926766766</v>
      </c>
      <c r="U43" s="706" t="str">
        <f t="shared" si="8"/>
        <v/>
      </c>
      <c r="V43" s="706">
        <f t="shared" si="9"/>
        <v>92.501025681548811</v>
      </c>
      <c r="W43" s="706" t="str">
        <f t="shared" si="10"/>
        <v/>
      </c>
      <c r="X43" s="706" t="str">
        <f t="shared" si="11"/>
        <v/>
      </c>
      <c r="Y43" s="706">
        <f t="shared" si="12"/>
        <v>100</v>
      </c>
      <c r="Z43" s="706" t="str">
        <f t="shared" si="13"/>
        <v/>
      </c>
      <c r="AA43" s="706">
        <f t="shared" si="14"/>
        <v>100</v>
      </c>
      <c r="AB43" s="710">
        <v>200</v>
      </c>
    </row>
    <row r="44" spans="1:28" s="9" customFormat="1" ht="18.75">
      <c r="A44" s="584">
        <v>29</v>
      </c>
      <c r="B44" s="633" t="s">
        <v>625</v>
      </c>
      <c r="C44" s="575">
        <f t="shared" si="15"/>
        <v>2394</v>
      </c>
      <c r="D44" s="575">
        <v>0</v>
      </c>
      <c r="E44" s="575">
        <v>2394</v>
      </c>
      <c r="F44" s="575">
        <v>0</v>
      </c>
      <c r="G44" s="575">
        <v>0</v>
      </c>
      <c r="H44" s="575">
        <f t="shared" si="17"/>
        <v>0</v>
      </c>
      <c r="I44" s="575">
        <v>0</v>
      </c>
      <c r="J44" s="705">
        <v>0</v>
      </c>
      <c r="K44" s="575">
        <f t="shared" si="18"/>
        <v>1833.6830950000001</v>
      </c>
      <c r="L44" s="575">
        <v>0</v>
      </c>
      <c r="M44" s="575">
        <v>1833.6830950000001</v>
      </c>
      <c r="N44" s="575">
        <v>0</v>
      </c>
      <c r="O44" s="575">
        <v>0</v>
      </c>
      <c r="P44" s="575">
        <f t="shared" si="19"/>
        <v>0</v>
      </c>
      <c r="Q44" s="575">
        <v>0</v>
      </c>
      <c r="R44" s="575">
        <f t="shared" si="16"/>
        <v>0</v>
      </c>
      <c r="S44" s="575">
        <v>0</v>
      </c>
      <c r="T44" s="706">
        <f t="shared" si="7"/>
        <v>76.594949665831251</v>
      </c>
      <c r="U44" s="706" t="str">
        <f t="shared" si="8"/>
        <v/>
      </c>
      <c r="V44" s="706">
        <f t="shared" si="9"/>
        <v>76.594949665831251</v>
      </c>
      <c r="W44" s="706" t="str">
        <f t="shared" si="10"/>
        <v/>
      </c>
      <c r="X44" s="706" t="str">
        <f t="shared" si="11"/>
        <v/>
      </c>
      <c r="Y44" s="706" t="str">
        <f t="shared" si="12"/>
        <v/>
      </c>
      <c r="Z44" s="706" t="str">
        <f t="shared" si="13"/>
        <v/>
      </c>
      <c r="AA44" s="706" t="str">
        <f t="shared" si="14"/>
        <v/>
      </c>
      <c r="AB44" s="710"/>
    </row>
    <row r="45" spans="1:28" s="9" customFormat="1" ht="18.75">
      <c r="A45" s="584">
        <v>30</v>
      </c>
      <c r="B45" s="633" t="s">
        <v>626</v>
      </c>
      <c r="C45" s="575">
        <f t="shared" si="15"/>
        <v>1462</v>
      </c>
      <c r="D45" s="575">
        <v>0</v>
      </c>
      <c r="E45" s="575">
        <v>1462</v>
      </c>
      <c r="F45" s="575">
        <v>0</v>
      </c>
      <c r="G45" s="575">
        <v>0</v>
      </c>
      <c r="H45" s="575">
        <f t="shared" si="17"/>
        <v>0</v>
      </c>
      <c r="I45" s="575">
        <v>0</v>
      </c>
      <c r="J45" s="705">
        <v>0</v>
      </c>
      <c r="K45" s="575">
        <f t="shared" si="18"/>
        <v>1317.978818</v>
      </c>
      <c r="L45" s="575">
        <v>0</v>
      </c>
      <c r="M45" s="575">
        <v>1317.978818</v>
      </c>
      <c r="N45" s="575">
        <v>0</v>
      </c>
      <c r="O45" s="575">
        <v>0</v>
      </c>
      <c r="P45" s="575">
        <f t="shared" si="19"/>
        <v>0</v>
      </c>
      <c r="Q45" s="575">
        <v>0</v>
      </c>
      <c r="R45" s="575">
        <f t="shared" si="16"/>
        <v>0</v>
      </c>
      <c r="S45" s="575">
        <v>0</v>
      </c>
      <c r="T45" s="706">
        <f t="shared" si="7"/>
        <v>90.149029958960341</v>
      </c>
      <c r="U45" s="706" t="str">
        <f t="shared" si="8"/>
        <v/>
      </c>
      <c r="V45" s="706">
        <f t="shared" si="9"/>
        <v>90.149029958960341</v>
      </c>
      <c r="W45" s="706" t="str">
        <f t="shared" si="10"/>
        <v/>
      </c>
      <c r="X45" s="706" t="str">
        <f t="shared" si="11"/>
        <v/>
      </c>
      <c r="Y45" s="706" t="str">
        <f t="shared" si="12"/>
        <v/>
      </c>
      <c r="Z45" s="706" t="str">
        <f t="shared" si="13"/>
        <v/>
      </c>
      <c r="AA45" s="706" t="str">
        <f t="shared" si="14"/>
        <v/>
      </c>
      <c r="AB45" s="710"/>
    </row>
    <row r="46" spans="1:28" s="9" customFormat="1" ht="18.75">
      <c r="A46" s="584">
        <v>31</v>
      </c>
      <c r="B46" s="633" t="s">
        <v>627</v>
      </c>
      <c r="C46" s="575">
        <f t="shared" si="15"/>
        <v>703</v>
      </c>
      <c r="D46" s="575">
        <v>0</v>
      </c>
      <c r="E46" s="575">
        <v>703</v>
      </c>
      <c r="F46" s="575">
        <v>0</v>
      </c>
      <c r="G46" s="575">
        <v>0</v>
      </c>
      <c r="H46" s="575">
        <f t="shared" si="17"/>
        <v>0</v>
      </c>
      <c r="I46" s="575">
        <v>0</v>
      </c>
      <c r="J46" s="705">
        <v>0</v>
      </c>
      <c r="K46" s="575">
        <f t="shared" si="18"/>
        <v>629.80369099999996</v>
      </c>
      <c r="L46" s="575">
        <v>0</v>
      </c>
      <c r="M46" s="575">
        <v>629.80369099999996</v>
      </c>
      <c r="N46" s="575">
        <v>0</v>
      </c>
      <c r="O46" s="575">
        <v>0</v>
      </c>
      <c r="P46" s="575">
        <f t="shared" si="19"/>
        <v>0</v>
      </c>
      <c r="Q46" s="575">
        <v>0</v>
      </c>
      <c r="R46" s="575">
        <f t="shared" si="16"/>
        <v>0</v>
      </c>
      <c r="S46" s="575">
        <v>0</v>
      </c>
      <c r="T46" s="706">
        <f t="shared" si="7"/>
        <v>89.588007254623037</v>
      </c>
      <c r="U46" s="706" t="str">
        <f t="shared" si="8"/>
        <v/>
      </c>
      <c r="V46" s="706">
        <f t="shared" si="9"/>
        <v>89.588007254623037</v>
      </c>
      <c r="W46" s="706" t="str">
        <f t="shared" si="10"/>
        <v/>
      </c>
      <c r="X46" s="706" t="str">
        <f t="shared" si="11"/>
        <v/>
      </c>
      <c r="Y46" s="706" t="str">
        <f t="shared" si="12"/>
        <v/>
      </c>
      <c r="Z46" s="706" t="str">
        <f t="shared" si="13"/>
        <v/>
      </c>
      <c r="AA46" s="706" t="str">
        <f t="shared" si="14"/>
        <v/>
      </c>
      <c r="AB46" s="710"/>
    </row>
    <row r="47" spans="1:28" s="9" customFormat="1" ht="18.75">
      <c r="A47" s="584">
        <v>32</v>
      </c>
      <c r="B47" s="633" t="s">
        <v>628</v>
      </c>
      <c r="C47" s="575">
        <f t="shared" si="15"/>
        <v>272</v>
      </c>
      <c r="D47" s="575">
        <v>0</v>
      </c>
      <c r="E47" s="575">
        <v>272</v>
      </c>
      <c r="F47" s="575">
        <v>0</v>
      </c>
      <c r="G47" s="575">
        <v>0</v>
      </c>
      <c r="H47" s="575">
        <f t="shared" si="17"/>
        <v>0</v>
      </c>
      <c r="I47" s="575">
        <v>0</v>
      </c>
      <c r="J47" s="705">
        <v>0</v>
      </c>
      <c r="K47" s="575">
        <f t="shared" si="18"/>
        <v>277.83199999999999</v>
      </c>
      <c r="L47" s="575">
        <v>0</v>
      </c>
      <c r="M47" s="575">
        <v>277.83199999999999</v>
      </c>
      <c r="N47" s="575">
        <v>0</v>
      </c>
      <c r="O47" s="575">
        <v>0</v>
      </c>
      <c r="P47" s="575">
        <f t="shared" si="19"/>
        <v>0</v>
      </c>
      <c r="Q47" s="575">
        <v>0</v>
      </c>
      <c r="R47" s="575">
        <f t="shared" si="16"/>
        <v>0</v>
      </c>
      <c r="S47" s="575">
        <v>0</v>
      </c>
      <c r="T47" s="706">
        <f t="shared" si="7"/>
        <v>102.14411764705882</v>
      </c>
      <c r="U47" s="706" t="str">
        <f t="shared" si="8"/>
        <v/>
      </c>
      <c r="V47" s="706">
        <f t="shared" si="9"/>
        <v>102.14411764705882</v>
      </c>
      <c r="W47" s="706" t="str">
        <f t="shared" si="10"/>
        <v/>
      </c>
      <c r="X47" s="706" t="str">
        <f t="shared" si="11"/>
        <v/>
      </c>
      <c r="Y47" s="706" t="str">
        <f t="shared" si="12"/>
        <v/>
      </c>
      <c r="Z47" s="706" t="str">
        <f t="shared" si="13"/>
        <v/>
      </c>
      <c r="AA47" s="706" t="str">
        <f t="shared" si="14"/>
        <v/>
      </c>
      <c r="AB47" s="710"/>
    </row>
    <row r="48" spans="1:28" s="9" customFormat="1" ht="18.75">
      <c r="A48" s="584">
        <v>33</v>
      </c>
      <c r="B48" s="633" t="s">
        <v>629</v>
      </c>
      <c r="C48" s="575">
        <f t="shared" si="15"/>
        <v>2141</v>
      </c>
      <c r="D48" s="575">
        <v>0</v>
      </c>
      <c r="E48" s="575">
        <v>2141</v>
      </c>
      <c r="F48" s="575">
        <v>0</v>
      </c>
      <c r="G48" s="575">
        <v>0</v>
      </c>
      <c r="H48" s="575">
        <f t="shared" si="17"/>
        <v>0</v>
      </c>
      <c r="I48" s="575">
        <v>0</v>
      </c>
      <c r="J48" s="705">
        <v>0</v>
      </c>
      <c r="K48" s="575">
        <f t="shared" si="18"/>
        <v>2293.3636660000002</v>
      </c>
      <c r="L48" s="575">
        <v>0</v>
      </c>
      <c r="M48" s="575">
        <v>2293.3636660000002</v>
      </c>
      <c r="N48" s="575">
        <v>0</v>
      </c>
      <c r="O48" s="575">
        <v>0</v>
      </c>
      <c r="P48" s="575">
        <f t="shared" si="19"/>
        <v>0</v>
      </c>
      <c r="Q48" s="575">
        <v>0</v>
      </c>
      <c r="R48" s="575">
        <f t="shared" si="16"/>
        <v>0</v>
      </c>
      <c r="S48" s="575">
        <v>0</v>
      </c>
      <c r="T48" s="706">
        <f t="shared" si="7"/>
        <v>107.11647202241944</v>
      </c>
      <c r="U48" s="706" t="str">
        <f t="shared" si="8"/>
        <v/>
      </c>
      <c r="V48" s="706">
        <f t="shared" si="9"/>
        <v>107.11647202241944</v>
      </c>
      <c r="W48" s="706" t="str">
        <f t="shared" si="10"/>
        <v/>
      </c>
      <c r="X48" s="706" t="str">
        <f t="shared" si="11"/>
        <v/>
      </c>
      <c r="Y48" s="706" t="str">
        <f t="shared" si="12"/>
        <v/>
      </c>
      <c r="Z48" s="706" t="str">
        <f t="shared" si="13"/>
        <v/>
      </c>
      <c r="AA48" s="706" t="str">
        <f t="shared" si="14"/>
        <v/>
      </c>
      <c r="AB48" s="710"/>
    </row>
    <row r="49" spans="1:28" s="9" customFormat="1" ht="18.75">
      <c r="A49" s="584">
        <v>34</v>
      </c>
      <c r="B49" s="633" t="s">
        <v>630</v>
      </c>
      <c r="C49" s="575">
        <f t="shared" si="15"/>
        <v>307</v>
      </c>
      <c r="D49" s="575">
        <v>0</v>
      </c>
      <c r="E49" s="575">
        <v>307</v>
      </c>
      <c r="F49" s="575">
        <v>0</v>
      </c>
      <c r="G49" s="575">
        <v>0</v>
      </c>
      <c r="H49" s="575">
        <f t="shared" si="17"/>
        <v>0</v>
      </c>
      <c r="I49" s="575">
        <v>0</v>
      </c>
      <c r="J49" s="705">
        <v>0</v>
      </c>
      <c r="K49" s="575">
        <f t="shared" si="18"/>
        <v>334.89400000000001</v>
      </c>
      <c r="L49" s="575">
        <v>0</v>
      </c>
      <c r="M49" s="575">
        <v>334.89400000000001</v>
      </c>
      <c r="N49" s="575">
        <v>0</v>
      </c>
      <c r="O49" s="575">
        <v>0</v>
      </c>
      <c r="P49" s="575">
        <f t="shared" si="19"/>
        <v>0</v>
      </c>
      <c r="Q49" s="575">
        <v>0</v>
      </c>
      <c r="R49" s="575">
        <f t="shared" si="16"/>
        <v>0</v>
      </c>
      <c r="S49" s="575">
        <v>0</v>
      </c>
      <c r="T49" s="706">
        <f t="shared" si="7"/>
        <v>109.08599348534203</v>
      </c>
      <c r="U49" s="706" t="str">
        <f t="shared" si="8"/>
        <v/>
      </c>
      <c r="V49" s="706">
        <f t="shared" si="9"/>
        <v>109.08599348534203</v>
      </c>
      <c r="W49" s="706" t="str">
        <f t="shared" si="10"/>
        <v/>
      </c>
      <c r="X49" s="706" t="str">
        <f t="shared" si="11"/>
        <v/>
      </c>
      <c r="Y49" s="706" t="str">
        <f t="shared" si="12"/>
        <v/>
      </c>
      <c r="Z49" s="706" t="str">
        <f t="shared" si="13"/>
        <v/>
      </c>
      <c r="AA49" s="706" t="str">
        <f t="shared" si="14"/>
        <v/>
      </c>
      <c r="AB49" s="710"/>
    </row>
    <row r="50" spans="1:28" s="9" customFormat="1" ht="18.75">
      <c r="A50" s="584">
        <v>35</v>
      </c>
      <c r="B50" s="633" t="s">
        <v>631</v>
      </c>
      <c r="C50" s="575">
        <f t="shared" si="15"/>
        <v>828</v>
      </c>
      <c r="D50" s="575">
        <v>0</v>
      </c>
      <c r="E50" s="575">
        <v>828</v>
      </c>
      <c r="F50" s="575">
        <v>0</v>
      </c>
      <c r="G50" s="575">
        <v>0</v>
      </c>
      <c r="H50" s="575">
        <f t="shared" si="17"/>
        <v>0</v>
      </c>
      <c r="I50" s="575">
        <v>0</v>
      </c>
      <c r="J50" s="705">
        <v>0</v>
      </c>
      <c r="K50" s="575">
        <f t="shared" si="18"/>
        <v>841.26897399999996</v>
      </c>
      <c r="L50" s="575">
        <v>0</v>
      </c>
      <c r="M50" s="575">
        <v>841.26897399999996</v>
      </c>
      <c r="N50" s="575">
        <v>0</v>
      </c>
      <c r="O50" s="575">
        <v>0</v>
      </c>
      <c r="P50" s="575">
        <f t="shared" si="19"/>
        <v>0</v>
      </c>
      <c r="Q50" s="575">
        <v>0</v>
      </c>
      <c r="R50" s="575">
        <f t="shared" si="16"/>
        <v>0</v>
      </c>
      <c r="S50" s="575">
        <v>0</v>
      </c>
      <c r="T50" s="706">
        <f t="shared" si="7"/>
        <v>101.60253309178744</v>
      </c>
      <c r="U50" s="706" t="str">
        <f t="shared" si="8"/>
        <v/>
      </c>
      <c r="V50" s="706">
        <f t="shared" si="9"/>
        <v>101.60253309178744</v>
      </c>
      <c r="W50" s="706" t="str">
        <f t="shared" si="10"/>
        <v/>
      </c>
      <c r="X50" s="706" t="str">
        <f t="shared" si="11"/>
        <v/>
      </c>
      <c r="Y50" s="706" t="str">
        <f t="shared" si="12"/>
        <v/>
      </c>
      <c r="Z50" s="706" t="str">
        <f t="shared" si="13"/>
        <v/>
      </c>
      <c r="AA50" s="706" t="str">
        <f t="shared" si="14"/>
        <v/>
      </c>
      <c r="AB50" s="710"/>
    </row>
    <row r="51" spans="1:28" s="9" customFormat="1" ht="18.75">
      <c r="A51" s="584">
        <v>36</v>
      </c>
      <c r="B51" s="633" t="s">
        <v>632</v>
      </c>
      <c r="C51" s="575">
        <f t="shared" si="15"/>
        <v>803</v>
      </c>
      <c r="D51" s="575">
        <v>0</v>
      </c>
      <c r="E51" s="575">
        <v>803</v>
      </c>
      <c r="F51" s="575">
        <v>0</v>
      </c>
      <c r="G51" s="575">
        <v>0</v>
      </c>
      <c r="H51" s="575">
        <f t="shared" si="17"/>
        <v>0</v>
      </c>
      <c r="I51" s="575">
        <v>0</v>
      </c>
      <c r="J51" s="705">
        <v>0</v>
      </c>
      <c r="K51" s="575">
        <f t="shared" si="18"/>
        <v>751.03541499999994</v>
      </c>
      <c r="L51" s="575">
        <v>0</v>
      </c>
      <c r="M51" s="575">
        <v>751.03541499999994</v>
      </c>
      <c r="N51" s="575">
        <v>0</v>
      </c>
      <c r="O51" s="575">
        <v>0</v>
      </c>
      <c r="P51" s="575">
        <f t="shared" si="19"/>
        <v>0</v>
      </c>
      <c r="Q51" s="575">
        <v>0</v>
      </c>
      <c r="R51" s="575">
        <f t="shared" si="16"/>
        <v>0</v>
      </c>
      <c r="S51" s="575">
        <v>0</v>
      </c>
      <c r="T51" s="706">
        <f t="shared" si="7"/>
        <v>93.528694271481939</v>
      </c>
      <c r="U51" s="706" t="str">
        <f t="shared" si="8"/>
        <v/>
      </c>
      <c r="V51" s="706">
        <f t="shared" si="9"/>
        <v>93.528694271481939</v>
      </c>
      <c r="W51" s="706" t="str">
        <f t="shared" si="10"/>
        <v/>
      </c>
      <c r="X51" s="706" t="str">
        <f t="shared" si="11"/>
        <v/>
      </c>
      <c r="Y51" s="706" t="str">
        <f t="shared" si="12"/>
        <v/>
      </c>
      <c r="Z51" s="706" t="str">
        <f t="shared" si="13"/>
        <v/>
      </c>
      <c r="AA51" s="706" t="str">
        <f t="shared" si="14"/>
        <v/>
      </c>
      <c r="AB51" s="710"/>
    </row>
    <row r="52" spans="1:28" s="9" customFormat="1" ht="18.75">
      <c r="A52" s="584">
        <v>37</v>
      </c>
      <c r="B52" s="633" t="s">
        <v>634</v>
      </c>
      <c r="C52" s="575">
        <f t="shared" si="15"/>
        <v>810</v>
      </c>
      <c r="D52" s="575">
        <v>0</v>
      </c>
      <c r="E52" s="575">
        <v>810</v>
      </c>
      <c r="F52" s="575">
        <v>0</v>
      </c>
      <c r="G52" s="575">
        <v>0</v>
      </c>
      <c r="H52" s="575">
        <f t="shared" si="17"/>
        <v>0</v>
      </c>
      <c r="I52" s="575">
        <v>0</v>
      </c>
      <c r="J52" s="705">
        <v>0</v>
      </c>
      <c r="K52" s="575">
        <f t="shared" si="18"/>
        <v>854.36593500000004</v>
      </c>
      <c r="L52" s="575">
        <v>0</v>
      </c>
      <c r="M52" s="575">
        <v>854.36593500000004</v>
      </c>
      <c r="N52" s="575">
        <v>0</v>
      </c>
      <c r="O52" s="575">
        <v>0</v>
      </c>
      <c r="P52" s="575">
        <f t="shared" si="19"/>
        <v>0</v>
      </c>
      <c r="Q52" s="575">
        <v>0</v>
      </c>
      <c r="R52" s="575">
        <f t="shared" si="16"/>
        <v>0</v>
      </c>
      <c r="S52" s="575">
        <v>0</v>
      </c>
      <c r="T52" s="706">
        <f t="shared" si="7"/>
        <v>105.47727592592594</v>
      </c>
      <c r="U52" s="706" t="str">
        <f t="shared" si="8"/>
        <v/>
      </c>
      <c r="V52" s="706">
        <f t="shared" si="9"/>
        <v>105.47727592592594</v>
      </c>
      <c r="W52" s="706" t="str">
        <f t="shared" si="10"/>
        <v/>
      </c>
      <c r="X52" s="706" t="str">
        <f t="shared" si="11"/>
        <v/>
      </c>
      <c r="Y52" s="706" t="str">
        <f t="shared" si="12"/>
        <v/>
      </c>
      <c r="Z52" s="706" t="str">
        <f t="shared" si="13"/>
        <v/>
      </c>
      <c r="AA52" s="706" t="str">
        <f t="shared" si="14"/>
        <v/>
      </c>
      <c r="AB52" s="710"/>
    </row>
    <row r="53" spans="1:28" s="9" customFormat="1" ht="18.75">
      <c r="A53" s="584">
        <v>38</v>
      </c>
      <c r="B53" s="633" t="s">
        <v>633</v>
      </c>
      <c r="C53" s="575">
        <f t="shared" si="15"/>
        <v>252</v>
      </c>
      <c r="D53" s="575">
        <v>0</v>
      </c>
      <c r="E53" s="575">
        <v>252</v>
      </c>
      <c r="F53" s="575">
        <v>0</v>
      </c>
      <c r="G53" s="575">
        <v>0</v>
      </c>
      <c r="H53" s="575">
        <f t="shared" si="17"/>
        <v>0</v>
      </c>
      <c r="I53" s="575">
        <v>0</v>
      </c>
      <c r="J53" s="705">
        <v>0</v>
      </c>
      <c r="K53" s="575">
        <f t="shared" si="18"/>
        <v>257.83199999999999</v>
      </c>
      <c r="L53" s="575">
        <v>0</v>
      </c>
      <c r="M53" s="575">
        <v>257.83199999999999</v>
      </c>
      <c r="N53" s="575">
        <v>0</v>
      </c>
      <c r="O53" s="575">
        <v>0</v>
      </c>
      <c r="P53" s="575">
        <f t="shared" si="19"/>
        <v>0</v>
      </c>
      <c r="Q53" s="575">
        <v>0</v>
      </c>
      <c r="R53" s="575">
        <f t="shared" si="16"/>
        <v>0</v>
      </c>
      <c r="S53" s="575">
        <v>0</v>
      </c>
      <c r="T53" s="706">
        <f t="shared" si="7"/>
        <v>102.31428571428572</v>
      </c>
      <c r="U53" s="706" t="str">
        <f t="shared" si="8"/>
        <v/>
      </c>
      <c r="V53" s="706">
        <f t="shared" si="9"/>
        <v>102.31428571428572</v>
      </c>
      <c r="W53" s="706" t="str">
        <f t="shared" si="10"/>
        <v/>
      </c>
      <c r="X53" s="706" t="str">
        <f t="shared" si="11"/>
        <v/>
      </c>
      <c r="Y53" s="706" t="str">
        <f t="shared" si="12"/>
        <v/>
      </c>
      <c r="Z53" s="706" t="str">
        <f t="shared" si="13"/>
        <v/>
      </c>
      <c r="AA53" s="745" t="str">
        <f t="shared" si="14"/>
        <v/>
      </c>
      <c r="AB53" s="710"/>
    </row>
    <row r="54" spans="1:28" s="9" customFormat="1" ht="18.75">
      <c r="A54" s="584">
        <v>39</v>
      </c>
      <c r="B54" s="633" t="s">
        <v>635</v>
      </c>
      <c r="C54" s="575">
        <f t="shared" si="15"/>
        <v>465</v>
      </c>
      <c r="D54" s="575">
        <v>0</v>
      </c>
      <c r="E54" s="575">
        <v>465</v>
      </c>
      <c r="F54" s="575">
        <v>0</v>
      </c>
      <c r="G54" s="575">
        <v>0</v>
      </c>
      <c r="H54" s="575">
        <f t="shared" si="17"/>
        <v>0</v>
      </c>
      <c r="I54" s="575">
        <v>0</v>
      </c>
      <c r="J54" s="705">
        <v>0</v>
      </c>
      <c r="K54" s="575">
        <f t="shared" si="18"/>
        <v>429.09899999999999</v>
      </c>
      <c r="L54" s="575">
        <v>0</v>
      </c>
      <c r="M54" s="575">
        <v>429.09899999999999</v>
      </c>
      <c r="N54" s="575">
        <v>0</v>
      </c>
      <c r="O54" s="575">
        <v>0</v>
      </c>
      <c r="P54" s="575">
        <f t="shared" si="19"/>
        <v>0</v>
      </c>
      <c r="Q54" s="575">
        <v>0</v>
      </c>
      <c r="R54" s="575">
        <f t="shared" si="16"/>
        <v>0</v>
      </c>
      <c r="S54" s="575">
        <v>0</v>
      </c>
      <c r="T54" s="706">
        <f t="shared" si="7"/>
        <v>92.279354838709665</v>
      </c>
      <c r="U54" s="706" t="str">
        <f t="shared" si="8"/>
        <v/>
      </c>
      <c r="V54" s="706">
        <f t="shared" si="9"/>
        <v>92.279354838709665</v>
      </c>
      <c r="W54" s="706" t="str">
        <f t="shared" si="10"/>
        <v/>
      </c>
      <c r="X54" s="706" t="str">
        <f t="shared" si="11"/>
        <v/>
      </c>
      <c r="Y54" s="706" t="str">
        <f t="shared" si="12"/>
        <v/>
      </c>
      <c r="Z54" s="706" t="str">
        <f t="shared" si="13"/>
        <v/>
      </c>
      <c r="AA54" s="746" t="str">
        <f t="shared" si="14"/>
        <v/>
      </c>
      <c r="AB54" s="710"/>
    </row>
    <row r="55" spans="1:28" s="9" customFormat="1" ht="18.75">
      <c r="A55" s="584">
        <v>40</v>
      </c>
      <c r="B55" s="633" t="s">
        <v>636</v>
      </c>
      <c r="C55" s="575">
        <f t="shared" si="15"/>
        <v>2045</v>
      </c>
      <c r="D55" s="575">
        <v>0</v>
      </c>
      <c r="E55" s="575">
        <v>2045</v>
      </c>
      <c r="F55" s="575">
        <v>0</v>
      </c>
      <c r="G55" s="575">
        <v>0</v>
      </c>
      <c r="H55" s="575">
        <f>I55+J55</f>
        <v>0</v>
      </c>
      <c r="I55" s="575">
        <v>0</v>
      </c>
      <c r="J55" s="705">
        <v>0</v>
      </c>
      <c r="K55" s="575">
        <f>SUM(L55:P55)+S55</f>
        <v>4279.9203879999995</v>
      </c>
      <c r="L55" s="575">
        <v>0</v>
      </c>
      <c r="M55" s="575">
        <v>4279.9203879999995</v>
      </c>
      <c r="N55" s="575">
        <v>0</v>
      </c>
      <c r="O55" s="575">
        <v>0</v>
      </c>
      <c r="P55" s="575">
        <f t="shared" si="19"/>
        <v>0</v>
      </c>
      <c r="Q55" s="575">
        <v>0</v>
      </c>
      <c r="R55" s="575">
        <f t="shared" si="16"/>
        <v>0</v>
      </c>
      <c r="S55" s="575">
        <v>0</v>
      </c>
      <c r="T55" s="706">
        <f t="shared" si="7"/>
        <v>209.2870605378973</v>
      </c>
      <c r="U55" s="706" t="str">
        <f t="shared" si="8"/>
        <v/>
      </c>
      <c r="V55" s="706">
        <f t="shared" si="9"/>
        <v>209.2870605378973</v>
      </c>
      <c r="W55" s="706" t="str">
        <f t="shared" si="10"/>
        <v/>
      </c>
      <c r="X55" s="706" t="str">
        <f t="shared" si="11"/>
        <v/>
      </c>
      <c r="Y55" s="706" t="str">
        <f t="shared" si="12"/>
        <v/>
      </c>
      <c r="Z55" s="706" t="str">
        <f t="shared" si="13"/>
        <v/>
      </c>
      <c r="AA55" s="706" t="str">
        <f t="shared" si="14"/>
        <v/>
      </c>
      <c r="AB55" s="710"/>
    </row>
    <row r="56" spans="1:28" s="9" customFormat="1" ht="18.75">
      <c r="A56" s="584">
        <v>41</v>
      </c>
      <c r="B56" s="633" t="s">
        <v>637</v>
      </c>
      <c r="C56" s="575">
        <f t="shared" si="15"/>
        <v>1652</v>
      </c>
      <c r="D56" s="575">
        <v>0</v>
      </c>
      <c r="E56" s="575">
        <v>1652</v>
      </c>
      <c r="F56" s="575">
        <v>0</v>
      </c>
      <c r="G56" s="575">
        <v>0</v>
      </c>
      <c r="H56" s="575">
        <f t="shared" si="17"/>
        <v>0</v>
      </c>
      <c r="I56" s="575">
        <v>0</v>
      </c>
      <c r="J56" s="705">
        <v>0</v>
      </c>
      <c r="K56" s="575">
        <f t="shared" si="18"/>
        <v>2571.8099569999999</v>
      </c>
      <c r="L56" s="575">
        <v>0</v>
      </c>
      <c r="M56" s="575">
        <v>2571.8099569999999</v>
      </c>
      <c r="N56" s="575">
        <v>0</v>
      </c>
      <c r="O56" s="575">
        <v>0</v>
      </c>
      <c r="P56" s="575">
        <f t="shared" si="19"/>
        <v>0</v>
      </c>
      <c r="Q56" s="575">
        <v>0</v>
      </c>
      <c r="R56" s="575">
        <f t="shared" si="16"/>
        <v>0</v>
      </c>
      <c r="S56" s="575">
        <v>0</v>
      </c>
      <c r="T56" s="706">
        <f t="shared" si="7"/>
        <v>155.67856882566585</v>
      </c>
      <c r="U56" s="706" t="str">
        <f t="shared" si="8"/>
        <v/>
      </c>
      <c r="V56" s="706">
        <f t="shared" si="9"/>
        <v>155.67856882566585</v>
      </c>
      <c r="W56" s="706" t="str">
        <f t="shared" si="10"/>
        <v/>
      </c>
      <c r="X56" s="706" t="str">
        <f t="shared" si="11"/>
        <v/>
      </c>
      <c r="Y56" s="706" t="str">
        <f t="shared" si="12"/>
        <v/>
      </c>
      <c r="Z56" s="706" t="str">
        <f t="shared" si="13"/>
        <v/>
      </c>
      <c r="AA56" s="706" t="str">
        <f t="shared" si="14"/>
        <v/>
      </c>
      <c r="AB56" s="710"/>
    </row>
    <row r="57" spans="1:28" s="9" customFormat="1" ht="18.75">
      <c r="A57" s="584">
        <v>42</v>
      </c>
      <c r="B57" s="633" t="s">
        <v>638</v>
      </c>
      <c r="C57" s="575">
        <f t="shared" si="15"/>
        <v>342</v>
      </c>
      <c r="D57" s="575">
        <v>0</v>
      </c>
      <c r="E57" s="575">
        <v>342</v>
      </c>
      <c r="F57" s="575">
        <v>0</v>
      </c>
      <c r="G57" s="575">
        <v>0</v>
      </c>
      <c r="H57" s="575">
        <f t="shared" si="17"/>
        <v>0</v>
      </c>
      <c r="I57" s="575">
        <v>0</v>
      </c>
      <c r="J57" s="705">
        <v>0</v>
      </c>
      <c r="K57" s="575">
        <f t="shared" si="18"/>
        <v>347.83199999999999</v>
      </c>
      <c r="L57" s="575">
        <v>0</v>
      </c>
      <c r="M57" s="575">
        <v>347.83199999999999</v>
      </c>
      <c r="N57" s="575">
        <v>0</v>
      </c>
      <c r="O57" s="575">
        <v>0</v>
      </c>
      <c r="P57" s="575">
        <f t="shared" si="19"/>
        <v>0</v>
      </c>
      <c r="Q57" s="575">
        <v>0</v>
      </c>
      <c r="R57" s="575">
        <f t="shared" si="16"/>
        <v>0</v>
      </c>
      <c r="S57" s="575">
        <v>0</v>
      </c>
      <c r="T57" s="706">
        <f t="shared" si="7"/>
        <v>101.70526315789473</v>
      </c>
      <c r="U57" s="706" t="str">
        <f t="shared" si="8"/>
        <v/>
      </c>
      <c r="V57" s="706">
        <f t="shared" si="9"/>
        <v>101.70526315789473</v>
      </c>
      <c r="W57" s="706" t="str">
        <f t="shared" si="10"/>
        <v/>
      </c>
      <c r="X57" s="706" t="str">
        <f t="shared" si="11"/>
        <v/>
      </c>
      <c r="Y57" s="706" t="str">
        <f t="shared" si="12"/>
        <v/>
      </c>
      <c r="Z57" s="706" t="str">
        <f t="shared" si="13"/>
        <v/>
      </c>
      <c r="AA57" s="706" t="str">
        <f t="shared" si="14"/>
        <v/>
      </c>
      <c r="AB57" s="710"/>
    </row>
    <row r="58" spans="1:28" s="9" customFormat="1" ht="18.75">
      <c r="A58" s="584">
        <v>43</v>
      </c>
      <c r="B58" s="633" t="s">
        <v>639</v>
      </c>
      <c r="C58" s="575">
        <f t="shared" si="15"/>
        <v>174</v>
      </c>
      <c r="D58" s="575">
        <v>0</v>
      </c>
      <c r="E58" s="575">
        <v>174</v>
      </c>
      <c r="F58" s="575">
        <v>0</v>
      </c>
      <c r="G58" s="575">
        <v>0</v>
      </c>
      <c r="H58" s="575">
        <f t="shared" si="17"/>
        <v>0</v>
      </c>
      <c r="I58" s="575">
        <v>0</v>
      </c>
      <c r="J58" s="705">
        <v>0</v>
      </c>
      <c r="K58" s="575">
        <f t="shared" si="18"/>
        <v>178.58459999999999</v>
      </c>
      <c r="L58" s="575">
        <v>0</v>
      </c>
      <c r="M58" s="575">
        <v>178.58459999999999</v>
      </c>
      <c r="N58" s="575">
        <v>0</v>
      </c>
      <c r="O58" s="575">
        <v>0</v>
      </c>
      <c r="P58" s="575">
        <f t="shared" si="19"/>
        <v>0</v>
      </c>
      <c r="Q58" s="575">
        <v>0</v>
      </c>
      <c r="R58" s="575">
        <f t="shared" si="16"/>
        <v>0</v>
      </c>
      <c r="S58" s="575">
        <v>0</v>
      </c>
      <c r="T58" s="706">
        <f t="shared" si="7"/>
        <v>102.6348275862069</v>
      </c>
      <c r="U58" s="706" t="str">
        <f t="shared" si="8"/>
        <v/>
      </c>
      <c r="V58" s="706">
        <f t="shared" si="9"/>
        <v>102.6348275862069</v>
      </c>
      <c r="W58" s="706" t="str">
        <f t="shared" si="10"/>
        <v/>
      </c>
      <c r="X58" s="706" t="str">
        <f t="shared" si="11"/>
        <v/>
      </c>
      <c r="Y58" s="706" t="str">
        <f t="shared" si="12"/>
        <v/>
      </c>
      <c r="Z58" s="706" t="str">
        <f t="shared" si="13"/>
        <v/>
      </c>
      <c r="AA58" s="706" t="str">
        <f t="shared" si="14"/>
        <v/>
      </c>
      <c r="AB58" s="710"/>
    </row>
    <row r="59" spans="1:28" s="9" customFormat="1" ht="18.75">
      <c r="A59" s="584">
        <v>44</v>
      </c>
      <c r="B59" s="633" t="s">
        <v>640</v>
      </c>
      <c r="C59" s="575">
        <f t="shared" si="15"/>
        <v>243</v>
      </c>
      <c r="D59" s="575">
        <v>0</v>
      </c>
      <c r="E59" s="575">
        <v>243</v>
      </c>
      <c r="F59" s="575">
        <v>0</v>
      </c>
      <c r="G59" s="575">
        <v>0</v>
      </c>
      <c r="H59" s="575">
        <f t="shared" si="17"/>
        <v>0</v>
      </c>
      <c r="I59" s="575">
        <v>0</v>
      </c>
      <c r="J59" s="705">
        <v>0</v>
      </c>
      <c r="K59" s="575">
        <f t="shared" si="18"/>
        <v>251.27404000000001</v>
      </c>
      <c r="L59" s="575">
        <v>0</v>
      </c>
      <c r="M59" s="575">
        <v>251.27404000000001</v>
      </c>
      <c r="N59" s="575">
        <v>0</v>
      </c>
      <c r="O59" s="575">
        <v>0</v>
      </c>
      <c r="P59" s="575">
        <f t="shared" si="19"/>
        <v>0</v>
      </c>
      <c r="Q59" s="575">
        <v>0</v>
      </c>
      <c r="R59" s="575">
        <f t="shared" si="16"/>
        <v>0</v>
      </c>
      <c r="S59" s="575">
        <v>0</v>
      </c>
      <c r="T59" s="706">
        <f t="shared" si="7"/>
        <v>103.40495473251029</v>
      </c>
      <c r="U59" s="706" t="str">
        <f t="shared" si="8"/>
        <v/>
      </c>
      <c r="V59" s="706">
        <f t="shared" si="9"/>
        <v>103.40495473251029</v>
      </c>
      <c r="W59" s="706" t="str">
        <f t="shared" si="10"/>
        <v/>
      </c>
      <c r="X59" s="706" t="str">
        <f t="shared" si="11"/>
        <v/>
      </c>
      <c r="Y59" s="706" t="str">
        <f t="shared" si="12"/>
        <v/>
      </c>
      <c r="Z59" s="706" t="str">
        <f t="shared" si="13"/>
        <v/>
      </c>
      <c r="AA59" s="706" t="str">
        <f t="shared" si="14"/>
        <v/>
      </c>
      <c r="AB59" s="710"/>
    </row>
    <row r="60" spans="1:28" s="9" customFormat="1" ht="18.75">
      <c r="A60" s="584">
        <v>45</v>
      </c>
      <c r="B60" s="633" t="s">
        <v>641</v>
      </c>
      <c r="C60" s="575">
        <f t="shared" si="15"/>
        <v>176</v>
      </c>
      <c r="D60" s="575">
        <v>0</v>
      </c>
      <c r="E60" s="575">
        <v>176</v>
      </c>
      <c r="F60" s="575">
        <v>0</v>
      </c>
      <c r="G60" s="575">
        <v>0</v>
      </c>
      <c r="H60" s="575">
        <f t="shared" si="17"/>
        <v>0</v>
      </c>
      <c r="I60" s="575">
        <v>0</v>
      </c>
      <c r="J60" s="705">
        <v>0</v>
      </c>
      <c r="K60" s="575">
        <f t="shared" si="18"/>
        <v>159.61391</v>
      </c>
      <c r="L60" s="575">
        <v>0</v>
      </c>
      <c r="M60" s="575">
        <v>159.61391</v>
      </c>
      <c r="N60" s="575">
        <v>0</v>
      </c>
      <c r="O60" s="575">
        <v>0</v>
      </c>
      <c r="P60" s="575">
        <f t="shared" si="19"/>
        <v>0</v>
      </c>
      <c r="Q60" s="575">
        <v>0</v>
      </c>
      <c r="R60" s="575">
        <f t="shared" si="16"/>
        <v>0</v>
      </c>
      <c r="S60" s="575">
        <v>0</v>
      </c>
      <c r="T60" s="706">
        <f t="shared" si="7"/>
        <v>90.689721590909087</v>
      </c>
      <c r="U60" s="706" t="str">
        <f t="shared" si="8"/>
        <v/>
      </c>
      <c r="V60" s="706">
        <f t="shared" si="9"/>
        <v>90.689721590909087</v>
      </c>
      <c r="W60" s="706" t="str">
        <f t="shared" si="10"/>
        <v/>
      </c>
      <c r="X60" s="706" t="str">
        <f t="shared" si="11"/>
        <v/>
      </c>
      <c r="Y60" s="706" t="str">
        <f t="shared" si="12"/>
        <v/>
      </c>
      <c r="Z60" s="706" t="str">
        <f t="shared" si="13"/>
        <v/>
      </c>
      <c r="AA60" s="706" t="str">
        <f t="shared" si="14"/>
        <v/>
      </c>
      <c r="AB60" s="710"/>
    </row>
    <row r="61" spans="1:28" s="9" customFormat="1" ht="37.5">
      <c r="A61" s="584">
        <v>46</v>
      </c>
      <c r="B61" s="633" t="s">
        <v>644</v>
      </c>
      <c r="C61" s="575">
        <f>SUM(D61:H61)</f>
        <v>0</v>
      </c>
      <c r="D61" s="575">
        <v>0</v>
      </c>
      <c r="E61" s="575">
        <v>0</v>
      </c>
      <c r="F61" s="575">
        <v>0</v>
      </c>
      <c r="G61" s="575">
        <v>0</v>
      </c>
      <c r="H61" s="575">
        <f>I61+J61</f>
        <v>0</v>
      </c>
      <c r="I61" s="575">
        <v>0</v>
      </c>
      <c r="J61" s="705">
        <v>0</v>
      </c>
      <c r="K61" s="575">
        <f>SUM(L61:P61)+S61</f>
        <v>62.1</v>
      </c>
      <c r="L61" s="575">
        <v>0</v>
      </c>
      <c r="M61" s="575">
        <v>62.1</v>
      </c>
      <c r="N61" s="575">
        <v>0</v>
      </c>
      <c r="O61" s="575">
        <v>0</v>
      </c>
      <c r="P61" s="575">
        <f>Q61+R61</f>
        <v>0</v>
      </c>
      <c r="Q61" s="575">
        <v>0</v>
      </c>
      <c r="R61" s="575">
        <f t="shared" si="16"/>
        <v>0</v>
      </c>
      <c r="S61" s="575">
        <v>0</v>
      </c>
      <c r="T61" s="706" t="str">
        <f t="shared" ref="T61:AA61" si="20">IF(AND(C61&lt;&gt;0,K61&lt;&gt;0),K61/C61%,"")</f>
        <v/>
      </c>
      <c r="U61" s="706" t="str">
        <f t="shared" si="20"/>
        <v/>
      </c>
      <c r="V61" s="706" t="str">
        <f t="shared" si="20"/>
        <v/>
      </c>
      <c r="W61" s="706" t="str">
        <f t="shared" si="20"/>
        <v/>
      </c>
      <c r="X61" s="706" t="str">
        <f t="shared" si="20"/>
        <v/>
      </c>
      <c r="Y61" s="706" t="str">
        <f t="shared" si="20"/>
        <v/>
      </c>
      <c r="Z61" s="706" t="str">
        <f t="shared" si="20"/>
        <v/>
      </c>
      <c r="AA61" s="706" t="str">
        <f t="shared" si="20"/>
        <v/>
      </c>
      <c r="AB61" s="710"/>
    </row>
    <row r="62" spans="1:28" s="616" customFormat="1" ht="37.5">
      <c r="A62" s="584">
        <v>47</v>
      </c>
      <c r="B62" s="633" t="s">
        <v>642</v>
      </c>
      <c r="C62" s="575">
        <f t="shared" si="15"/>
        <v>0</v>
      </c>
      <c r="D62" s="575">
        <v>0</v>
      </c>
      <c r="E62" s="575">
        <v>0</v>
      </c>
      <c r="F62" s="575">
        <v>0</v>
      </c>
      <c r="G62" s="575">
        <v>0</v>
      </c>
      <c r="H62" s="575">
        <f t="shared" si="17"/>
        <v>0</v>
      </c>
      <c r="I62" s="575">
        <v>0</v>
      </c>
      <c r="J62" s="705">
        <v>0</v>
      </c>
      <c r="K62" s="575">
        <f t="shared" si="18"/>
        <v>14228.19623</v>
      </c>
      <c r="L62" s="575">
        <v>0</v>
      </c>
      <c r="M62" s="575">
        <v>14228.19623</v>
      </c>
      <c r="N62" s="575">
        <v>0</v>
      </c>
      <c r="O62" s="575">
        <v>0</v>
      </c>
      <c r="P62" s="575">
        <f t="shared" si="19"/>
        <v>0</v>
      </c>
      <c r="Q62" s="575">
        <v>0</v>
      </c>
      <c r="R62" s="575">
        <f t="shared" si="16"/>
        <v>0</v>
      </c>
      <c r="S62" s="575">
        <v>0</v>
      </c>
      <c r="T62" s="706" t="str">
        <f t="shared" si="7"/>
        <v/>
      </c>
      <c r="U62" s="706" t="str">
        <f t="shared" si="8"/>
        <v/>
      </c>
      <c r="V62" s="706" t="str">
        <f t="shared" si="9"/>
        <v/>
      </c>
      <c r="W62" s="706" t="str">
        <f t="shared" si="10"/>
        <v/>
      </c>
      <c r="X62" s="706" t="str">
        <f t="shared" si="11"/>
        <v/>
      </c>
      <c r="Y62" s="706" t="str">
        <f t="shared" si="12"/>
        <v/>
      </c>
      <c r="Z62" s="706" t="str">
        <f t="shared" si="13"/>
        <v/>
      </c>
      <c r="AA62" s="706" t="str">
        <f t="shared" si="14"/>
        <v/>
      </c>
      <c r="AB62" s="714"/>
    </row>
    <row r="63" spans="1:28" s="616" customFormat="1" ht="37.5">
      <c r="A63" s="584">
        <v>48</v>
      </c>
      <c r="B63" s="633" t="s">
        <v>643</v>
      </c>
      <c r="C63" s="575">
        <f t="shared" si="15"/>
        <v>48966</v>
      </c>
      <c r="D63" s="575">
        <v>48966</v>
      </c>
      <c r="E63" s="575">
        <v>0</v>
      </c>
      <c r="F63" s="575">
        <v>0</v>
      </c>
      <c r="G63" s="575">
        <v>0</v>
      </c>
      <c r="H63" s="575">
        <f>I63+J63</f>
        <v>0</v>
      </c>
      <c r="I63" s="575">
        <v>0</v>
      </c>
      <c r="J63" s="705">
        <v>0</v>
      </c>
      <c r="K63" s="575">
        <f t="shared" si="18"/>
        <v>126465.634632</v>
      </c>
      <c r="L63" s="575">
        <f>31133.689407+82555.531308</f>
        <v>113689.220715</v>
      </c>
      <c r="M63" s="575">
        <f>12776.413917</f>
        <v>12776.413917</v>
      </c>
      <c r="N63" s="575">
        <v>0</v>
      </c>
      <c r="O63" s="575">
        <v>0</v>
      </c>
      <c r="P63" s="575">
        <f t="shared" si="19"/>
        <v>0</v>
      </c>
      <c r="Q63" s="575">
        <v>0</v>
      </c>
      <c r="R63" s="575">
        <f t="shared" si="16"/>
        <v>0</v>
      </c>
      <c r="S63" s="575">
        <v>0</v>
      </c>
      <c r="T63" s="706">
        <f t="shared" si="7"/>
        <v>258.27234128170568</v>
      </c>
      <c r="U63" s="706">
        <f t="shared" si="8"/>
        <v>232.17992222154146</v>
      </c>
      <c r="V63" s="706" t="str">
        <f t="shared" si="9"/>
        <v/>
      </c>
      <c r="W63" s="706" t="str">
        <f t="shared" si="10"/>
        <v/>
      </c>
      <c r="X63" s="706" t="str">
        <f t="shared" si="11"/>
        <v/>
      </c>
      <c r="Y63" s="706" t="str">
        <f t="shared" si="12"/>
        <v/>
      </c>
      <c r="Z63" s="706" t="str">
        <f t="shared" si="13"/>
        <v/>
      </c>
      <c r="AA63" s="706" t="str">
        <f t="shared" si="14"/>
        <v/>
      </c>
      <c r="AB63" s="714"/>
    </row>
    <row r="64" spans="1:28" s="9" customFormat="1" ht="37.5">
      <c r="A64" s="584">
        <v>49</v>
      </c>
      <c r="B64" s="633" t="s">
        <v>645</v>
      </c>
      <c r="C64" s="575">
        <f t="shared" si="15"/>
        <v>369267.30699999997</v>
      </c>
      <c r="D64" s="575">
        <v>369267.30699999997</v>
      </c>
      <c r="E64" s="575">
        <v>0</v>
      </c>
      <c r="F64" s="575">
        <v>0</v>
      </c>
      <c r="G64" s="575">
        <v>0</v>
      </c>
      <c r="H64" s="575">
        <f t="shared" si="17"/>
        <v>0</v>
      </c>
      <c r="I64" s="575">
        <v>0</v>
      </c>
      <c r="J64" s="705">
        <v>0</v>
      </c>
      <c r="K64" s="575">
        <f t="shared" si="18"/>
        <v>445915.28855199995</v>
      </c>
      <c r="L64" s="575">
        <v>409186.19338299998</v>
      </c>
      <c r="M64" s="575">
        <v>36729.095169</v>
      </c>
      <c r="N64" s="575">
        <v>0</v>
      </c>
      <c r="O64" s="575">
        <v>0</v>
      </c>
      <c r="P64" s="575">
        <f t="shared" si="19"/>
        <v>0</v>
      </c>
      <c r="Q64" s="575">
        <v>0</v>
      </c>
      <c r="R64" s="575">
        <f t="shared" si="16"/>
        <v>0</v>
      </c>
      <c r="S64" s="575">
        <v>0</v>
      </c>
      <c r="T64" s="706">
        <f t="shared" si="7"/>
        <v>120.75677432012685</v>
      </c>
      <c r="U64" s="706">
        <f t="shared" si="8"/>
        <v>110.81029531352473</v>
      </c>
      <c r="V64" s="706" t="str">
        <f t="shared" si="9"/>
        <v/>
      </c>
      <c r="W64" s="706" t="str">
        <f t="shared" si="10"/>
        <v/>
      </c>
      <c r="X64" s="706" t="str">
        <f t="shared" si="11"/>
        <v/>
      </c>
      <c r="Y64" s="706" t="str">
        <f t="shared" si="12"/>
        <v/>
      </c>
      <c r="Z64" s="706" t="str">
        <f t="shared" si="13"/>
        <v/>
      </c>
      <c r="AA64" s="706" t="str">
        <f t="shared" si="14"/>
        <v/>
      </c>
      <c r="AB64" s="710"/>
    </row>
    <row r="65" spans="1:28" s="9" customFormat="1" ht="18.75">
      <c r="A65" s="584">
        <v>50</v>
      </c>
      <c r="B65" s="633" t="s">
        <v>654</v>
      </c>
      <c r="C65" s="575">
        <f t="shared" si="15"/>
        <v>117567.5</v>
      </c>
      <c r="D65" s="575">
        <v>117567.5</v>
      </c>
      <c r="E65" s="575">
        <v>0</v>
      </c>
      <c r="F65" s="575">
        <v>0</v>
      </c>
      <c r="G65" s="575">
        <v>0</v>
      </c>
      <c r="H65" s="575">
        <f t="shared" si="17"/>
        <v>0</v>
      </c>
      <c r="I65" s="575">
        <v>0</v>
      </c>
      <c r="J65" s="705">
        <v>0</v>
      </c>
      <c r="K65" s="575">
        <f t="shared" si="18"/>
        <v>185280.28591199999</v>
      </c>
      <c r="L65" s="575">
        <f>116780.616412+68499.6695</f>
        <v>185280.28591199999</v>
      </c>
      <c r="M65" s="575">
        <v>0</v>
      </c>
      <c r="N65" s="575">
        <v>0</v>
      </c>
      <c r="O65" s="575">
        <v>0</v>
      </c>
      <c r="P65" s="575"/>
      <c r="Q65" s="575">
        <v>0</v>
      </c>
      <c r="R65" s="575"/>
      <c r="S65" s="575">
        <v>0</v>
      </c>
      <c r="T65" s="706"/>
      <c r="U65" s="706"/>
      <c r="V65" s="706" t="str">
        <f t="shared" si="9"/>
        <v/>
      </c>
      <c r="W65" s="706"/>
      <c r="X65" s="706"/>
      <c r="Y65" s="706"/>
      <c r="Z65" s="706" t="str">
        <f t="shared" si="13"/>
        <v/>
      </c>
      <c r="AA65" s="706"/>
      <c r="AB65" s="710"/>
    </row>
    <row r="66" spans="1:28" s="9" customFormat="1" ht="37.5">
      <c r="A66" s="584">
        <v>51</v>
      </c>
      <c r="B66" s="633" t="s">
        <v>655</v>
      </c>
      <c r="C66" s="575">
        <f t="shared" si="15"/>
        <v>204270.1</v>
      </c>
      <c r="D66" s="575">
        <v>204270.1</v>
      </c>
      <c r="E66" s="575">
        <v>0</v>
      </c>
      <c r="F66" s="575">
        <v>0</v>
      </c>
      <c r="G66" s="575">
        <v>0</v>
      </c>
      <c r="H66" s="575">
        <f t="shared" si="17"/>
        <v>0</v>
      </c>
      <c r="I66" s="575">
        <v>0</v>
      </c>
      <c r="J66" s="705">
        <v>0</v>
      </c>
      <c r="K66" s="575">
        <f t="shared" si="18"/>
        <v>17447.937973</v>
      </c>
      <c r="L66" s="575">
        <v>17447.937973</v>
      </c>
      <c r="M66" s="575">
        <v>0</v>
      </c>
      <c r="N66" s="575">
        <v>0</v>
      </c>
      <c r="O66" s="575">
        <v>0</v>
      </c>
      <c r="P66" s="575"/>
      <c r="Q66" s="575">
        <v>0</v>
      </c>
      <c r="R66" s="575"/>
      <c r="S66" s="575">
        <v>0</v>
      </c>
      <c r="T66" s="706"/>
      <c r="U66" s="706"/>
      <c r="V66" s="706" t="str">
        <f t="shared" si="9"/>
        <v/>
      </c>
      <c r="W66" s="706"/>
      <c r="X66" s="706"/>
      <c r="Y66" s="706"/>
      <c r="Z66" s="706" t="str">
        <f t="shared" si="13"/>
        <v/>
      </c>
      <c r="AA66" s="706"/>
      <c r="AB66" s="710"/>
    </row>
    <row r="67" spans="1:28" s="9" customFormat="1" ht="18.75">
      <c r="A67" s="584">
        <v>52</v>
      </c>
      <c r="B67" s="633" t="s">
        <v>647</v>
      </c>
      <c r="C67" s="575">
        <f t="shared" si="15"/>
        <v>45623</v>
      </c>
      <c r="D67" s="575">
        <v>15754</v>
      </c>
      <c r="E67" s="575">
        <v>29869</v>
      </c>
      <c r="F67" s="575">
        <v>0</v>
      </c>
      <c r="G67" s="575">
        <v>0</v>
      </c>
      <c r="H67" s="575">
        <f t="shared" si="17"/>
        <v>0</v>
      </c>
      <c r="I67" s="575">
        <v>0</v>
      </c>
      <c r="J67" s="575">
        <v>0</v>
      </c>
      <c r="K67" s="575">
        <f t="shared" si="18"/>
        <v>65591.709199999998</v>
      </c>
      <c r="L67" s="575">
        <v>26062.235199999999</v>
      </c>
      <c r="M67" s="575">
        <v>39529.474000000002</v>
      </c>
      <c r="N67" s="575">
        <v>0</v>
      </c>
      <c r="O67" s="575">
        <v>0</v>
      </c>
      <c r="P67" s="575">
        <f t="shared" si="19"/>
        <v>0</v>
      </c>
      <c r="Q67" s="575">
        <v>0</v>
      </c>
      <c r="R67" s="575">
        <f t="shared" si="16"/>
        <v>0</v>
      </c>
      <c r="S67" s="575">
        <v>0</v>
      </c>
      <c r="T67" s="706">
        <f t="shared" si="7"/>
        <v>143.76895250202747</v>
      </c>
      <c r="U67" s="706">
        <f t="shared" si="8"/>
        <v>165.43249460454487</v>
      </c>
      <c r="V67" s="706">
        <f t="shared" si="9"/>
        <v>132.34281027151897</v>
      </c>
      <c r="W67" s="706" t="str">
        <f t="shared" si="10"/>
        <v/>
      </c>
      <c r="X67" s="706" t="str">
        <f t="shared" si="11"/>
        <v/>
      </c>
      <c r="Y67" s="706" t="str">
        <f t="shared" si="12"/>
        <v/>
      </c>
      <c r="Z67" s="706" t="str">
        <f t="shared" si="13"/>
        <v/>
      </c>
      <c r="AA67" s="706" t="str">
        <f t="shared" si="14"/>
        <v/>
      </c>
      <c r="AB67" s="710"/>
    </row>
    <row r="68" spans="1:28" s="9" customFormat="1" ht="18.75">
      <c r="A68" s="584">
        <v>53</v>
      </c>
      <c r="B68" s="633" t="s">
        <v>648</v>
      </c>
      <c r="C68" s="575">
        <f t="shared" si="15"/>
        <v>15800</v>
      </c>
      <c r="D68" s="575">
        <v>12300</v>
      </c>
      <c r="E68" s="575">
        <v>3500</v>
      </c>
      <c r="F68" s="575">
        <v>0</v>
      </c>
      <c r="G68" s="575">
        <v>0</v>
      </c>
      <c r="H68" s="575">
        <f t="shared" si="17"/>
        <v>0</v>
      </c>
      <c r="I68" s="575">
        <v>0</v>
      </c>
      <c r="J68" s="575">
        <v>0</v>
      </c>
      <c r="K68" s="575">
        <f t="shared" si="18"/>
        <v>18961.374448000002</v>
      </c>
      <c r="L68" s="575">
        <v>13333.178448000001</v>
      </c>
      <c r="M68" s="575">
        <v>5628.1959999999999</v>
      </c>
      <c r="N68" s="575">
        <v>0</v>
      </c>
      <c r="O68" s="575">
        <v>0</v>
      </c>
      <c r="P68" s="575">
        <f t="shared" si="19"/>
        <v>0</v>
      </c>
      <c r="Q68" s="575">
        <v>0</v>
      </c>
      <c r="R68" s="575">
        <f t="shared" si="16"/>
        <v>0</v>
      </c>
      <c r="S68" s="575">
        <v>0</v>
      </c>
      <c r="T68" s="706">
        <f t="shared" si="7"/>
        <v>120.00869903797469</v>
      </c>
      <c r="U68" s="706">
        <f t="shared" si="8"/>
        <v>108.3998247804878</v>
      </c>
      <c r="V68" s="706">
        <f t="shared" si="9"/>
        <v>160.8056</v>
      </c>
      <c r="W68" s="706" t="str">
        <f t="shared" si="10"/>
        <v/>
      </c>
      <c r="X68" s="706" t="str">
        <f t="shared" si="11"/>
        <v/>
      </c>
      <c r="Y68" s="706" t="str">
        <f t="shared" si="12"/>
        <v/>
      </c>
      <c r="Z68" s="706" t="str">
        <f t="shared" si="13"/>
        <v/>
      </c>
      <c r="AA68" s="706" t="str">
        <f t="shared" si="14"/>
        <v/>
      </c>
      <c r="AB68" s="710"/>
    </row>
    <row r="69" spans="1:28" s="9" customFormat="1" ht="18.75">
      <c r="A69" s="584">
        <v>54</v>
      </c>
      <c r="B69" s="633" t="s">
        <v>646</v>
      </c>
      <c r="C69" s="575">
        <f t="shared" si="15"/>
        <v>9546</v>
      </c>
      <c r="D69" s="575">
        <v>4039</v>
      </c>
      <c r="E69" s="575">
        <f>5507</f>
        <v>5507</v>
      </c>
      <c r="F69" s="575">
        <v>0</v>
      </c>
      <c r="G69" s="575">
        <v>0</v>
      </c>
      <c r="H69" s="575">
        <f t="shared" si="17"/>
        <v>0</v>
      </c>
      <c r="I69" s="575">
        <v>0</v>
      </c>
      <c r="J69" s="575">
        <v>0</v>
      </c>
      <c r="K69" s="575">
        <f t="shared" si="18"/>
        <v>37614.645467000002</v>
      </c>
      <c r="L69" s="575">
        <v>6471.316793</v>
      </c>
      <c r="M69" s="575">
        <f>31143.328674</f>
        <v>31143.328674</v>
      </c>
      <c r="N69" s="575">
        <v>0</v>
      </c>
      <c r="O69" s="575">
        <v>0</v>
      </c>
      <c r="P69" s="575">
        <f t="shared" si="19"/>
        <v>0</v>
      </c>
      <c r="Q69" s="575">
        <v>0</v>
      </c>
      <c r="R69" s="575">
        <f t="shared" si="16"/>
        <v>0</v>
      </c>
      <c r="S69" s="575">
        <v>0</v>
      </c>
      <c r="T69" s="706">
        <f t="shared" si="7"/>
        <v>394.03567428242201</v>
      </c>
      <c r="U69" s="706">
        <f t="shared" si="8"/>
        <v>160.22076734340183</v>
      </c>
      <c r="V69" s="706">
        <f t="shared" si="9"/>
        <v>565.52258351189391</v>
      </c>
      <c r="W69" s="706" t="str">
        <f t="shared" si="10"/>
        <v/>
      </c>
      <c r="X69" s="706" t="str">
        <f t="shared" si="11"/>
        <v/>
      </c>
      <c r="Y69" s="706" t="str">
        <f t="shared" si="12"/>
        <v/>
      </c>
      <c r="Z69" s="706" t="str">
        <f t="shared" si="13"/>
        <v/>
      </c>
      <c r="AA69" s="706" t="str">
        <f t="shared" si="14"/>
        <v/>
      </c>
      <c r="AB69" s="710"/>
    </row>
    <row r="70" spans="1:28" s="9" customFormat="1" ht="18.75">
      <c r="A70" s="584">
        <v>55</v>
      </c>
      <c r="B70" s="633" t="s">
        <v>651</v>
      </c>
      <c r="C70" s="575">
        <f t="shared" si="15"/>
        <v>0</v>
      </c>
      <c r="D70" s="575">
        <v>0</v>
      </c>
      <c r="E70" s="575">
        <v>0</v>
      </c>
      <c r="F70" s="575">
        <v>0</v>
      </c>
      <c r="G70" s="575">
        <v>0</v>
      </c>
      <c r="H70" s="575">
        <f t="shared" si="17"/>
        <v>0</v>
      </c>
      <c r="I70" s="575">
        <v>0</v>
      </c>
      <c r="J70" s="575">
        <v>0</v>
      </c>
      <c r="K70" s="575">
        <f t="shared" si="18"/>
        <v>553260.21114000003</v>
      </c>
      <c r="L70" s="575">
        <v>0</v>
      </c>
      <c r="M70" s="575">
        <f>517678.789885+35581.421255</f>
        <v>553260.21114000003</v>
      </c>
      <c r="N70" s="575">
        <v>0</v>
      </c>
      <c r="O70" s="575">
        <v>0</v>
      </c>
      <c r="P70" s="575">
        <f t="shared" si="19"/>
        <v>0</v>
      </c>
      <c r="Q70" s="575">
        <v>0</v>
      </c>
      <c r="R70" s="575">
        <f t="shared" si="16"/>
        <v>0</v>
      </c>
      <c r="S70" s="575">
        <v>0</v>
      </c>
      <c r="T70" s="706" t="str">
        <f t="shared" si="7"/>
        <v/>
      </c>
      <c r="U70" s="706" t="str">
        <f t="shared" si="8"/>
        <v/>
      </c>
      <c r="V70" s="706" t="str">
        <f t="shared" si="9"/>
        <v/>
      </c>
      <c r="W70" s="706" t="str">
        <f t="shared" si="10"/>
        <v/>
      </c>
      <c r="X70" s="706" t="str">
        <f t="shared" si="11"/>
        <v/>
      </c>
      <c r="Y70" s="706" t="str">
        <f t="shared" si="12"/>
        <v/>
      </c>
      <c r="Z70" s="706" t="str">
        <f t="shared" si="13"/>
        <v/>
      </c>
      <c r="AA70" s="706" t="str">
        <f t="shared" si="14"/>
        <v/>
      </c>
      <c r="AB70" s="710"/>
    </row>
    <row r="71" spans="1:28" s="9" customFormat="1" ht="18.75">
      <c r="A71" s="584">
        <v>56</v>
      </c>
      <c r="B71" s="633" t="s">
        <v>653</v>
      </c>
      <c r="C71" s="575">
        <f t="shared" si="15"/>
        <v>0</v>
      </c>
      <c r="D71" s="575">
        <v>0</v>
      </c>
      <c r="E71" s="575">
        <v>0</v>
      </c>
      <c r="F71" s="575">
        <v>0</v>
      </c>
      <c r="G71" s="575">
        <v>0</v>
      </c>
      <c r="H71" s="575">
        <f t="shared" si="17"/>
        <v>0</v>
      </c>
      <c r="I71" s="575">
        <v>0</v>
      </c>
      <c r="J71" s="575">
        <v>0</v>
      </c>
      <c r="K71" s="575">
        <f t="shared" si="18"/>
        <v>28300</v>
      </c>
      <c r="L71" s="575">
        <v>0</v>
      </c>
      <c r="M71" s="575">
        <v>28300</v>
      </c>
      <c r="N71" s="575">
        <v>0</v>
      </c>
      <c r="O71" s="575">
        <v>0</v>
      </c>
      <c r="P71" s="575">
        <f t="shared" si="19"/>
        <v>0</v>
      </c>
      <c r="Q71" s="575">
        <v>0</v>
      </c>
      <c r="R71" s="575">
        <f t="shared" si="16"/>
        <v>0</v>
      </c>
      <c r="S71" s="575">
        <v>0</v>
      </c>
      <c r="T71" s="706" t="str">
        <f t="shared" si="7"/>
        <v/>
      </c>
      <c r="U71" s="706" t="str">
        <f t="shared" si="8"/>
        <v/>
      </c>
      <c r="V71" s="706" t="str">
        <f t="shared" si="9"/>
        <v/>
      </c>
      <c r="W71" s="706" t="str">
        <f t="shared" si="10"/>
        <v/>
      </c>
      <c r="X71" s="706" t="str">
        <f t="shared" si="11"/>
        <v/>
      </c>
      <c r="Y71" s="706" t="str">
        <f t="shared" si="12"/>
        <v/>
      </c>
      <c r="Z71" s="706" t="str">
        <f t="shared" si="13"/>
        <v/>
      </c>
      <c r="AA71" s="706" t="str">
        <f t="shared" si="14"/>
        <v/>
      </c>
      <c r="AB71" s="710"/>
    </row>
    <row r="72" spans="1:28" s="9" customFormat="1" ht="18.75">
      <c r="A72" s="584">
        <v>57</v>
      </c>
      <c r="B72" s="633" t="s">
        <v>656</v>
      </c>
      <c r="C72" s="575">
        <f t="shared" si="15"/>
        <v>0</v>
      </c>
      <c r="D72" s="575">
        <v>0</v>
      </c>
      <c r="E72" s="575">
        <v>0</v>
      </c>
      <c r="F72" s="575">
        <v>0</v>
      </c>
      <c r="G72" s="575">
        <v>0</v>
      </c>
      <c r="H72" s="575">
        <f t="shared" si="17"/>
        <v>0</v>
      </c>
      <c r="I72" s="575">
        <v>0</v>
      </c>
      <c r="J72" s="575">
        <v>0</v>
      </c>
      <c r="K72" s="575">
        <f t="shared" si="18"/>
        <v>10000</v>
      </c>
      <c r="L72" s="575">
        <v>10000</v>
      </c>
      <c r="M72" s="575">
        <v>0</v>
      </c>
      <c r="N72" s="575">
        <v>0</v>
      </c>
      <c r="O72" s="575">
        <v>0</v>
      </c>
      <c r="P72" s="575">
        <f t="shared" si="19"/>
        <v>0</v>
      </c>
      <c r="Q72" s="575">
        <v>0</v>
      </c>
      <c r="R72" s="575">
        <f t="shared" si="16"/>
        <v>0</v>
      </c>
      <c r="S72" s="575">
        <v>0</v>
      </c>
      <c r="T72" s="706" t="str">
        <f t="shared" si="7"/>
        <v/>
      </c>
      <c r="U72" s="706" t="str">
        <f t="shared" si="8"/>
        <v/>
      </c>
      <c r="V72" s="706" t="str">
        <f t="shared" si="9"/>
        <v/>
      </c>
      <c r="W72" s="706" t="str">
        <f t="shared" si="10"/>
        <v/>
      </c>
      <c r="X72" s="706" t="str">
        <f t="shared" si="11"/>
        <v/>
      </c>
      <c r="Y72" s="706" t="str">
        <f t="shared" si="12"/>
        <v/>
      </c>
      <c r="Z72" s="706" t="str">
        <f t="shared" si="13"/>
        <v/>
      </c>
      <c r="AA72" s="706" t="str">
        <f t="shared" si="14"/>
        <v/>
      </c>
      <c r="AB72" s="710"/>
    </row>
    <row r="73" spans="1:28" s="9" customFormat="1" ht="37.5">
      <c r="A73" s="584">
        <v>58</v>
      </c>
      <c r="B73" s="633" t="s">
        <v>657</v>
      </c>
      <c r="C73" s="575">
        <f t="shared" si="15"/>
        <v>0</v>
      </c>
      <c r="D73" s="575">
        <v>0</v>
      </c>
      <c r="E73" s="575">
        <v>0</v>
      </c>
      <c r="F73" s="575">
        <v>0</v>
      </c>
      <c r="G73" s="575">
        <v>0</v>
      </c>
      <c r="H73" s="575">
        <f t="shared" si="17"/>
        <v>0</v>
      </c>
      <c r="I73" s="575">
        <v>0</v>
      </c>
      <c r="J73" s="575">
        <v>0</v>
      </c>
      <c r="K73" s="575">
        <f t="shared" si="18"/>
        <v>8100</v>
      </c>
      <c r="L73" s="575">
        <v>0</v>
      </c>
      <c r="M73" s="575">
        <v>8100</v>
      </c>
      <c r="N73" s="575">
        <v>0</v>
      </c>
      <c r="O73" s="575">
        <v>0</v>
      </c>
      <c r="P73" s="575">
        <f t="shared" si="19"/>
        <v>0</v>
      </c>
      <c r="Q73" s="575">
        <v>0</v>
      </c>
      <c r="R73" s="575">
        <f t="shared" si="16"/>
        <v>0</v>
      </c>
      <c r="S73" s="575">
        <v>0</v>
      </c>
      <c r="T73" s="706" t="str">
        <f t="shared" si="7"/>
        <v/>
      </c>
      <c r="U73" s="706" t="str">
        <f t="shared" si="8"/>
        <v/>
      </c>
      <c r="V73" s="706" t="str">
        <f t="shared" si="9"/>
        <v/>
      </c>
      <c r="W73" s="706" t="str">
        <f t="shared" si="10"/>
        <v/>
      </c>
      <c r="X73" s="706" t="str">
        <f t="shared" si="11"/>
        <v/>
      </c>
      <c r="Y73" s="706" t="str">
        <f t="shared" si="12"/>
        <v/>
      </c>
      <c r="Z73" s="706" t="str">
        <f t="shared" si="13"/>
        <v/>
      </c>
      <c r="AA73" s="706" t="str">
        <f t="shared" si="14"/>
        <v/>
      </c>
      <c r="AB73" s="710"/>
    </row>
    <row r="74" spans="1:28" s="9" customFormat="1" ht="37.5">
      <c r="A74" s="584">
        <v>59</v>
      </c>
      <c r="B74" s="633" t="s">
        <v>658</v>
      </c>
      <c r="C74" s="575">
        <f t="shared" si="15"/>
        <v>0</v>
      </c>
      <c r="D74" s="575">
        <v>0</v>
      </c>
      <c r="E74" s="575">
        <v>0</v>
      </c>
      <c r="F74" s="575">
        <v>0</v>
      </c>
      <c r="G74" s="575">
        <v>0</v>
      </c>
      <c r="H74" s="575">
        <f t="shared" si="17"/>
        <v>0</v>
      </c>
      <c r="I74" s="575">
        <v>0</v>
      </c>
      <c r="J74" s="705">
        <v>0</v>
      </c>
      <c r="K74" s="575">
        <f t="shared" si="18"/>
        <v>69677.850000000006</v>
      </c>
      <c r="L74" s="575">
        <v>0</v>
      </c>
      <c r="M74" s="575">
        <f>56293.85+13384</f>
        <v>69677.850000000006</v>
      </c>
      <c r="N74" s="575">
        <v>0</v>
      </c>
      <c r="O74" s="575">
        <v>0</v>
      </c>
      <c r="P74" s="575">
        <v>0</v>
      </c>
      <c r="Q74" s="575">
        <v>0</v>
      </c>
      <c r="R74" s="575"/>
      <c r="S74" s="575">
        <v>0</v>
      </c>
      <c r="T74" s="706" t="str">
        <f t="shared" si="7"/>
        <v/>
      </c>
      <c r="U74" s="706" t="str">
        <f t="shared" si="8"/>
        <v/>
      </c>
      <c r="V74" s="706" t="str">
        <f t="shared" si="9"/>
        <v/>
      </c>
      <c r="W74" s="706"/>
      <c r="X74" s="706"/>
      <c r="Y74" s="706"/>
      <c r="Z74" s="706" t="str">
        <f t="shared" si="13"/>
        <v/>
      </c>
      <c r="AA74" s="706"/>
      <c r="AB74" s="710"/>
    </row>
    <row r="75" spans="1:28" s="9" customFormat="1" ht="18.75">
      <c r="A75" s="584">
        <v>60</v>
      </c>
      <c r="B75" s="737" t="s">
        <v>556</v>
      </c>
      <c r="C75" s="575">
        <f t="shared" si="15"/>
        <v>113698</v>
      </c>
      <c r="D75" s="575">
        <v>110163</v>
      </c>
      <c r="E75" s="575">
        <v>0</v>
      </c>
      <c r="F75" s="575">
        <v>0</v>
      </c>
      <c r="G75" s="575">
        <v>0</v>
      </c>
      <c r="H75" s="575">
        <f t="shared" si="17"/>
        <v>3535</v>
      </c>
      <c r="I75" s="575">
        <f>'PL61'!D27</f>
        <v>3535</v>
      </c>
      <c r="J75" s="575">
        <f>'PL61'!E27</f>
        <v>0</v>
      </c>
      <c r="K75" s="575">
        <f t="shared" si="18"/>
        <v>117584.83061599999</v>
      </c>
      <c r="L75" s="575">
        <f>113281.7214+4303.109216-Q75</f>
        <v>114545.72139999999</v>
      </c>
      <c r="M75" s="575">
        <v>0</v>
      </c>
      <c r="N75" s="575">
        <v>0</v>
      </c>
      <c r="O75" s="575">
        <v>0</v>
      </c>
      <c r="P75" s="575">
        <f t="shared" si="19"/>
        <v>3039.1092159999998</v>
      </c>
      <c r="Q75" s="575">
        <f>'PL61'!U27</f>
        <v>3039.1092159999998</v>
      </c>
      <c r="R75" s="575">
        <f>'PL61'!V27</f>
        <v>0</v>
      </c>
      <c r="S75" s="575">
        <v>0</v>
      </c>
      <c r="T75" s="706">
        <f t="shared" si="7"/>
        <v>103.41855671691674</v>
      </c>
      <c r="U75" s="706">
        <f t="shared" si="8"/>
        <v>103.97839692092624</v>
      </c>
      <c r="V75" s="706" t="str">
        <f t="shared" si="9"/>
        <v/>
      </c>
      <c r="W75" s="706" t="str">
        <f t="shared" si="10"/>
        <v/>
      </c>
      <c r="X75" s="706" t="str">
        <f t="shared" si="11"/>
        <v/>
      </c>
      <c r="Y75" s="706">
        <f t="shared" si="12"/>
        <v>85.971972164073549</v>
      </c>
      <c r="Z75" s="706">
        <f t="shared" si="13"/>
        <v>85.971972164073549</v>
      </c>
      <c r="AA75" s="706" t="str">
        <f t="shared" si="14"/>
        <v/>
      </c>
      <c r="AB75" s="710"/>
    </row>
    <row r="76" spans="1:28" s="9" customFormat="1" ht="18.75">
      <c r="A76" s="584">
        <v>61</v>
      </c>
      <c r="B76" s="737" t="s">
        <v>557</v>
      </c>
      <c r="C76" s="575">
        <f t="shared" si="15"/>
        <v>138487.514</v>
      </c>
      <c r="D76" s="575">
        <v>125302.514</v>
      </c>
      <c r="E76" s="575">
        <v>0</v>
      </c>
      <c r="F76" s="575">
        <v>0</v>
      </c>
      <c r="G76" s="575">
        <v>0</v>
      </c>
      <c r="H76" s="575">
        <f t="shared" si="17"/>
        <v>13185</v>
      </c>
      <c r="I76" s="575">
        <f>'PL61'!D28</f>
        <v>13185</v>
      </c>
      <c r="J76" s="575">
        <f>'PL61'!E28</f>
        <v>0</v>
      </c>
      <c r="K76" s="575">
        <f t="shared" si="18"/>
        <v>130403.95078400002</v>
      </c>
      <c r="L76" s="575">
        <f>89681.568167+40722.382617-Q76</f>
        <v>111828.99214600002</v>
      </c>
      <c r="M76" s="575">
        <v>0</v>
      </c>
      <c r="N76" s="575">
        <v>0</v>
      </c>
      <c r="O76" s="575">
        <v>0</v>
      </c>
      <c r="P76" s="575">
        <f t="shared" si="19"/>
        <v>18574.958638</v>
      </c>
      <c r="Q76" s="575">
        <f>'PL61'!U28</f>
        <v>18574.958638</v>
      </c>
      <c r="R76" s="575">
        <f>'PL61'!V28</f>
        <v>0</v>
      </c>
      <c r="S76" s="575">
        <v>0</v>
      </c>
      <c r="T76" s="706"/>
      <c r="U76" s="706"/>
      <c r="V76" s="706" t="str">
        <f t="shared" si="9"/>
        <v/>
      </c>
      <c r="W76" s="706"/>
      <c r="X76" s="706"/>
      <c r="Y76" s="706"/>
      <c r="Z76" s="706"/>
      <c r="AA76" s="706"/>
      <c r="AB76" s="710"/>
    </row>
    <row r="77" spans="1:28" s="9" customFormat="1" ht="18.75">
      <c r="A77" s="584">
        <v>62</v>
      </c>
      <c r="B77" s="737" t="s">
        <v>558</v>
      </c>
      <c r="C77" s="575">
        <f t="shared" si="15"/>
        <v>78302.16399999999</v>
      </c>
      <c r="D77" s="575">
        <v>62512.163999999997</v>
      </c>
      <c r="E77" s="575">
        <v>0</v>
      </c>
      <c r="F77" s="575">
        <v>0</v>
      </c>
      <c r="G77" s="575">
        <v>0</v>
      </c>
      <c r="H77" s="575">
        <f t="shared" si="17"/>
        <v>15790</v>
      </c>
      <c r="I77" s="575">
        <f>'PL61'!D29</f>
        <v>15790</v>
      </c>
      <c r="J77" s="575">
        <f>'PL61'!E29</f>
        <v>0</v>
      </c>
      <c r="K77" s="575">
        <f t="shared" si="18"/>
        <v>93162.197658999998</v>
      </c>
      <c r="L77" s="575">
        <f>57022.081659+36140.116-Q77</f>
        <v>78949.534658999997</v>
      </c>
      <c r="M77" s="575">
        <v>0</v>
      </c>
      <c r="N77" s="575">
        <v>0</v>
      </c>
      <c r="O77" s="575">
        <v>0</v>
      </c>
      <c r="P77" s="575">
        <f t="shared" si="19"/>
        <v>14212.663</v>
      </c>
      <c r="Q77" s="575">
        <f>'PL61'!U29</f>
        <v>14212.663</v>
      </c>
      <c r="R77" s="575">
        <f>'PL61'!V29</f>
        <v>0</v>
      </c>
      <c r="S77" s="575">
        <v>0</v>
      </c>
      <c r="T77" s="706"/>
      <c r="U77" s="706"/>
      <c r="V77" s="706" t="str">
        <f t="shared" si="9"/>
        <v/>
      </c>
      <c r="W77" s="706"/>
      <c r="X77" s="706"/>
      <c r="Y77" s="706"/>
      <c r="Z77" s="706"/>
      <c r="AA77" s="706"/>
      <c r="AB77" s="710"/>
    </row>
    <row r="78" spans="1:28" s="9" customFormat="1" ht="18.75">
      <c r="A78" s="584">
        <v>63</v>
      </c>
      <c r="B78" s="737" t="s">
        <v>559</v>
      </c>
      <c r="C78" s="575">
        <f t="shared" si="15"/>
        <v>91309.959000000003</v>
      </c>
      <c r="D78" s="575">
        <v>75684.959000000003</v>
      </c>
      <c r="E78" s="575">
        <v>0</v>
      </c>
      <c r="F78" s="575">
        <v>0</v>
      </c>
      <c r="G78" s="575">
        <v>0</v>
      </c>
      <c r="H78" s="575">
        <f t="shared" si="17"/>
        <v>15625</v>
      </c>
      <c r="I78" s="575">
        <f>'PL61'!D30</f>
        <v>15625</v>
      </c>
      <c r="J78" s="575">
        <f>'PL61'!E30</f>
        <v>0</v>
      </c>
      <c r="K78" s="575">
        <f t="shared" si="18"/>
        <v>93783.702665999997</v>
      </c>
      <c r="L78" s="575">
        <f>60419.138132+33364.564534-Q78</f>
        <v>77685.138131999993</v>
      </c>
      <c r="M78" s="575">
        <v>0</v>
      </c>
      <c r="N78" s="575">
        <v>0</v>
      </c>
      <c r="O78" s="575">
        <v>0</v>
      </c>
      <c r="P78" s="575">
        <f t="shared" si="19"/>
        <v>16098.564533999999</v>
      </c>
      <c r="Q78" s="575">
        <f>'PL61'!U30</f>
        <v>16098.564533999999</v>
      </c>
      <c r="R78" s="575">
        <f>'PL61'!V30</f>
        <v>0</v>
      </c>
      <c r="S78" s="575">
        <v>0</v>
      </c>
      <c r="T78" s="706"/>
      <c r="U78" s="706"/>
      <c r="V78" s="706" t="str">
        <f t="shared" si="9"/>
        <v/>
      </c>
      <c r="W78" s="706"/>
      <c r="X78" s="706"/>
      <c r="Y78" s="706"/>
      <c r="Z78" s="706"/>
      <c r="AA78" s="706"/>
      <c r="AB78" s="710"/>
    </row>
    <row r="79" spans="1:28" s="9" customFormat="1" ht="18.75">
      <c r="A79" s="584">
        <v>64</v>
      </c>
      <c r="B79" s="737" t="s">
        <v>560</v>
      </c>
      <c r="C79" s="575">
        <f t="shared" si="15"/>
        <v>76395.399999999994</v>
      </c>
      <c r="D79" s="575">
        <f>48+69782.4</f>
        <v>69830.399999999994</v>
      </c>
      <c r="E79" s="575">
        <v>0</v>
      </c>
      <c r="F79" s="575">
        <v>0</v>
      </c>
      <c r="G79" s="575">
        <v>0</v>
      </c>
      <c r="H79" s="575">
        <f t="shared" si="17"/>
        <v>6565</v>
      </c>
      <c r="I79" s="575">
        <f>'PL61'!D31</f>
        <v>6565</v>
      </c>
      <c r="J79" s="575">
        <f>'PL61'!E31</f>
        <v>0</v>
      </c>
      <c r="K79" s="575">
        <f t="shared" si="18"/>
        <v>98179.157214000006</v>
      </c>
      <c r="L79" s="575">
        <f>47.515+75190.039562+22941.602652-Q79</f>
        <v>89176.532214000006</v>
      </c>
      <c r="M79" s="575">
        <v>0</v>
      </c>
      <c r="N79" s="575">
        <v>0</v>
      </c>
      <c r="O79" s="575">
        <v>0</v>
      </c>
      <c r="P79" s="575">
        <f t="shared" si="19"/>
        <v>9002.625</v>
      </c>
      <c r="Q79" s="575">
        <f>'PL61'!U31</f>
        <v>9002.625</v>
      </c>
      <c r="R79" s="575">
        <f>'PL61'!V31</f>
        <v>0</v>
      </c>
      <c r="S79" s="575">
        <v>0</v>
      </c>
      <c r="T79" s="706"/>
      <c r="U79" s="706"/>
      <c r="V79" s="706" t="str">
        <f t="shared" si="9"/>
        <v/>
      </c>
      <c r="W79" s="706"/>
      <c r="X79" s="706"/>
      <c r="Y79" s="706"/>
      <c r="Z79" s="706"/>
      <c r="AA79" s="706"/>
      <c r="AB79" s="710"/>
    </row>
    <row r="80" spans="1:28" s="9" customFormat="1" ht="18.75">
      <c r="A80" s="584">
        <v>65</v>
      </c>
      <c r="B80" s="633" t="s">
        <v>561</v>
      </c>
      <c r="C80" s="575">
        <f t="shared" si="15"/>
        <v>130916.7605</v>
      </c>
      <c r="D80" s="575">
        <v>125846.7605</v>
      </c>
      <c r="E80" s="575">
        <v>0</v>
      </c>
      <c r="F80" s="575">
        <v>0</v>
      </c>
      <c r="G80" s="575">
        <v>0</v>
      </c>
      <c r="H80" s="575">
        <f t="shared" si="17"/>
        <v>5070</v>
      </c>
      <c r="I80" s="575">
        <f>'PL61'!D32</f>
        <v>5070</v>
      </c>
      <c r="J80" s="575">
        <f>'PL61'!E32</f>
        <v>0</v>
      </c>
      <c r="K80" s="575">
        <f t="shared" si="18"/>
        <v>125888.61685999999</v>
      </c>
      <c r="L80" s="575">
        <f>117616.4125+377.298+7894.90636-Q80</f>
        <v>120873.7105</v>
      </c>
      <c r="M80" s="575">
        <v>0</v>
      </c>
      <c r="N80" s="575">
        <v>0</v>
      </c>
      <c r="O80" s="575">
        <v>0</v>
      </c>
      <c r="P80" s="575">
        <f t="shared" si="19"/>
        <v>5014.9063599999999</v>
      </c>
      <c r="Q80" s="575">
        <f>'PL61'!U32</f>
        <v>5014.9063599999999</v>
      </c>
      <c r="R80" s="575">
        <f>'PL61'!V32</f>
        <v>0</v>
      </c>
      <c r="S80" s="575">
        <v>0</v>
      </c>
      <c r="T80" s="706"/>
      <c r="U80" s="706"/>
      <c r="V80" s="706" t="str">
        <f t="shared" si="9"/>
        <v/>
      </c>
      <c r="W80" s="706"/>
      <c r="X80" s="706"/>
      <c r="Y80" s="706"/>
      <c r="Z80" s="706"/>
      <c r="AA80" s="706"/>
      <c r="AB80" s="710"/>
    </row>
    <row r="81" spans="1:28" s="9" customFormat="1" ht="18.75">
      <c r="A81" s="584">
        <v>66</v>
      </c>
      <c r="B81" s="633" t="s">
        <v>562</v>
      </c>
      <c r="C81" s="575">
        <f t="shared" si="15"/>
        <v>140880.54889999999</v>
      </c>
      <c r="D81" s="575">
        <v>109660.54889999999</v>
      </c>
      <c r="E81" s="575">
        <v>0</v>
      </c>
      <c r="F81" s="575">
        <v>0</v>
      </c>
      <c r="G81" s="575">
        <v>0</v>
      </c>
      <c r="H81" s="575">
        <f t="shared" si="17"/>
        <v>31220</v>
      </c>
      <c r="I81" s="575">
        <f>'PL61'!D33</f>
        <v>31220</v>
      </c>
      <c r="J81" s="575">
        <f>'PL61'!E33</f>
        <v>0</v>
      </c>
      <c r="K81" s="575">
        <f t="shared" si="18"/>
        <v>154397.474907</v>
      </c>
      <c r="L81" s="575">
        <f>80520.2478+4364.3+69512.927107-Q81</f>
        <v>129598.6312</v>
      </c>
      <c r="M81" s="575">
        <v>0</v>
      </c>
      <c r="N81" s="575">
        <v>0</v>
      </c>
      <c r="O81" s="575">
        <v>0</v>
      </c>
      <c r="P81" s="575">
        <f t="shared" si="19"/>
        <v>24798.843707</v>
      </c>
      <c r="Q81" s="575">
        <f>'PL61'!U33</f>
        <v>24798.843707</v>
      </c>
      <c r="R81" s="575">
        <f>'PL61'!V33</f>
        <v>0</v>
      </c>
      <c r="S81" s="575">
        <v>0</v>
      </c>
      <c r="T81" s="706"/>
      <c r="U81" s="706"/>
      <c r="V81" s="706" t="str">
        <f t="shared" si="9"/>
        <v/>
      </c>
      <c r="W81" s="706"/>
      <c r="X81" s="706"/>
      <c r="Y81" s="706"/>
      <c r="Z81" s="706"/>
      <c r="AA81" s="706"/>
      <c r="AB81" s="710"/>
    </row>
    <row r="82" spans="1:28" s="9" customFormat="1" ht="18.75">
      <c r="A82" s="584">
        <v>67</v>
      </c>
      <c r="B82" s="633" t="s">
        <v>563</v>
      </c>
      <c r="C82" s="575">
        <f t="shared" si="15"/>
        <v>177435.70600000001</v>
      </c>
      <c r="D82" s="575">
        <f>26741.106+116289.6</f>
        <v>143030.70600000001</v>
      </c>
      <c r="E82" s="575">
        <v>0</v>
      </c>
      <c r="F82" s="575">
        <v>0</v>
      </c>
      <c r="G82" s="575">
        <v>0</v>
      </c>
      <c r="H82" s="575">
        <f t="shared" si="17"/>
        <v>34405</v>
      </c>
      <c r="I82" s="575">
        <f>'PL61'!D34</f>
        <v>34405</v>
      </c>
      <c r="J82" s="575">
        <f>'PL61'!E34</f>
        <v>0</v>
      </c>
      <c r="K82" s="575">
        <f t="shared" si="18"/>
        <v>141216.54913200001</v>
      </c>
      <c r="L82" s="575">
        <f>30854.6252+94735.274386+201.387+15425.262546-Q82</f>
        <v>132891.286586</v>
      </c>
      <c r="M82" s="575">
        <v>0</v>
      </c>
      <c r="N82" s="575">
        <v>0</v>
      </c>
      <c r="O82" s="575">
        <v>0</v>
      </c>
      <c r="P82" s="575">
        <f t="shared" si="19"/>
        <v>8325.2625459999999</v>
      </c>
      <c r="Q82" s="575">
        <f>'PL61'!U34</f>
        <v>8325.2625459999999</v>
      </c>
      <c r="R82" s="575">
        <f>'PL61'!V34</f>
        <v>0</v>
      </c>
      <c r="S82" s="575">
        <v>0</v>
      </c>
      <c r="T82" s="706"/>
      <c r="U82" s="706"/>
      <c r="V82" s="706" t="str">
        <f t="shared" si="9"/>
        <v/>
      </c>
      <c r="W82" s="706"/>
      <c r="X82" s="706"/>
      <c r="Y82" s="706"/>
      <c r="Z82" s="706"/>
      <c r="AA82" s="706"/>
      <c r="AB82" s="710"/>
    </row>
    <row r="83" spans="1:28" s="9" customFormat="1" ht="18.75">
      <c r="A83" s="584">
        <v>68</v>
      </c>
      <c r="B83" s="633" t="s">
        <v>564</v>
      </c>
      <c r="C83" s="575">
        <f t="shared" si="15"/>
        <v>118244.197</v>
      </c>
      <c r="D83" s="575">
        <f>3210.697+90258.5</f>
        <v>93469.197</v>
      </c>
      <c r="E83" s="575">
        <v>0</v>
      </c>
      <c r="F83" s="575">
        <v>0</v>
      </c>
      <c r="G83" s="575">
        <v>0</v>
      </c>
      <c r="H83" s="575">
        <f t="shared" si="17"/>
        <v>24775</v>
      </c>
      <c r="I83" s="575">
        <f>'PL61'!D35</f>
        <v>24775</v>
      </c>
      <c r="J83" s="575">
        <f>'PL61'!E35</f>
        <v>0</v>
      </c>
      <c r="K83" s="575">
        <f t="shared" si="18"/>
        <v>88749.503843000013</v>
      </c>
      <c r="L83" s="575">
        <f>3690.0158+54367.331609+494.427+1381.243+28816.486434-Q83</f>
        <v>62028.017409000015</v>
      </c>
      <c r="M83" s="575">
        <v>0</v>
      </c>
      <c r="N83" s="575">
        <v>0</v>
      </c>
      <c r="O83" s="575">
        <v>0</v>
      </c>
      <c r="P83" s="575">
        <f t="shared" si="19"/>
        <v>26721.486433999999</v>
      </c>
      <c r="Q83" s="575">
        <f>'PL61'!U35</f>
        <v>26721.486433999999</v>
      </c>
      <c r="R83" s="575">
        <f>'PL61'!V35</f>
        <v>0</v>
      </c>
      <c r="S83" s="575">
        <v>0</v>
      </c>
      <c r="T83" s="706"/>
      <c r="U83" s="706"/>
      <c r="V83" s="706" t="str">
        <f t="shared" si="9"/>
        <v/>
      </c>
      <c r="W83" s="706"/>
      <c r="X83" s="706"/>
      <c r="Y83" s="706"/>
      <c r="Z83" s="706"/>
      <c r="AA83" s="706"/>
      <c r="AB83" s="710"/>
    </row>
    <row r="84" spans="1:28" s="9" customFormat="1" ht="18.75">
      <c r="A84" s="584">
        <v>69</v>
      </c>
      <c r="B84" s="633" t="s">
        <v>661</v>
      </c>
      <c r="C84" s="575">
        <f>SUM(D84:H84)</f>
        <v>805892.8200999999</v>
      </c>
      <c r="D84" s="575">
        <v>299424.8200999999</v>
      </c>
      <c r="E84" s="575">
        <v>506468</v>
      </c>
      <c r="F84" s="575">
        <v>0</v>
      </c>
      <c r="G84" s="575">
        <v>0</v>
      </c>
      <c r="H84" s="575">
        <f>I84+J84</f>
        <v>0</v>
      </c>
      <c r="I84" s="575">
        <v>0</v>
      </c>
      <c r="J84" s="752">
        <v>0</v>
      </c>
      <c r="K84" s="575">
        <f t="shared" si="18"/>
        <v>129056.01638000042</v>
      </c>
      <c r="L84" s="575">
        <f>2024064.735531-SUM(L16:L83)-Q15</f>
        <v>116919.02418100031</v>
      </c>
      <c r="M84" s="575">
        <f>1914173.749397-R15-SUM(M16:M83)</f>
        <v>9197.6007990001235</v>
      </c>
      <c r="N84" s="575">
        <v>0</v>
      </c>
      <c r="O84" s="575">
        <v>0</v>
      </c>
      <c r="P84" s="575">
        <f>Q84+R84</f>
        <v>2939.3914</v>
      </c>
      <c r="Q84" s="575">
        <f>'PL61'!U36</f>
        <v>0</v>
      </c>
      <c r="R84" s="575">
        <f>'PL61'!V36</f>
        <v>2939.3914</v>
      </c>
      <c r="S84" s="575">
        <v>0</v>
      </c>
      <c r="T84" s="706">
        <f t="shared" ref="T84:AA84" si="21">IF(AND(C84&lt;&gt;0,K84&lt;&gt;0),K84/C84%,"")</f>
        <v>16.014042210226716</v>
      </c>
      <c r="U84" s="706">
        <f t="shared" si="21"/>
        <v>39.047873233071485</v>
      </c>
      <c r="V84" s="706">
        <f t="shared" si="21"/>
        <v>1.8160280213162772</v>
      </c>
      <c r="W84" s="706" t="str">
        <f t="shared" si="21"/>
        <v/>
      </c>
      <c r="X84" s="706" t="str">
        <f t="shared" si="21"/>
        <v/>
      </c>
      <c r="Y84" s="706" t="str">
        <f t="shared" si="21"/>
        <v/>
      </c>
      <c r="Z84" s="706" t="str">
        <f t="shared" si="21"/>
        <v/>
      </c>
      <c r="AA84" s="706" t="str">
        <f t="shared" si="21"/>
        <v/>
      </c>
      <c r="AB84" s="710">
        <v>2939.3914</v>
      </c>
    </row>
    <row r="85" spans="1:28" s="9" customFormat="1" ht="18.75" hidden="1">
      <c r="A85" s="584">
        <v>71</v>
      </c>
      <c r="B85" s="566"/>
      <c r="C85" s="575">
        <f>SUM(D85:H85)</f>
        <v>0</v>
      </c>
      <c r="D85" s="575"/>
      <c r="E85" s="575"/>
      <c r="F85" s="575"/>
      <c r="G85" s="575"/>
      <c r="H85" s="575">
        <f t="shared" si="17"/>
        <v>0</v>
      </c>
      <c r="I85" s="575"/>
      <c r="J85" s="705"/>
      <c r="K85" s="575">
        <f t="shared" si="18"/>
        <v>0</v>
      </c>
      <c r="L85" s="575"/>
      <c r="M85" s="575"/>
      <c r="N85" s="575">
        <v>0</v>
      </c>
      <c r="O85" s="575">
        <v>0</v>
      </c>
      <c r="P85" s="575">
        <f t="shared" si="19"/>
        <v>0</v>
      </c>
      <c r="Q85" s="575"/>
      <c r="R85" s="575">
        <f t="shared" si="16"/>
        <v>0</v>
      </c>
      <c r="S85" s="575"/>
      <c r="T85" s="706" t="str">
        <f t="shared" si="7"/>
        <v/>
      </c>
      <c r="U85" s="706" t="str">
        <f t="shared" si="8"/>
        <v/>
      </c>
      <c r="V85" s="706" t="str">
        <f t="shared" si="9"/>
        <v/>
      </c>
      <c r="W85" s="706" t="str">
        <f t="shared" si="10"/>
        <v/>
      </c>
      <c r="X85" s="706" t="str">
        <f t="shared" si="11"/>
        <v/>
      </c>
      <c r="Y85" s="706" t="str">
        <f t="shared" si="12"/>
        <v/>
      </c>
      <c r="Z85" s="706" t="str">
        <f t="shared" si="13"/>
        <v/>
      </c>
      <c r="AA85" s="706" t="str">
        <f t="shared" si="14"/>
        <v/>
      </c>
      <c r="AB85" s="710"/>
    </row>
    <row r="86" spans="1:28" s="32" customFormat="1" ht="37.5">
      <c r="A86" s="561" t="s">
        <v>33</v>
      </c>
      <c r="B86" s="562" t="s">
        <v>539</v>
      </c>
      <c r="C86" s="574">
        <f t="shared" si="15"/>
        <v>800</v>
      </c>
      <c r="D86" s="574">
        <v>0</v>
      </c>
      <c r="E86" s="574">
        <v>0</v>
      </c>
      <c r="F86" s="574">
        <v>800</v>
      </c>
      <c r="G86" s="574">
        <v>0</v>
      </c>
      <c r="H86" s="574">
        <f t="shared" ref="H86:H91" si="22">I86+J86</f>
        <v>0</v>
      </c>
      <c r="I86" s="574">
        <v>0</v>
      </c>
      <c r="J86" s="574">
        <v>0</v>
      </c>
      <c r="K86" s="574">
        <f t="shared" ref="K86:K91" si="23">SUM(L86:P86)+S86</f>
        <v>0</v>
      </c>
      <c r="L86" s="574">
        <v>0</v>
      </c>
      <c r="M86" s="574">
        <v>0</v>
      </c>
      <c r="N86" s="574">
        <v>0</v>
      </c>
      <c r="O86" s="574">
        <v>0</v>
      </c>
      <c r="P86" s="574">
        <f t="shared" ref="P86:P91" si="24">Q86+R86</f>
        <v>0</v>
      </c>
      <c r="Q86" s="574">
        <v>0</v>
      </c>
      <c r="R86" s="574">
        <v>0</v>
      </c>
      <c r="S86" s="574">
        <v>0</v>
      </c>
      <c r="T86" s="743" t="str">
        <f t="shared" si="7"/>
        <v/>
      </c>
      <c r="U86" s="743" t="str">
        <f t="shared" si="8"/>
        <v/>
      </c>
      <c r="V86" s="743" t="str">
        <f t="shared" si="9"/>
        <v/>
      </c>
      <c r="W86" s="743" t="str">
        <f t="shared" si="10"/>
        <v/>
      </c>
      <c r="X86" s="743" t="str">
        <f t="shared" si="11"/>
        <v/>
      </c>
      <c r="Y86" s="743" t="str">
        <f t="shared" si="12"/>
        <v/>
      </c>
      <c r="Z86" s="743" t="str">
        <f t="shared" si="13"/>
        <v/>
      </c>
      <c r="AA86" s="743" t="str">
        <f t="shared" si="14"/>
        <v/>
      </c>
      <c r="AB86" s="715"/>
    </row>
    <row r="87" spans="1:28" s="32" customFormat="1" ht="37.5">
      <c r="A87" s="561" t="s">
        <v>34</v>
      </c>
      <c r="B87" s="562" t="s">
        <v>650</v>
      </c>
      <c r="C87" s="574">
        <f t="shared" si="15"/>
        <v>1000</v>
      </c>
      <c r="D87" s="574">
        <v>0</v>
      </c>
      <c r="E87" s="574">
        <v>0</v>
      </c>
      <c r="F87" s="574">
        <v>0</v>
      </c>
      <c r="G87" s="574">
        <v>1000</v>
      </c>
      <c r="H87" s="574">
        <f t="shared" si="22"/>
        <v>0</v>
      </c>
      <c r="I87" s="574">
        <v>0</v>
      </c>
      <c r="J87" s="574">
        <v>0</v>
      </c>
      <c r="K87" s="574">
        <f t="shared" si="23"/>
        <v>1000</v>
      </c>
      <c r="L87" s="574">
        <v>0</v>
      </c>
      <c r="M87" s="574">
        <v>0</v>
      </c>
      <c r="N87" s="574">
        <v>0</v>
      </c>
      <c r="O87" s="574">
        <v>1000</v>
      </c>
      <c r="P87" s="574">
        <f t="shared" si="24"/>
        <v>0</v>
      </c>
      <c r="Q87" s="574">
        <v>0</v>
      </c>
      <c r="R87" s="574">
        <v>0</v>
      </c>
      <c r="S87" s="574">
        <v>0</v>
      </c>
      <c r="T87" s="743">
        <f t="shared" si="7"/>
        <v>100</v>
      </c>
      <c r="U87" s="743" t="str">
        <f t="shared" si="8"/>
        <v/>
      </c>
      <c r="V87" s="743" t="str">
        <f t="shared" si="9"/>
        <v/>
      </c>
      <c r="W87" s="743" t="str">
        <f t="shared" si="10"/>
        <v/>
      </c>
      <c r="X87" s="743">
        <f t="shared" si="11"/>
        <v>100</v>
      </c>
      <c r="Y87" s="743" t="str">
        <f t="shared" si="12"/>
        <v/>
      </c>
      <c r="Z87" s="743" t="str">
        <f t="shared" si="13"/>
        <v/>
      </c>
      <c r="AA87" s="743" t="str">
        <f t="shared" si="14"/>
        <v/>
      </c>
      <c r="AB87" s="715"/>
    </row>
    <row r="88" spans="1:28" s="32" customFormat="1" ht="18.75">
      <c r="A88" s="561" t="s">
        <v>35</v>
      </c>
      <c r="B88" s="562" t="s">
        <v>354</v>
      </c>
      <c r="C88" s="574">
        <f t="shared" si="15"/>
        <v>77387</v>
      </c>
      <c r="D88" s="574">
        <v>0</v>
      </c>
      <c r="E88" s="574">
        <v>77387</v>
      </c>
      <c r="F88" s="574">
        <v>0</v>
      </c>
      <c r="G88" s="574">
        <v>0</v>
      </c>
      <c r="H88" s="574">
        <f t="shared" si="22"/>
        <v>0</v>
      </c>
      <c r="I88" s="574">
        <v>0</v>
      </c>
      <c r="J88" s="574">
        <v>0</v>
      </c>
      <c r="K88" s="574">
        <f t="shared" si="23"/>
        <v>0</v>
      </c>
      <c r="L88" s="574">
        <v>0</v>
      </c>
      <c r="M88" s="574">
        <v>0</v>
      </c>
      <c r="N88" s="574">
        <v>0</v>
      </c>
      <c r="O88" s="574">
        <v>0</v>
      </c>
      <c r="P88" s="574">
        <f t="shared" si="24"/>
        <v>0</v>
      </c>
      <c r="Q88" s="574">
        <v>0</v>
      </c>
      <c r="R88" s="574">
        <v>0</v>
      </c>
      <c r="S88" s="574">
        <v>0</v>
      </c>
      <c r="T88" s="743" t="str">
        <f t="shared" si="7"/>
        <v/>
      </c>
      <c r="U88" s="743" t="str">
        <f t="shared" si="8"/>
        <v/>
      </c>
      <c r="V88" s="743" t="str">
        <f t="shared" si="9"/>
        <v/>
      </c>
      <c r="W88" s="743" t="str">
        <f t="shared" si="10"/>
        <v/>
      </c>
      <c r="X88" s="743" t="str">
        <f t="shared" si="11"/>
        <v/>
      </c>
      <c r="Y88" s="743" t="str">
        <f t="shared" si="12"/>
        <v/>
      </c>
      <c r="Z88" s="743" t="str">
        <f t="shared" si="13"/>
        <v/>
      </c>
      <c r="AA88" s="743" t="str">
        <f t="shared" si="14"/>
        <v/>
      </c>
      <c r="AB88" s="715"/>
    </row>
    <row r="89" spans="1:28" s="32" customFormat="1" ht="37.5">
      <c r="A89" s="561" t="s">
        <v>36</v>
      </c>
      <c r="B89" s="562" t="s">
        <v>347</v>
      </c>
      <c r="C89" s="574">
        <f t="shared" si="15"/>
        <v>34050</v>
      </c>
      <c r="D89" s="574">
        <v>0</v>
      </c>
      <c r="E89" s="574">
        <v>34050</v>
      </c>
      <c r="F89" s="574">
        <v>0</v>
      </c>
      <c r="G89" s="574">
        <v>0</v>
      </c>
      <c r="H89" s="574">
        <f t="shared" si="22"/>
        <v>0</v>
      </c>
      <c r="I89" s="574">
        <v>0</v>
      </c>
      <c r="J89" s="574">
        <v>0</v>
      </c>
      <c r="K89" s="574">
        <f t="shared" si="23"/>
        <v>0</v>
      </c>
      <c r="L89" s="574">
        <v>0</v>
      </c>
      <c r="M89" s="574">
        <v>0</v>
      </c>
      <c r="N89" s="574">
        <v>0</v>
      </c>
      <c r="O89" s="574">
        <v>0</v>
      </c>
      <c r="P89" s="574">
        <f t="shared" si="24"/>
        <v>0</v>
      </c>
      <c r="Q89" s="574">
        <v>0</v>
      </c>
      <c r="R89" s="574">
        <v>0</v>
      </c>
      <c r="S89" s="574">
        <v>0</v>
      </c>
      <c r="T89" s="743" t="str">
        <f t="shared" si="7"/>
        <v/>
      </c>
      <c r="U89" s="743" t="str">
        <f t="shared" si="8"/>
        <v/>
      </c>
      <c r="V89" s="743" t="str">
        <f t="shared" si="9"/>
        <v/>
      </c>
      <c r="W89" s="743" t="str">
        <f t="shared" si="10"/>
        <v/>
      </c>
      <c r="X89" s="743" t="str">
        <f t="shared" si="11"/>
        <v/>
      </c>
      <c r="Y89" s="743" t="str">
        <f t="shared" si="12"/>
        <v/>
      </c>
      <c r="Z89" s="743" t="str">
        <f t="shared" si="13"/>
        <v/>
      </c>
      <c r="AA89" s="743" t="str">
        <f t="shared" si="14"/>
        <v/>
      </c>
      <c r="AB89" s="715"/>
    </row>
    <row r="90" spans="1:28" s="9" customFormat="1" ht="37.5">
      <c r="A90" s="561" t="s">
        <v>61</v>
      </c>
      <c r="B90" s="562" t="s">
        <v>538</v>
      </c>
      <c r="C90" s="574">
        <f t="shared" si="15"/>
        <v>3036472</v>
      </c>
      <c r="D90" s="574">
        <v>0</v>
      </c>
      <c r="E90" s="574">
        <v>3036472</v>
      </c>
      <c r="F90" s="574">
        <v>0</v>
      </c>
      <c r="G90" s="574">
        <v>0</v>
      </c>
      <c r="H90" s="574">
        <f t="shared" si="22"/>
        <v>0</v>
      </c>
      <c r="I90" s="574">
        <v>0</v>
      </c>
      <c r="J90" s="574">
        <v>0</v>
      </c>
      <c r="K90" s="574">
        <f t="shared" si="23"/>
        <v>3326248.9021000001</v>
      </c>
      <c r="L90" s="574">
        <v>0</v>
      </c>
      <c r="M90" s="574">
        <v>3326248.9021000001</v>
      </c>
      <c r="N90" s="574">
        <v>0</v>
      </c>
      <c r="O90" s="574">
        <v>0</v>
      </c>
      <c r="P90" s="574">
        <f t="shared" si="24"/>
        <v>0</v>
      </c>
      <c r="Q90" s="574">
        <v>0</v>
      </c>
      <c r="R90" s="574">
        <v>0</v>
      </c>
      <c r="S90" s="574">
        <v>0</v>
      </c>
      <c r="T90" s="743">
        <f t="shared" si="7"/>
        <v>109.54321008393951</v>
      </c>
      <c r="U90" s="743" t="str">
        <f t="shared" si="8"/>
        <v/>
      </c>
      <c r="V90" s="743">
        <f t="shared" si="9"/>
        <v>109.54321008393951</v>
      </c>
      <c r="W90" s="743" t="str">
        <f t="shared" si="10"/>
        <v/>
      </c>
      <c r="X90" s="743" t="str">
        <f t="shared" si="11"/>
        <v/>
      </c>
      <c r="Y90" s="743" t="str">
        <f t="shared" si="12"/>
        <v/>
      </c>
      <c r="Z90" s="743" t="str">
        <f t="shared" si="13"/>
        <v/>
      </c>
      <c r="AA90" s="743" t="str">
        <f t="shared" si="14"/>
        <v/>
      </c>
      <c r="AB90" s="710"/>
    </row>
    <row r="91" spans="1:28" s="9" customFormat="1" ht="37.5">
      <c r="A91" s="610" t="s">
        <v>290</v>
      </c>
      <c r="B91" s="767" t="s">
        <v>345</v>
      </c>
      <c r="C91" s="630">
        <f t="shared" si="15"/>
        <v>0</v>
      </c>
      <c r="D91" s="630">
        <v>0</v>
      </c>
      <c r="E91" s="630">
        <v>0</v>
      </c>
      <c r="F91" s="630">
        <v>0</v>
      </c>
      <c r="G91" s="630">
        <v>0</v>
      </c>
      <c r="H91" s="630">
        <f t="shared" si="22"/>
        <v>0</v>
      </c>
      <c r="I91" s="630">
        <v>0</v>
      </c>
      <c r="J91" s="630">
        <v>0</v>
      </c>
      <c r="K91" s="630">
        <f t="shared" si="23"/>
        <v>3002874.775618</v>
      </c>
      <c r="L91" s="630">
        <v>0</v>
      </c>
      <c r="M91" s="630">
        <v>0</v>
      </c>
      <c r="N91" s="630">
        <v>0</v>
      </c>
      <c r="O91" s="630">
        <v>0</v>
      </c>
      <c r="P91" s="630">
        <f t="shared" si="24"/>
        <v>0</v>
      </c>
      <c r="Q91" s="630">
        <v>0</v>
      </c>
      <c r="R91" s="630">
        <v>0</v>
      </c>
      <c r="S91" s="630">
        <v>3002874.775618</v>
      </c>
      <c r="T91" s="747" t="str">
        <f t="shared" ref="T91:AA91" si="25">IF(AND(C91&lt;&gt;0,K91&lt;&gt;0),K91/C91%,"")</f>
        <v/>
      </c>
      <c r="U91" s="747" t="str">
        <f t="shared" si="25"/>
        <v/>
      </c>
      <c r="V91" s="747" t="str">
        <f t="shared" si="25"/>
        <v/>
      </c>
      <c r="W91" s="747" t="str">
        <f t="shared" si="25"/>
        <v/>
      </c>
      <c r="X91" s="747" t="str">
        <f t="shared" si="25"/>
        <v/>
      </c>
      <c r="Y91" s="747" t="str">
        <f t="shared" si="25"/>
        <v/>
      </c>
      <c r="Z91" s="747" t="str">
        <f t="shared" si="25"/>
        <v/>
      </c>
      <c r="AA91" s="747" t="str">
        <f t="shared" si="2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6">
    <mergeCell ref="A1:AA1"/>
    <mergeCell ref="A2:AA2"/>
    <mergeCell ref="A3:AA3"/>
    <mergeCell ref="A4:AA4"/>
    <mergeCell ref="K9:K12"/>
    <mergeCell ref="C9:C12"/>
    <mergeCell ref="D9:D12"/>
    <mergeCell ref="T9:T12"/>
    <mergeCell ref="P10:P12"/>
    <mergeCell ref="Q10:Q12"/>
    <mergeCell ref="R10:R12"/>
    <mergeCell ref="P9:R9"/>
    <mergeCell ref="A8:A12"/>
    <mergeCell ref="K8:S8"/>
    <mergeCell ref="T8:AA8"/>
    <mergeCell ref="L9:L12"/>
    <mergeCell ref="C8:J8"/>
    <mergeCell ref="M9:M12"/>
    <mergeCell ref="N9:N12"/>
    <mergeCell ref="O9:O12"/>
    <mergeCell ref="U9:U12"/>
    <mergeCell ref="S9:S12"/>
    <mergeCell ref="E9:E12"/>
    <mergeCell ref="F9:F12"/>
    <mergeCell ref="G9:G12"/>
    <mergeCell ref="H9:J9"/>
    <mergeCell ref="H10:H12"/>
    <mergeCell ref="I10:I12"/>
    <mergeCell ref="J10:J12"/>
    <mergeCell ref="V9:V12"/>
    <mergeCell ref="W9:W12"/>
    <mergeCell ref="X9:X12"/>
    <mergeCell ref="Y9:AA9"/>
    <mergeCell ref="Y10:Y12"/>
    <mergeCell ref="Z10:Z12"/>
    <mergeCell ref="AA10:AA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worksheet>
</file>

<file path=xl/worksheets/sheet18.xml><?xml version="1.0" encoding="utf-8"?>
<worksheet xmlns="http://schemas.openxmlformats.org/spreadsheetml/2006/main" xmlns:r="http://schemas.openxmlformats.org/officeDocument/2006/relationships">
  <sheetPr>
    <tabColor rgb="FFFFC000"/>
    <pageSetUpPr fitToPage="1"/>
  </sheetPr>
  <dimension ref="A1:AB85"/>
  <sheetViews>
    <sheetView topLeftCell="A7" zoomScale="70" zoomScaleNormal="70" workbookViewId="0">
      <pane xSplit="2" ySplit="6" topLeftCell="C64" activePane="bottomRight" state="frozen"/>
      <selection activeCell="A7" sqref="A7"/>
      <selection pane="topRight" activeCell="C7" sqref="C7"/>
      <selection pane="bottomLeft" activeCell="A13" sqref="A13"/>
      <selection pane="bottomRight" activeCell="B69" sqref="B69"/>
    </sheetView>
  </sheetViews>
  <sheetFormatPr defaultColWidth="9" defaultRowHeight="15.75"/>
  <cols>
    <col min="1" max="1" width="5.125" style="4" customWidth="1"/>
    <col min="2" max="2" width="68.375" style="4" customWidth="1"/>
    <col min="3" max="19" width="14.625" style="4" customWidth="1"/>
    <col min="20" max="27" width="9.5" style="4" customWidth="1"/>
    <col min="28" max="28" width="15.875" style="711" customWidth="1"/>
    <col min="29" max="16384" width="9" style="4"/>
  </cols>
  <sheetData>
    <row r="1" spans="1:28" ht="21" customHeight="1">
      <c r="A1" s="1"/>
      <c r="B1" s="1"/>
      <c r="C1" s="2"/>
      <c r="D1" s="2"/>
      <c r="E1" s="2"/>
      <c r="F1" s="2"/>
      <c r="G1" s="3"/>
      <c r="H1" s="2"/>
      <c r="I1" s="104"/>
      <c r="J1" s="104"/>
      <c r="K1" s="2"/>
      <c r="L1" s="2"/>
      <c r="M1" s="2"/>
      <c r="N1" s="2"/>
      <c r="O1" s="3"/>
      <c r="P1" s="2"/>
      <c r="Q1" s="104"/>
      <c r="R1" s="104"/>
      <c r="S1" s="104"/>
      <c r="T1" s="104"/>
      <c r="U1" s="104"/>
      <c r="V1" s="2"/>
      <c r="W1" s="2"/>
      <c r="X1" s="3"/>
      <c r="Y1" s="2"/>
      <c r="Z1" s="104"/>
      <c r="AA1" s="104"/>
    </row>
    <row r="2" spans="1:28" ht="21" customHeight="1">
      <c r="A2" s="950" t="s">
        <v>598</v>
      </c>
      <c r="B2" s="950"/>
      <c r="C2" s="950"/>
      <c r="D2" s="950"/>
      <c r="E2" s="950"/>
      <c r="F2" s="950"/>
      <c r="G2" s="950"/>
      <c r="H2" s="950"/>
      <c r="I2" s="950"/>
      <c r="J2" s="950"/>
      <c r="K2" s="950"/>
      <c r="L2" s="950"/>
      <c r="M2" s="950"/>
      <c r="N2" s="950"/>
      <c r="O2" s="950"/>
      <c r="P2" s="950"/>
      <c r="Q2" s="950"/>
      <c r="R2" s="950"/>
      <c r="S2" s="950"/>
      <c r="T2" s="950"/>
      <c r="U2" s="950"/>
      <c r="V2" s="950"/>
      <c r="W2" s="950"/>
      <c r="X2" s="950"/>
      <c r="Y2" s="950"/>
      <c r="Z2" s="950"/>
      <c r="AA2" s="950"/>
    </row>
    <row r="3" spans="1:28" ht="21" customHeight="1">
      <c r="A3" s="931" t="s">
        <v>454</v>
      </c>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row>
    <row r="4" spans="1:28" ht="18" customHeight="1">
      <c r="A4" s="3"/>
      <c r="B4" s="7"/>
      <c r="C4" s="2"/>
      <c r="D4" s="2"/>
      <c r="E4" s="2"/>
      <c r="F4" s="2"/>
      <c r="G4" s="2"/>
      <c r="H4" s="2"/>
      <c r="I4" s="2"/>
      <c r="J4" s="2"/>
      <c r="K4" s="2"/>
      <c r="L4" s="2"/>
      <c r="M4" s="2"/>
      <c r="N4" s="2"/>
      <c r="O4" s="2"/>
      <c r="P4" s="2"/>
      <c r="Q4" s="2"/>
      <c r="R4" s="2"/>
      <c r="S4" s="2"/>
      <c r="T4" s="2"/>
      <c r="U4" s="2"/>
      <c r="V4" s="2"/>
      <c r="W4" s="2"/>
      <c r="X4" s="2"/>
      <c r="Y4" s="2"/>
      <c r="Z4" s="2"/>
      <c r="AA4" s="2"/>
    </row>
    <row r="5" spans="1:28" ht="6.75" hidden="1" customHeight="1">
      <c r="A5" s="7"/>
      <c r="B5" s="7"/>
      <c r="C5" s="2"/>
      <c r="D5" s="2"/>
      <c r="E5" s="2"/>
      <c r="F5" s="2"/>
      <c r="G5" s="2"/>
      <c r="H5" s="2"/>
      <c r="I5" s="2"/>
      <c r="J5" s="2"/>
      <c r="K5" s="2"/>
      <c r="L5" s="2"/>
      <c r="M5" s="2"/>
      <c r="N5" s="2"/>
      <c r="O5" s="2"/>
      <c r="P5" s="2"/>
      <c r="Q5" s="2"/>
      <c r="R5" s="2"/>
      <c r="S5" s="2"/>
      <c r="T5" s="2"/>
      <c r="U5" s="2"/>
      <c r="V5" s="2"/>
      <c r="W5" s="2"/>
      <c r="X5" s="2"/>
      <c r="Y5" s="2"/>
      <c r="Z5" s="2"/>
      <c r="AA5" s="2"/>
    </row>
    <row r="6" spans="1:28" ht="19.5" customHeight="1" thickBot="1">
      <c r="A6" s="8"/>
      <c r="B6" s="8"/>
      <c r="C6" s="9"/>
      <c r="D6" s="9"/>
      <c r="E6" s="9"/>
      <c r="F6" s="9"/>
      <c r="G6" s="40"/>
      <c r="H6" s="40"/>
      <c r="I6" s="40"/>
      <c r="J6" s="40"/>
      <c r="K6" s="9"/>
      <c r="L6" s="9"/>
      <c r="M6" s="9"/>
      <c r="N6" s="9"/>
      <c r="O6" s="40"/>
      <c r="P6" s="40"/>
      <c r="Q6" s="40"/>
      <c r="R6" s="40"/>
      <c r="S6" s="40"/>
      <c r="T6" s="40"/>
      <c r="U6" s="40"/>
      <c r="V6" s="9"/>
      <c r="W6" s="9"/>
      <c r="X6" s="40"/>
      <c r="Y6" s="40"/>
      <c r="Z6" s="40"/>
      <c r="AA6" s="205" t="s">
        <v>187</v>
      </c>
    </row>
    <row r="7" spans="1:28" s="10" customFormat="1" ht="30" customHeight="1">
      <c r="A7" s="894" t="s">
        <v>425</v>
      </c>
      <c r="B7" s="64"/>
      <c r="C7" s="953" t="s">
        <v>601</v>
      </c>
      <c r="D7" s="969"/>
      <c r="E7" s="969"/>
      <c r="F7" s="969"/>
      <c r="G7" s="969"/>
      <c r="H7" s="969"/>
      <c r="I7" s="969"/>
      <c r="J7" s="969"/>
      <c r="K7" s="953" t="s">
        <v>109</v>
      </c>
      <c r="L7" s="969"/>
      <c r="M7" s="969"/>
      <c r="N7" s="969"/>
      <c r="O7" s="969"/>
      <c r="P7" s="969"/>
      <c r="Q7" s="969"/>
      <c r="R7" s="969"/>
      <c r="S7" s="972"/>
      <c r="T7" s="958" t="s">
        <v>200</v>
      </c>
      <c r="U7" s="958"/>
      <c r="V7" s="958"/>
      <c r="W7" s="958"/>
      <c r="X7" s="958"/>
      <c r="Y7" s="958"/>
      <c r="Z7" s="958"/>
      <c r="AA7" s="958"/>
      <c r="AB7" s="712"/>
    </row>
    <row r="8" spans="1:28" s="10" customFormat="1" ht="45" customHeight="1">
      <c r="A8" s="971"/>
      <c r="B8" s="101"/>
      <c r="C8" s="906" t="s">
        <v>180</v>
      </c>
      <c r="D8" s="906" t="s">
        <v>352</v>
      </c>
      <c r="E8" s="906" t="s">
        <v>353</v>
      </c>
      <c r="F8" s="906" t="s">
        <v>595</v>
      </c>
      <c r="G8" s="906" t="s">
        <v>43</v>
      </c>
      <c r="H8" s="966" t="s">
        <v>343</v>
      </c>
      <c r="I8" s="967"/>
      <c r="J8" s="968"/>
      <c r="K8" s="906" t="s">
        <v>180</v>
      </c>
      <c r="L8" s="906" t="s">
        <v>352</v>
      </c>
      <c r="M8" s="906" t="s">
        <v>353</v>
      </c>
      <c r="N8" s="906" t="s">
        <v>595</v>
      </c>
      <c r="O8" s="906" t="s">
        <v>43</v>
      </c>
      <c r="P8" s="966" t="s">
        <v>343</v>
      </c>
      <c r="Q8" s="967"/>
      <c r="R8" s="968"/>
      <c r="S8" s="906" t="s">
        <v>204</v>
      </c>
      <c r="T8" s="906" t="s">
        <v>180</v>
      </c>
      <c r="U8" s="906" t="s">
        <v>38</v>
      </c>
      <c r="V8" s="906" t="s">
        <v>353</v>
      </c>
      <c r="W8" s="906" t="s">
        <v>438</v>
      </c>
      <c r="X8" s="906" t="s">
        <v>393</v>
      </c>
      <c r="Y8" s="966" t="s">
        <v>343</v>
      </c>
      <c r="Z8" s="967"/>
      <c r="AA8" s="968"/>
      <c r="AB8" s="712"/>
    </row>
    <row r="9" spans="1:28" s="10" customFormat="1" ht="45" customHeight="1">
      <c r="A9" s="971"/>
      <c r="B9" s="105" t="s">
        <v>50</v>
      </c>
      <c r="C9" s="813"/>
      <c r="D9" s="813"/>
      <c r="E9" s="813"/>
      <c r="F9" s="813"/>
      <c r="G9" s="813"/>
      <c r="H9" s="906" t="s">
        <v>180</v>
      </c>
      <c r="I9" s="906" t="s">
        <v>38</v>
      </c>
      <c r="J9" s="906" t="s">
        <v>42</v>
      </c>
      <c r="K9" s="813"/>
      <c r="L9" s="813"/>
      <c r="M9" s="813"/>
      <c r="N9" s="813"/>
      <c r="O9" s="813"/>
      <c r="P9" s="906" t="s">
        <v>180</v>
      </c>
      <c r="Q9" s="906" t="s">
        <v>38</v>
      </c>
      <c r="R9" s="906" t="s">
        <v>42</v>
      </c>
      <c r="S9" s="813"/>
      <c r="T9" s="813"/>
      <c r="U9" s="813"/>
      <c r="V9" s="813"/>
      <c r="W9" s="813"/>
      <c r="X9" s="813"/>
      <c r="Y9" s="906" t="s">
        <v>180</v>
      </c>
      <c r="Z9" s="906" t="s">
        <v>38</v>
      </c>
      <c r="AA9" s="906" t="s">
        <v>42</v>
      </c>
      <c r="AB9" s="712"/>
    </row>
    <row r="10" spans="1:28" s="10" customFormat="1" ht="45" customHeight="1">
      <c r="A10" s="971"/>
      <c r="B10" s="105"/>
      <c r="C10" s="813"/>
      <c r="D10" s="813"/>
      <c r="E10" s="813"/>
      <c r="F10" s="813"/>
      <c r="G10" s="813"/>
      <c r="H10" s="813"/>
      <c r="I10" s="813"/>
      <c r="J10" s="813"/>
      <c r="K10" s="813"/>
      <c r="L10" s="813"/>
      <c r="M10" s="813"/>
      <c r="N10" s="813"/>
      <c r="O10" s="813"/>
      <c r="P10" s="813"/>
      <c r="Q10" s="813"/>
      <c r="R10" s="813"/>
      <c r="S10" s="813"/>
      <c r="T10" s="813"/>
      <c r="U10" s="813"/>
      <c r="V10" s="813"/>
      <c r="W10" s="813"/>
      <c r="X10" s="813"/>
      <c r="Y10" s="813"/>
      <c r="Z10" s="813"/>
      <c r="AA10" s="813"/>
      <c r="AB10" s="712"/>
    </row>
    <row r="11" spans="1:28" s="10" customFormat="1" ht="45" customHeight="1">
      <c r="A11" s="963"/>
      <c r="B11" s="716"/>
      <c r="C11" s="814"/>
      <c r="D11" s="814"/>
      <c r="E11" s="814"/>
      <c r="F11" s="814"/>
      <c r="G11" s="814"/>
      <c r="H11" s="814"/>
      <c r="I11" s="814"/>
      <c r="J11" s="814"/>
      <c r="K11" s="814"/>
      <c r="L11" s="814"/>
      <c r="M11" s="814"/>
      <c r="N11" s="814"/>
      <c r="O11" s="814"/>
      <c r="P11" s="814"/>
      <c r="Q11" s="814"/>
      <c r="R11" s="814"/>
      <c r="S11" s="814"/>
      <c r="T11" s="814"/>
      <c r="U11" s="814"/>
      <c r="V11" s="814"/>
      <c r="W11" s="814"/>
      <c r="X11" s="814"/>
      <c r="Y11" s="814"/>
      <c r="Z11" s="814"/>
      <c r="AA11" s="814"/>
      <c r="AB11" s="712"/>
    </row>
    <row r="12" spans="1:28" s="648" customFormat="1" ht="17.25" customHeight="1">
      <c r="A12" s="644" t="s">
        <v>15</v>
      </c>
      <c r="B12" s="645" t="s">
        <v>16</v>
      </c>
      <c r="C12" s="646" t="s">
        <v>528</v>
      </c>
      <c r="D12" s="646">
        <v>2</v>
      </c>
      <c r="E12" s="646">
        <f t="shared" ref="E12:J12" si="0">D12+1</f>
        <v>3</v>
      </c>
      <c r="F12" s="646">
        <f t="shared" si="0"/>
        <v>4</v>
      </c>
      <c r="G12" s="646">
        <f t="shared" si="0"/>
        <v>5</v>
      </c>
      <c r="H12" s="646">
        <f t="shared" si="0"/>
        <v>6</v>
      </c>
      <c r="I12" s="646">
        <f t="shared" si="0"/>
        <v>7</v>
      </c>
      <c r="J12" s="646">
        <f t="shared" si="0"/>
        <v>8</v>
      </c>
      <c r="K12" s="646" t="s">
        <v>529</v>
      </c>
      <c r="L12" s="646">
        <v>10</v>
      </c>
      <c r="M12" s="646">
        <f t="shared" ref="M12:S12" si="1">L12+1</f>
        <v>11</v>
      </c>
      <c r="N12" s="646">
        <f t="shared" si="1"/>
        <v>12</v>
      </c>
      <c r="O12" s="646">
        <f t="shared" si="1"/>
        <v>13</v>
      </c>
      <c r="P12" s="646">
        <f t="shared" si="1"/>
        <v>14</v>
      </c>
      <c r="Q12" s="646">
        <f t="shared" si="1"/>
        <v>15</v>
      </c>
      <c r="R12" s="646">
        <f t="shared" si="1"/>
        <v>16</v>
      </c>
      <c r="S12" s="646">
        <f t="shared" si="1"/>
        <v>17</v>
      </c>
      <c r="T12" s="647" t="s">
        <v>530</v>
      </c>
      <c r="U12" s="647" t="s">
        <v>531</v>
      </c>
      <c r="V12" s="646" t="s">
        <v>532</v>
      </c>
      <c r="W12" s="646" t="s">
        <v>533</v>
      </c>
      <c r="X12" s="646" t="s">
        <v>534</v>
      </c>
      <c r="Y12" s="646" t="s">
        <v>535</v>
      </c>
      <c r="Z12" s="646" t="s">
        <v>536</v>
      </c>
      <c r="AA12" s="646" t="s">
        <v>537</v>
      </c>
      <c r="AB12" s="713"/>
    </row>
    <row r="13" spans="1:28" s="9" customFormat="1" ht="18.75">
      <c r="A13" s="580"/>
      <c r="B13" s="580" t="s">
        <v>45</v>
      </c>
      <c r="C13" s="639">
        <f>SUM(D13:H13)</f>
        <v>5702891.0131959999</v>
      </c>
      <c r="D13" s="639">
        <f>D14+D73+D74+D75+D76+D77+D78</f>
        <v>1365805.4705000001</v>
      </c>
      <c r="E13" s="639">
        <f>E14+E73+E74+E75+E76+E77+E78</f>
        <v>4303658.5426960001</v>
      </c>
      <c r="F13" s="639">
        <f>F14+F73+F74+F75+F76+F77+F78</f>
        <v>800</v>
      </c>
      <c r="G13" s="639">
        <f>G14+G73+G74+G75+G76+G77+G78</f>
        <v>1000</v>
      </c>
      <c r="H13" s="639">
        <f t="shared" ref="H13:H76" si="2">I13+J13</f>
        <v>31627</v>
      </c>
      <c r="I13" s="639">
        <f>I14+I73+I74+I75+I76+I77+I78</f>
        <v>0</v>
      </c>
      <c r="J13" s="639">
        <f>J14+J73+J74+J75+J76+J77+J78</f>
        <v>31627</v>
      </c>
      <c r="K13" s="639">
        <f t="shared" ref="K13:K76" si="3">SUM(L13:P13)+S13</f>
        <v>5224353.5718659991</v>
      </c>
      <c r="L13" s="639">
        <f>L14+L73+L74+L75+L76+L77+L78</f>
        <v>552319.97464000003</v>
      </c>
      <c r="M13" s="639">
        <f>M14+M73+M74+M75+M76+M77+M78</f>
        <v>4425533.3854459999</v>
      </c>
      <c r="N13" s="639">
        <f>N14+N73+N74+N75+N76+N77+N78</f>
        <v>0</v>
      </c>
      <c r="O13" s="639">
        <f>O14+O73+O74+O75+O76+O77+O78</f>
        <v>1000</v>
      </c>
      <c r="P13" s="639">
        <f t="shared" ref="P13:P76" si="4">Q13+R13</f>
        <v>180939.93429900002</v>
      </c>
      <c r="Q13" s="639">
        <f>Q14+Q73+Q74+Q75+Q76+Q77+Q78</f>
        <v>151906.45543500001</v>
      </c>
      <c r="R13" s="639">
        <f>R14+R73+R74+R75+R76+R77+R78</f>
        <v>29033.478864000001</v>
      </c>
      <c r="S13" s="639">
        <f>S14+S73+S74+S75+S76+S77+S78</f>
        <v>64560.277481000012</v>
      </c>
      <c r="T13" s="698">
        <f>IF(AND(C13&lt;&gt;0,K13&lt;&gt;0),K13/C13%,"")</f>
        <v>91.608862238070017</v>
      </c>
      <c r="U13" s="698">
        <f t="shared" ref="U13:AA28" si="5">IF(AND(D13&lt;&gt;0,L13&lt;&gt;0),L13/D13%,"")</f>
        <v>40.439139143131733</v>
      </c>
      <c r="V13" s="698">
        <f t="shared" si="5"/>
        <v>102.83188922961467</v>
      </c>
      <c r="W13" s="698" t="str">
        <f t="shared" si="5"/>
        <v/>
      </c>
      <c r="X13" s="698">
        <f t="shared" si="5"/>
        <v>100</v>
      </c>
      <c r="Y13" s="698">
        <f t="shared" si="5"/>
        <v>572.10590412938325</v>
      </c>
      <c r="Z13" s="698" t="str">
        <f t="shared" si="5"/>
        <v/>
      </c>
      <c r="AA13" s="698">
        <f t="shared" si="5"/>
        <v>91.799661251462368</v>
      </c>
      <c r="AB13" s="710"/>
    </row>
    <row r="14" spans="1:28" s="32" customFormat="1" ht="18.75">
      <c r="A14" s="582" t="s">
        <v>32</v>
      </c>
      <c r="B14" s="583" t="s">
        <v>344</v>
      </c>
      <c r="C14" s="641">
        <f>SUM(D14:H14)</f>
        <v>2553182.0131959999</v>
      </c>
      <c r="D14" s="641">
        <f>SUM(D15:D72)</f>
        <v>1365805.4705000001</v>
      </c>
      <c r="E14" s="641">
        <f>SUM(E15:E72)</f>
        <v>1155749.5426960001</v>
      </c>
      <c r="F14" s="641">
        <f>SUM(F15:F72)</f>
        <v>0</v>
      </c>
      <c r="G14" s="641">
        <f>SUM(G15:G72)</f>
        <v>0</v>
      </c>
      <c r="H14" s="641">
        <f t="shared" si="2"/>
        <v>31627</v>
      </c>
      <c r="I14" s="641">
        <f>SUM(I15:I72)</f>
        <v>0</v>
      </c>
      <c r="J14" s="641">
        <f>SUM(J15:J72)</f>
        <v>31627</v>
      </c>
      <c r="K14" s="641">
        <f t="shared" si="3"/>
        <v>1897104.669766</v>
      </c>
      <c r="L14" s="641">
        <f>SUM(L15:L72)</f>
        <v>552319.97464000003</v>
      </c>
      <c r="M14" s="641">
        <f>SUM(M15:M72)</f>
        <v>1099284.4833460001</v>
      </c>
      <c r="N14" s="641">
        <f>SUM(N15:N72)</f>
        <v>0</v>
      </c>
      <c r="O14" s="641">
        <f>SUM(O15:O72)</f>
        <v>0</v>
      </c>
      <c r="P14" s="641">
        <f t="shared" si="4"/>
        <v>180939.93429900002</v>
      </c>
      <c r="Q14" s="641">
        <f>SUM(Q15:Q72)</f>
        <v>151906.45543500001</v>
      </c>
      <c r="R14" s="641">
        <f>SUM(R15:R72)</f>
        <v>29033.478864000001</v>
      </c>
      <c r="S14" s="641">
        <f>SUM(S15:S72)</f>
        <v>64560.277481000012</v>
      </c>
      <c r="T14" s="699">
        <f t="shared" ref="T14:AA58" si="6">IF(AND(C14&lt;&gt;0,K14&lt;&gt;0),K14/C14%,"")</f>
        <v>74.303542009966577</v>
      </c>
      <c r="U14" s="699">
        <f t="shared" si="5"/>
        <v>40.439139143131733</v>
      </c>
      <c r="V14" s="699">
        <f t="shared" si="5"/>
        <v>95.114420792390305</v>
      </c>
      <c r="W14" s="699" t="str">
        <f t="shared" si="5"/>
        <v/>
      </c>
      <c r="X14" s="699" t="str">
        <f t="shared" si="5"/>
        <v/>
      </c>
      <c r="Y14" s="699">
        <f t="shared" si="5"/>
        <v>572.10590412938325</v>
      </c>
      <c r="Z14" s="699" t="str">
        <f t="shared" si="5"/>
        <v/>
      </c>
      <c r="AA14" s="699">
        <f t="shared" si="5"/>
        <v>91.799661251462368</v>
      </c>
      <c r="AB14" s="709"/>
    </row>
    <row r="15" spans="1:28" s="9" customFormat="1" ht="18.75">
      <c r="A15" s="584">
        <v>1</v>
      </c>
      <c r="B15" s="23" t="s">
        <v>596</v>
      </c>
      <c r="C15" s="642">
        <f t="shared" ref="C15:C78" si="7">SUM(D15:H15)</f>
        <v>9878.7540000000008</v>
      </c>
      <c r="D15" s="696"/>
      <c r="E15" s="642">
        <f>9583+295.754-J15</f>
        <v>9878.7540000000008</v>
      </c>
      <c r="F15" s="642">
        <v>0</v>
      </c>
      <c r="G15" s="642">
        <v>0</v>
      </c>
      <c r="H15" s="642">
        <f t="shared" si="2"/>
        <v>0</v>
      </c>
      <c r="I15" s="696"/>
      <c r="J15" s="704">
        <v>0</v>
      </c>
      <c r="K15" s="642">
        <f>SUM(L15:P15)+S15</f>
        <v>10089.198259999999</v>
      </c>
      <c r="L15" s="696"/>
      <c r="M15" s="642">
        <v>9754.9691249999996</v>
      </c>
      <c r="N15" s="642">
        <v>0</v>
      </c>
      <c r="O15" s="642">
        <v>0</v>
      </c>
      <c r="P15" s="642">
        <f t="shared" si="4"/>
        <v>0</v>
      </c>
      <c r="Q15" s="642"/>
      <c r="R15" s="642">
        <f t="shared" ref="R15:R72" si="8">AB15</f>
        <v>0</v>
      </c>
      <c r="S15" s="642">
        <v>334.22913499999999</v>
      </c>
      <c r="T15" s="700">
        <f t="shared" si="6"/>
        <v>102.13027128724937</v>
      </c>
      <c r="U15" s="700" t="str">
        <f t="shared" si="5"/>
        <v/>
      </c>
      <c r="V15" s="700">
        <f t="shared" si="5"/>
        <v>98.746958624539076</v>
      </c>
      <c r="W15" s="700" t="str">
        <f t="shared" si="5"/>
        <v/>
      </c>
      <c r="X15" s="700" t="str">
        <f t="shared" si="5"/>
        <v/>
      </c>
      <c r="Y15" s="700" t="str">
        <f t="shared" si="5"/>
        <v/>
      </c>
      <c r="Z15" s="700" t="str">
        <f t="shared" si="5"/>
        <v/>
      </c>
      <c r="AA15" s="700" t="str">
        <f t="shared" si="5"/>
        <v/>
      </c>
      <c r="AB15" s="710"/>
    </row>
    <row r="16" spans="1:28" s="9" customFormat="1" ht="18.75">
      <c r="A16" s="584">
        <v>2</v>
      </c>
      <c r="B16" s="23" t="s">
        <v>597</v>
      </c>
      <c r="C16" s="642">
        <f t="shared" si="7"/>
        <v>22039.468000000001</v>
      </c>
      <c r="D16" s="642">
        <f>3000</f>
        <v>3000</v>
      </c>
      <c r="E16" s="642">
        <f>16922+2117.468-J16</f>
        <v>19039.468000000001</v>
      </c>
      <c r="F16" s="642">
        <v>0</v>
      </c>
      <c r="G16" s="642">
        <v>0</v>
      </c>
      <c r="H16" s="642">
        <f t="shared" si="2"/>
        <v>0</v>
      </c>
      <c r="I16" s="642"/>
      <c r="J16" s="704"/>
      <c r="K16" s="642">
        <f t="shared" si="3"/>
        <v>22023.452017</v>
      </c>
      <c r="L16" s="642">
        <v>3494.0160000000001</v>
      </c>
      <c r="M16" s="642">
        <v>18338.743505999999</v>
      </c>
      <c r="N16" s="642"/>
      <c r="O16" s="642"/>
      <c r="P16" s="642">
        <f t="shared" si="4"/>
        <v>0</v>
      </c>
      <c r="Q16" s="642"/>
      <c r="R16" s="642">
        <f t="shared" si="8"/>
        <v>0</v>
      </c>
      <c r="S16" s="642">
        <v>190.692511</v>
      </c>
      <c r="T16" s="700">
        <f t="shared" si="6"/>
        <v>99.927330446451791</v>
      </c>
      <c r="U16" s="700">
        <f t="shared" si="5"/>
        <v>116.46720000000001</v>
      </c>
      <c r="V16" s="700">
        <f t="shared" si="5"/>
        <v>96.319621462112281</v>
      </c>
      <c r="W16" s="700" t="str">
        <f t="shared" si="5"/>
        <v/>
      </c>
      <c r="X16" s="700" t="str">
        <f t="shared" si="5"/>
        <v/>
      </c>
      <c r="Y16" s="700" t="str">
        <f t="shared" si="5"/>
        <v/>
      </c>
      <c r="Z16" s="700" t="str">
        <f t="shared" si="5"/>
        <v/>
      </c>
      <c r="AA16" s="700" t="str">
        <f t="shared" si="5"/>
        <v/>
      </c>
      <c r="AB16" s="710"/>
    </row>
    <row r="17" spans="1:28" s="9" customFormat="1" ht="18.75">
      <c r="A17" s="584">
        <v>3</v>
      </c>
      <c r="B17" s="23" t="s">
        <v>599</v>
      </c>
      <c r="C17" s="642">
        <f t="shared" si="7"/>
        <v>377453.14150000003</v>
      </c>
      <c r="D17" s="642">
        <v>271908.87050000002</v>
      </c>
      <c r="E17" s="642">
        <f>83265.578+22278.693-J17</f>
        <v>89124.270999999993</v>
      </c>
      <c r="F17" s="642">
        <v>0</v>
      </c>
      <c r="G17" s="642">
        <v>0</v>
      </c>
      <c r="H17" s="642">
        <f t="shared" si="2"/>
        <v>16420</v>
      </c>
      <c r="I17" s="642"/>
      <c r="J17" s="704">
        <f>15213+1207</f>
        <v>16420</v>
      </c>
      <c r="K17" s="642">
        <f>SUM(L17:P17)+S17</f>
        <v>267430.20987100003</v>
      </c>
      <c r="L17" s="642">
        <f>144140.342928</f>
        <v>144140.342928</v>
      </c>
      <c r="M17" s="642">
        <f>72684.624107+300+572.32+833.490468+2500+4171.72519</f>
        <v>81062.159765000004</v>
      </c>
      <c r="N17" s="642">
        <v>0</v>
      </c>
      <c r="O17" s="642">
        <v>0</v>
      </c>
      <c r="P17" s="642">
        <f t="shared" si="4"/>
        <v>39148.521625000001</v>
      </c>
      <c r="Q17" s="642">
        <f>16968.869+9149.167</f>
        <v>26118.036</v>
      </c>
      <c r="R17" s="642">
        <f t="shared" si="8"/>
        <v>13030.485624999999</v>
      </c>
      <c r="S17" s="642">
        <v>3079.1855529999998</v>
      </c>
      <c r="T17" s="700">
        <f t="shared" si="6"/>
        <v>70.851234356728753</v>
      </c>
      <c r="U17" s="700">
        <f t="shared" si="5"/>
        <v>53.010533515492646</v>
      </c>
      <c r="V17" s="700">
        <f t="shared" si="5"/>
        <v>90.95407890068465</v>
      </c>
      <c r="W17" s="700" t="str">
        <f t="shared" si="5"/>
        <v/>
      </c>
      <c r="X17" s="700" t="str">
        <f t="shared" si="5"/>
        <v/>
      </c>
      <c r="Y17" s="700">
        <f t="shared" si="5"/>
        <v>238.41974193057248</v>
      </c>
      <c r="Z17" s="700" t="str">
        <f t="shared" si="5"/>
        <v/>
      </c>
      <c r="AA17" s="700">
        <f t="shared" si="5"/>
        <v>79.357403319123023</v>
      </c>
      <c r="AB17" s="710">
        <f>12883.800625+146.685</f>
        <v>13030.485624999999</v>
      </c>
    </row>
    <row r="18" spans="1:28" s="9" customFormat="1" ht="18.75">
      <c r="A18" s="584">
        <v>4</v>
      </c>
      <c r="B18" s="23" t="s">
        <v>600</v>
      </c>
      <c r="C18" s="642">
        <f t="shared" si="7"/>
        <v>16132.204</v>
      </c>
      <c r="D18" s="642"/>
      <c r="E18" s="642">
        <f>12790+3342.204-J18</f>
        <v>14922.204</v>
      </c>
      <c r="F18" s="642">
        <v>0</v>
      </c>
      <c r="G18" s="642">
        <v>0</v>
      </c>
      <c r="H18" s="642">
        <f t="shared" si="2"/>
        <v>1210</v>
      </c>
      <c r="I18" s="642"/>
      <c r="J18" s="704">
        <v>1210</v>
      </c>
      <c r="K18" s="642">
        <f t="shared" si="3"/>
        <v>14443.263954</v>
      </c>
      <c r="L18" s="642"/>
      <c r="M18" s="642">
        <v>13433.796944</v>
      </c>
      <c r="N18" s="642"/>
      <c r="O18" s="642"/>
      <c r="P18" s="642">
        <f t="shared" si="4"/>
        <v>1009.46701</v>
      </c>
      <c r="Q18" s="642"/>
      <c r="R18" s="642">
        <f t="shared" si="8"/>
        <v>1009.46701</v>
      </c>
      <c r="S18" s="642">
        <v>0</v>
      </c>
      <c r="T18" s="700">
        <f t="shared" si="6"/>
        <v>89.530630495374353</v>
      </c>
      <c r="U18" s="700" t="str">
        <f t="shared" si="5"/>
        <v/>
      </c>
      <c r="V18" s="700">
        <f t="shared" si="5"/>
        <v>90.025554830908362</v>
      </c>
      <c r="W18" s="700" t="str">
        <f t="shared" si="5"/>
        <v/>
      </c>
      <c r="X18" s="700" t="str">
        <f t="shared" si="5"/>
        <v/>
      </c>
      <c r="Y18" s="700">
        <f t="shared" si="5"/>
        <v>83.427025619834708</v>
      </c>
      <c r="Z18" s="700" t="str">
        <f t="shared" si="5"/>
        <v/>
      </c>
      <c r="AA18" s="700">
        <f t="shared" si="5"/>
        <v>83.427025619834708</v>
      </c>
      <c r="AB18" s="710">
        <v>1009.46701</v>
      </c>
    </row>
    <row r="19" spans="1:28" s="9" customFormat="1" ht="18.75">
      <c r="A19" s="584">
        <v>5</v>
      </c>
      <c r="B19" s="23" t="s">
        <v>602</v>
      </c>
      <c r="C19" s="642">
        <f t="shared" si="7"/>
        <v>9097.7759999999998</v>
      </c>
      <c r="D19" s="642"/>
      <c r="E19" s="642">
        <f>8696+401.776</f>
        <v>9097.7759999999998</v>
      </c>
      <c r="F19" s="642">
        <v>0</v>
      </c>
      <c r="G19" s="642">
        <v>0</v>
      </c>
      <c r="H19" s="642">
        <f t="shared" si="2"/>
        <v>0</v>
      </c>
      <c r="I19" s="642"/>
      <c r="J19" s="704">
        <v>0</v>
      </c>
      <c r="K19" s="642">
        <f t="shared" si="3"/>
        <v>8874.2176999999992</v>
      </c>
      <c r="L19" s="642"/>
      <c r="M19" s="642">
        <v>8874.2176999999992</v>
      </c>
      <c r="N19" s="642">
        <v>0</v>
      </c>
      <c r="O19" s="642">
        <v>0</v>
      </c>
      <c r="P19" s="642">
        <f t="shared" si="4"/>
        <v>0</v>
      </c>
      <c r="Q19" s="642">
        <v>0</v>
      </c>
      <c r="R19" s="642">
        <f t="shared" si="8"/>
        <v>0</v>
      </c>
      <c r="S19" s="642">
        <v>0</v>
      </c>
      <c r="T19" s="700">
        <f t="shared" si="6"/>
        <v>97.542714834922279</v>
      </c>
      <c r="U19" s="700" t="str">
        <f t="shared" si="5"/>
        <v/>
      </c>
      <c r="V19" s="700">
        <f t="shared" si="5"/>
        <v>97.542714834922279</v>
      </c>
      <c r="W19" s="700" t="str">
        <f t="shared" si="5"/>
        <v/>
      </c>
      <c r="X19" s="700" t="str">
        <f t="shared" si="5"/>
        <v/>
      </c>
      <c r="Y19" s="700" t="str">
        <f t="shared" si="5"/>
        <v/>
      </c>
      <c r="Z19" s="700" t="str">
        <f t="shared" si="5"/>
        <v/>
      </c>
      <c r="AA19" s="700" t="str">
        <f t="shared" si="5"/>
        <v/>
      </c>
      <c r="AB19" s="710"/>
    </row>
    <row r="20" spans="1:28" s="9" customFormat="1" ht="18.75">
      <c r="A20" s="584">
        <v>6</v>
      </c>
      <c r="B20" s="23" t="s">
        <v>603</v>
      </c>
      <c r="C20" s="642">
        <f t="shared" si="7"/>
        <v>36418.619055000003</v>
      </c>
      <c r="D20" s="642">
        <f>10500</f>
        <v>10500</v>
      </c>
      <c r="E20" s="642">
        <f>24408+1510.619055</f>
        <v>25918.619054999999</v>
      </c>
      <c r="F20" s="642">
        <v>0</v>
      </c>
      <c r="G20" s="642">
        <v>0</v>
      </c>
      <c r="H20" s="642">
        <f t="shared" si="2"/>
        <v>0</v>
      </c>
      <c r="I20" s="642"/>
      <c r="J20" s="704">
        <v>0</v>
      </c>
      <c r="K20" s="642">
        <f t="shared" si="3"/>
        <v>24105.130073999997</v>
      </c>
      <c r="L20" s="642">
        <f>324.962763</f>
        <v>324.962763</v>
      </c>
      <c r="M20" s="642">
        <v>23595.620137999998</v>
      </c>
      <c r="N20" s="642">
        <v>0</v>
      </c>
      <c r="O20" s="642">
        <v>0</v>
      </c>
      <c r="P20" s="642">
        <f t="shared" si="4"/>
        <v>0</v>
      </c>
      <c r="Q20" s="642"/>
      <c r="R20" s="642">
        <f t="shared" si="8"/>
        <v>0</v>
      </c>
      <c r="S20" s="642">
        <v>184.54717299999999</v>
      </c>
      <c r="T20" s="700">
        <f t="shared" si="6"/>
        <v>66.189028303341289</v>
      </c>
      <c r="U20" s="700">
        <f t="shared" si="5"/>
        <v>3.0948834571428572</v>
      </c>
      <c r="V20" s="700">
        <f t="shared" si="5"/>
        <v>91.037335314545359</v>
      </c>
      <c r="W20" s="700" t="str">
        <f t="shared" si="5"/>
        <v/>
      </c>
      <c r="X20" s="700" t="str">
        <f t="shared" si="5"/>
        <v/>
      </c>
      <c r="Y20" s="700" t="str">
        <f t="shared" si="5"/>
        <v/>
      </c>
      <c r="Z20" s="700" t="str">
        <f t="shared" si="5"/>
        <v/>
      </c>
      <c r="AA20" s="700" t="str">
        <f t="shared" si="5"/>
        <v/>
      </c>
      <c r="AB20" s="710"/>
    </row>
    <row r="21" spans="1:28" s="9" customFormat="1" ht="18.75">
      <c r="A21" s="584">
        <v>7</v>
      </c>
      <c r="B21" s="23" t="s">
        <v>604</v>
      </c>
      <c r="C21" s="642">
        <f t="shared" si="7"/>
        <v>22348.213</v>
      </c>
      <c r="D21" s="642"/>
      <c r="E21" s="642">
        <f>15463.086+6885.127</f>
        <v>22348.213</v>
      </c>
      <c r="F21" s="642">
        <v>0</v>
      </c>
      <c r="G21" s="642">
        <v>0</v>
      </c>
      <c r="H21" s="642">
        <f t="shared" si="2"/>
        <v>0</v>
      </c>
      <c r="I21" s="642"/>
      <c r="J21" s="704">
        <v>0</v>
      </c>
      <c r="K21" s="642">
        <f t="shared" si="3"/>
        <v>23382.456177</v>
      </c>
      <c r="L21" s="642">
        <f>277.343216</f>
        <v>277.34321599999998</v>
      </c>
      <c r="M21" s="642">
        <v>21312.225165</v>
      </c>
      <c r="N21" s="642">
        <v>0</v>
      </c>
      <c r="O21" s="642">
        <v>0</v>
      </c>
      <c r="P21" s="642">
        <f t="shared" si="4"/>
        <v>0</v>
      </c>
      <c r="Q21" s="642"/>
      <c r="R21" s="642">
        <f t="shared" si="8"/>
        <v>0</v>
      </c>
      <c r="S21" s="642">
        <v>1792.887796</v>
      </c>
      <c r="T21" s="700">
        <f t="shared" si="6"/>
        <v>104.62785627199813</v>
      </c>
      <c r="U21" s="700" t="str">
        <f t="shared" si="5"/>
        <v/>
      </c>
      <c r="V21" s="700">
        <f t="shared" si="5"/>
        <v>95.364337027752512</v>
      </c>
      <c r="W21" s="700" t="str">
        <f t="shared" si="5"/>
        <v/>
      </c>
      <c r="X21" s="700" t="str">
        <f t="shared" si="5"/>
        <v/>
      </c>
      <c r="Y21" s="700" t="str">
        <f t="shared" si="5"/>
        <v/>
      </c>
      <c r="Z21" s="700" t="str">
        <f t="shared" si="5"/>
        <v/>
      </c>
      <c r="AA21" s="700" t="str">
        <f t="shared" si="5"/>
        <v/>
      </c>
      <c r="AB21" s="710"/>
    </row>
    <row r="22" spans="1:28" s="9" customFormat="1" ht="18.75">
      <c r="A22" s="584">
        <v>8</v>
      </c>
      <c r="B22" s="23" t="s">
        <v>605</v>
      </c>
      <c r="C22" s="642">
        <f t="shared" si="7"/>
        <v>10575.975339000001</v>
      </c>
      <c r="D22" s="642">
        <f>500</f>
        <v>500</v>
      </c>
      <c r="E22" s="642">
        <f>9697.49309+378.482249</f>
        <v>10075.975339000001</v>
      </c>
      <c r="F22" s="642">
        <v>0</v>
      </c>
      <c r="G22" s="642">
        <v>0</v>
      </c>
      <c r="H22" s="642">
        <f t="shared" si="2"/>
        <v>0</v>
      </c>
      <c r="I22" s="642"/>
      <c r="J22" s="704">
        <v>0</v>
      </c>
      <c r="K22" s="642">
        <f t="shared" si="3"/>
        <v>9613.690485000001</v>
      </c>
      <c r="L22" s="642"/>
      <c r="M22" s="642">
        <v>9399.5254370000002</v>
      </c>
      <c r="N22" s="642">
        <v>0</v>
      </c>
      <c r="O22" s="642">
        <v>0</v>
      </c>
      <c r="P22" s="642">
        <f t="shared" si="4"/>
        <v>0</v>
      </c>
      <c r="Q22" s="642"/>
      <c r="R22" s="642">
        <f t="shared" si="8"/>
        <v>0</v>
      </c>
      <c r="S22" s="642">
        <v>214.16504800000001</v>
      </c>
      <c r="T22" s="700">
        <f t="shared" si="6"/>
        <v>90.901218817601873</v>
      </c>
      <c r="U22" s="700" t="str">
        <f t="shared" si="5"/>
        <v/>
      </c>
      <c r="V22" s="700">
        <f t="shared" si="5"/>
        <v>93.286506970876189</v>
      </c>
      <c r="W22" s="700" t="str">
        <f t="shared" si="5"/>
        <v/>
      </c>
      <c r="X22" s="700" t="str">
        <f t="shared" si="5"/>
        <v/>
      </c>
      <c r="Y22" s="700" t="str">
        <f t="shared" si="5"/>
        <v/>
      </c>
      <c r="Z22" s="700" t="str">
        <f t="shared" si="5"/>
        <v/>
      </c>
      <c r="AA22" s="700" t="str">
        <f t="shared" si="5"/>
        <v/>
      </c>
      <c r="AB22" s="710"/>
    </row>
    <row r="23" spans="1:28" s="9" customFormat="1" ht="18.75">
      <c r="A23" s="584">
        <v>9</v>
      </c>
      <c r="B23" s="23" t="s">
        <v>606</v>
      </c>
      <c r="C23" s="642">
        <f t="shared" si="7"/>
        <v>18256.127</v>
      </c>
      <c r="D23" s="642">
        <f>4545.393-1798</f>
        <v>2747.393</v>
      </c>
      <c r="E23" s="642">
        <f>14753+755.734</f>
        <v>15508.734</v>
      </c>
      <c r="F23" s="642">
        <v>0</v>
      </c>
      <c r="G23" s="642">
        <v>0</v>
      </c>
      <c r="H23" s="642">
        <f t="shared" si="2"/>
        <v>0</v>
      </c>
      <c r="I23" s="642"/>
      <c r="J23" s="704">
        <v>0</v>
      </c>
      <c r="K23" s="642">
        <f t="shared" si="3"/>
        <v>17869.147164000002</v>
      </c>
      <c r="L23" s="642">
        <f>2771.5386</f>
        <v>2771.5385999999999</v>
      </c>
      <c r="M23" s="642">
        <v>14816.305566000001</v>
      </c>
      <c r="N23" s="642">
        <v>0</v>
      </c>
      <c r="O23" s="642">
        <v>0</v>
      </c>
      <c r="P23" s="642">
        <f t="shared" si="4"/>
        <v>0</v>
      </c>
      <c r="Q23" s="642"/>
      <c r="R23" s="642">
        <f t="shared" si="8"/>
        <v>0</v>
      </c>
      <c r="S23" s="642">
        <v>281.302998</v>
      </c>
      <c r="T23" s="700">
        <f t="shared" si="6"/>
        <v>97.880274189591262</v>
      </c>
      <c r="U23" s="700">
        <f t="shared" si="5"/>
        <v>100.87885497269593</v>
      </c>
      <c r="V23" s="700">
        <f t="shared" si="5"/>
        <v>95.535235603370339</v>
      </c>
      <c r="W23" s="700" t="str">
        <f t="shared" si="5"/>
        <v/>
      </c>
      <c r="X23" s="700" t="str">
        <f t="shared" si="5"/>
        <v/>
      </c>
      <c r="Y23" s="700" t="str">
        <f t="shared" si="5"/>
        <v/>
      </c>
      <c r="Z23" s="700" t="str">
        <f t="shared" si="5"/>
        <v/>
      </c>
      <c r="AA23" s="700" t="str">
        <f t="shared" si="5"/>
        <v/>
      </c>
      <c r="AB23" s="710"/>
    </row>
    <row r="24" spans="1:28" s="9" customFormat="1" ht="18.75">
      <c r="A24" s="584">
        <v>10</v>
      </c>
      <c r="B24" s="23" t="s">
        <v>607</v>
      </c>
      <c r="C24" s="642">
        <f t="shared" si="7"/>
        <v>870443.28399999999</v>
      </c>
      <c r="D24" s="642">
        <f>875380.5-26897</f>
        <v>848483.5</v>
      </c>
      <c r="E24" s="642">
        <f>12035.824+9923.96</f>
        <v>21959.784</v>
      </c>
      <c r="F24" s="642">
        <v>0</v>
      </c>
      <c r="G24" s="642">
        <v>0</v>
      </c>
      <c r="H24" s="642">
        <f t="shared" si="2"/>
        <v>0</v>
      </c>
      <c r="I24" s="642"/>
      <c r="J24" s="704">
        <v>0</v>
      </c>
      <c r="K24" s="642">
        <f t="shared" si="3"/>
        <v>154473.02919299999</v>
      </c>
      <c r="L24" s="642">
        <f>133235.173396</f>
        <v>133235.173396</v>
      </c>
      <c r="M24" s="642">
        <v>21237.855797</v>
      </c>
      <c r="N24" s="642">
        <v>0</v>
      </c>
      <c r="O24" s="642">
        <v>0</v>
      </c>
      <c r="P24" s="642">
        <f t="shared" si="4"/>
        <v>0</v>
      </c>
      <c r="Q24" s="642"/>
      <c r="R24" s="642">
        <f t="shared" si="8"/>
        <v>0</v>
      </c>
      <c r="S24" s="642">
        <v>0</v>
      </c>
      <c r="T24" s="700">
        <f t="shared" si="6"/>
        <v>17.746478378595889</v>
      </c>
      <c r="U24" s="700">
        <f t="shared" si="5"/>
        <v>15.702741820671823</v>
      </c>
      <c r="V24" s="700">
        <f t="shared" si="5"/>
        <v>96.712498615651228</v>
      </c>
      <c r="W24" s="700" t="str">
        <f t="shared" si="5"/>
        <v/>
      </c>
      <c r="X24" s="700" t="str">
        <f t="shared" si="5"/>
        <v/>
      </c>
      <c r="Y24" s="700" t="str">
        <f t="shared" si="5"/>
        <v/>
      </c>
      <c r="Z24" s="700" t="str">
        <f t="shared" si="5"/>
        <v/>
      </c>
      <c r="AA24" s="700" t="str">
        <f t="shared" si="5"/>
        <v/>
      </c>
      <c r="AB24" s="710"/>
    </row>
    <row r="25" spans="1:28" s="9" customFormat="1" ht="18.75">
      <c r="A25" s="584">
        <v>11</v>
      </c>
      <c r="B25" s="23" t="s">
        <v>608</v>
      </c>
      <c r="C25" s="642">
        <f t="shared" si="7"/>
        <v>341721.13958900003</v>
      </c>
      <c r="D25" s="642">
        <f>48163.362-4635</f>
        <v>43528.362000000001</v>
      </c>
      <c r="E25" s="642">
        <f>284499.904+13692.873589</f>
        <v>298192.777589</v>
      </c>
      <c r="F25" s="642">
        <v>0</v>
      </c>
      <c r="G25" s="642">
        <v>0</v>
      </c>
      <c r="H25" s="642">
        <f t="shared" si="2"/>
        <v>0</v>
      </c>
      <c r="I25" s="642"/>
      <c r="J25" s="704">
        <v>0</v>
      </c>
      <c r="K25" s="642">
        <f t="shared" si="3"/>
        <v>385157.62703900004</v>
      </c>
      <c r="L25" s="642">
        <v>75650.167367000002</v>
      </c>
      <c r="M25" s="642">
        <v>293633.96012900001</v>
      </c>
      <c r="N25" s="642">
        <v>0</v>
      </c>
      <c r="O25" s="642">
        <v>0</v>
      </c>
      <c r="P25" s="642">
        <f t="shared" si="4"/>
        <v>0</v>
      </c>
      <c r="Q25" s="642"/>
      <c r="R25" s="642">
        <f t="shared" si="8"/>
        <v>0</v>
      </c>
      <c r="S25" s="642">
        <v>15873.499543</v>
      </c>
      <c r="T25" s="700">
        <f t="shared" si="6"/>
        <v>112.71109171128323</v>
      </c>
      <c r="U25" s="700">
        <f t="shared" si="5"/>
        <v>173.79511631289964</v>
      </c>
      <c r="V25" s="700">
        <f t="shared" si="5"/>
        <v>98.471184481106562</v>
      </c>
      <c r="W25" s="700" t="str">
        <f t="shared" si="5"/>
        <v/>
      </c>
      <c r="X25" s="700" t="str">
        <f t="shared" si="5"/>
        <v/>
      </c>
      <c r="Y25" s="700" t="str">
        <f t="shared" si="5"/>
        <v/>
      </c>
      <c r="Z25" s="700" t="str">
        <f t="shared" si="5"/>
        <v/>
      </c>
      <c r="AA25" s="700" t="str">
        <f t="shared" si="5"/>
        <v/>
      </c>
      <c r="AB25" s="710"/>
    </row>
    <row r="26" spans="1:28" s="9" customFormat="1" ht="18.75">
      <c r="A26" s="584">
        <v>12</v>
      </c>
      <c r="B26" s="23" t="s">
        <v>609</v>
      </c>
      <c r="C26" s="642">
        <f t="shared" si="7"/>
        <v>230748.81266499998</v>
      </c>
      <c r="D26" s="642">
        <f>38369.145+986</f>
        <v>39355.144999999997</v>
      </c>
      <c r="E26" s="642">
        <f>162480.626348+28913.041317</f>
        <v>191393.66766499999</v>
      </c>
      <c r="F26" s="642">
        <v>0</v>
      </c>
      <c r="G26" s="642">
        <v>0</v>
      </c>
      <c r="H26" s="642">
        <f t="shared" si="2"/>
        <v>0</v>
      </c>
      <c r="I26" s="642">
        <v>0</v>
      </c>
      <c r="J26" s="704">
        <v>0</v>
      </c>
      <c r="K26" s="642">
        <f t="shared" si="3"/>
        <v>232604.76393800002</v>
      </c>
      <c r="L26" s="642">
        <f>38914.415611</f>
        <v>38914.415610999997</v>
      </c>
      <c r="M26" s="642">
        <v>186978.02782600001</v>
      </c>
      <c r="N26" s="642">
        <v>0</v>
      </c>
      <c r="O26" s="642">
        <v>0</v>
      </c>
      <c r="P26" s="642">
        <f t="shared" si="4"/>
        <v>0</v>
      </c>
      <c r="Q26" s="642"/>
      <c r="R26" s="642">
        <f t="shared" si="8"/>
        <v>0</v>
      </c>
      <c r="S26" s="642">
        <v>6712.3205010000001</v>
      </c>
      <c r="T26" s="700">
        <f t="shared" si="6"/>
        <v>100.80431671633106</v>
      </c>
      <c r="U26" s="700">
        <f t="shared" si="5"/>
        <v>98.880122563390373</v>
      </c>
      <c r="V26" s="700">
        <f t="shared" si="5"/>
        <v>97.692901811815034</v>
      </c>
      <c r="W26" s="700" t="str">
        <f t="shared" si="5"/>
        <v/>
      </c>
      <c r="X26" s="700" t="str">
        <f t="shared" si="5"/>
        <v/>
      </c>
      <c r="Y26" s="700" t="str">
        <f t="shared" si="5"/>
        <v/>
      </c>
      <c r="Z26" s="700" t="str">
        <f t="shared" si="5"/>
        <v/>
      </c>
      <c r="AA26" s="700" t="str">
        <f t="shared" si="5"/>
        <v/>
      </c>
      <c r="AB26" s="710"/>
    </row>
    <row r="27" spans="1:28" s="9" customFormat="1" ht="18.75">
      <c r="A27" s="584">
        <v>13</v>
      </c>
      <c r="B27" s="23" t="s">
        <v>610</v>
      </c>
      <c r="C27" s="642">
        <f t="shared" si="7"/>
        <v>109959.66158900001</v>
      </c>
      <c r="D27" s="642">
        <f>134.1</f>
        <v>134.1</v>
      </c>
      <c r="E27" s="642">
        <f>77685.065589+32140.496-J27</f>
        <v>102918.561589</v>
      </c>
      <c r="F27" s="642">
        <v>0</v>
      </c>
      <c r="G27" s="642">
        <v>0</v>
      </c>
      <c r="H27" s="642">
        <f t="shared" si="2"/>
        <v>6907</v>
      </c>
      <c r="I27" s="642"/>
      <c r="J27" s="704">
        <f>3767+640+2500</f>
        <v>6907</v>
      </c>
      <c r="K27" s="642">
        <f t="shared" si="3"/>
        <v>106120.108761</v>
      </c>
      <c r="L27" s="642">
        <v>7623.748509</v>
      </c>
      <c r="M27" s="642">
        <f>92224.454423-2472.812-503.7983-1860.579829</f>
        <v>87387.264294000008</v>
      </c>
      <c r="N27" s="642">
        <v>0</v>
      </c>
      <c r="O27" s="642">
        <v>0</v>
      </c>
      <c r="P27" s="642">
        <f t="shared" si="4"/>
        <v>4837.1901290000005</v>
      </c>
      <c r="Q27" s="642"/>
      <c r="R27" s="642">
        <f t="shared" si="8"/>
        <v>4837.1901290000005</v>
      </c>
      <c r="S27" s="642">
        <v>6271.9058290000003</v>
      </c>
      <c r="T27" s="700">
        <f t="shared" si="6"/>
        <v>96.50821694745548</v>
      </c>
      <c r="U27" s="700">
        <f t="shared" si="5"/>
        <v>5685.1219306487701</v>
      </c>
      <c r="V27" s="700">
        <f t="shared" si="5"/>
        <v>84.909138783902335</v>
      </c>
      <c r="W27" s="700" t="str">
        <f t="shared" si="5"/>
        <v/>
      </c>
      <c r="X27" s="700" t="str">
        <f t="shared" si="5"/>
        <v/>
      </c>
      <c r="Y27" s="700">
        <f t="shared" si="5"/>
        <v>70.033156638193148</v>
      </c>
      <c r="Z27" s="700" t="str">
        <f t="shared" si="5"/>
        <v/>
      </c>
      <c r="AA27" s="700">
        <f t="shared" si="5"/>
        <v>70.033156638193148</v>
      </c>
      <c r="AB27" s="710">
        <f>1860.579829+2472.812+503.7983</f>
        <v>4837.1901290000005</v>
      </c>
    </row>
    <row r="28" spans="1:28" s="9" customFormat="1" ht="18.75">
      <c r="A28" s="584">
        <v>14</v>
      </c>
      <c r="B28" s="23" t="s">
        <v>611</v>
      </c>
      <c r="C28" s="642">
        <f t="shared" si="7"/>
        <v>122538.96015699999</v>
      </c>
      <c r="D28" s="642">
        <f>63284</f>
        <v>63284</v>
      </c>
      <c r="E28" s="642">
        <f>56983.649157+2271.311-J28</f>
        <v>54084.960157000001</v>
      </c>
      <c r="F28" s="642">
        <v>0</v>
      </c>
      <c r="G28" s="642">
        <v>0</v>
      </c>
      <c r="H28" s="642">
        <f t="shared" si="2"/>
        <v>5170</v>
      </c>
      <c r="I28" s="642"/>
      <c r="J28" s="704">
        <f>10270-5250+150</f>
        <v>5170</v>
      </c>
      <c r="K28" s="642">
        <f t="shared" si="3"/>
        <v>98532.216956999997</v>
      </c>
      <c r="L28" s="642">
        <v>45151.864656999998</v>
      </c>
      <c r="M28" s="642">
        <f>53326.863287-R28</f>
        <v>47953.799887000001</v>
      </c>
      <c r="N28" s="642">
        <v>0</v>
      </c>
      <c r="O28" s="642">
        <v>0</v>
      </c>
      <c r="P28" s="642">
        <f t="shared" si="4"/>
        <v>5373.0634</v>
      </c>
      <c r="Q28" s="642"/>
      <c r="R28" s="642">
        <f t="shared" si="8"/>
        <v>5373.0634</v>
      </c>
      <c r="S28" s="642">
        <v>53.489013</v>
      </c>
      <c r="T28" s="700">
        <f t="shared" si="6"/>
        <v>80.408889410158238</v>
      </c>
      <c r="U28" s="700">
        <f t="shared" si="5"/>
        <v>71.347994211807091</v>
      </c>
      <c r="V28" s="700">
        <f t="shared" si="5"/>
        <v>88.663835099069644</v>
      </c>
      <c r="W28" s="700" t="str">
        <f t="shared" si="5"/>
        <v/>
      </c>
      <c r="X28" s="700" t="str">
        <f t="shared" si="5"/>
        <v/>
      </c>
      <c r="Y28" s="700">
        <f t="shared" si="5"/>
        <v>103.92772533849129</v>
      </c>
      <c r="Z28" s="700" t="str">
        <f t="shared" si="5"/>
        <v/>
      </c>
      <c r="AA28" s="700">
        <f t="shared" si="5"/>
        <v>103.92772533849129</v>
      </c>
      <c r="AB28" s="710">
        <f>5087.861+285.2024</f>
        <v>5373.0634</v>
      </c>
    </row>
    <row r="29" spans="1:28" s="9" customFormat="1" ht="18.75">
      <c r="A29" s="584">
        <v>15</v>
      </c>
      <c r="B29" s="23" t="s">
        <v>612</v>
      </c>
      <c r="C29" s="642">
        <f t="shared" si="7"/>
        <v>46421.494999999995</v>
      </c>
      <c r="D29" s="642"/>
      <c r="E29" s="642">
        <f>45855.026+566.469-J29</f>
        <v>46421.494999999995</v>
      </c>
      <c r="F29" s="642">
        <v>0</v>
      </c>
      <c r="G29" s="642">
        <v>0</v>
      </c>
      <c r="H29" s="642">
        <f t="shared" si="2"/>
        <v>0</v>
      </c>
      <c r="I29" s="642"/>
      <c r="J29" s="704">
        <v>0</v>
      </c>
      <c r="K29" s="642">
        <f t="shared" si="3"/>
        <v>29658.891099</v>
      </c>
      <c r="L29" s="642"/>
      <c r="M29" s="642">
        <v>29618.76513</v>
      </c>
      <c r="N29" s="642">
        <v>0</v>
      </c>
      <c r="O29" s="642">
        <v>0</v>
      </c>
      <c r="P29" s="642">
        <f t="shared" si="4"/>
        <v>0</v>
      </c>
      <c r="Q29" s="642"/>
      <c r="R29" s="642">
        <f t="shared" si="8"/>
        <v>0</v>
      </c>
      <c r="S29" s="642">
        <v>40.125968999999998</v>
      </c>
      <c r="T29" s="700">
        <f t="shared" si="6"/>
        <v>63.890426404836823</v>
      </c>
      <c r="U29" s="700" t="str">
        <f t="shared" si="6"/>
        <v/>
      </c>
      <c r="V29" s="700">
        <f t="shared" si="6"/>
        <v>63.803988066304207</v>
      </c>
      <c r="W29" s="700" t="str">
        <f t="shared" si="6"/>
        <v/>
      </c>
      <c r="X29" s="700" t="str">
        <f t="shared" si="6"/>
        <v/>
      </c>
      <c r="Y29" s="700" t="str">
        <f t="shared" si="6"/>
        <v/>
      </c>
      <c r="Z29" s="700" t="str">
        <f t="shared" si="6"/>
        <v/>
      </c>
      <c r="AA29" s="700" t="str">
        <f t="shared" si="6"/>
        <v/>
      </c>
      <c r="AB29" s="710"/>
    </row>
    <row r="30" spans="1:28" s="9" customFormat="1" ht="18.75">
      <c r="A30" s="584">
        <v>16</v>
      </c>
      <c r="B30" s="23" t="s">
        <v>613</v>
      </c>
      <c r="C30" s="642">
        <f t="shared" si="7"/>
        <v>11883.255567</v>
      </c>
      <c r="D30" s="642">
        <v>570</v>
      </c>
      <c r="E30" s="642">
        <f>8817.454567+2495.801-J30</f>
        <v>10693.255567</v>
      </c>
      <c r="F30" s="642">
        <v>0</v>
      </c>
      <c r="G30" s="642">
        <v>0</v>
      </c>
      <c r="H30" s="642">
        <f t="shared" si="2"/>
        <v>620</v>
      </c>
      <c r="I30" s="642"/>
      <c r="J30" s="704">
        <v>620</v>
      </c>
      <c r="K30" s="642">
        <f t="shared" si="3"/>
        <v>11813.663606</v>
      </c>
      <c r="L30" s="642">
        <v>569.04811299999994</v>
      </c>
      <c r="M30" s="642">
        <f>10775.615493-R30</f>
        <v>9975.7249929999998</v>
      </c>
      <c r="N30" s="642"/>
      <c r="O30" s="642"/>
      <c r="P30" s="642">
        <f t="shared" si="4"/>
        <v>799.89049999999997</v>
      </c>
      <c r="Q30" s="642"/>
      <c r="R30" s="642">
        <f t="shared" si="8"/>
        <v>799.89049999999997</v>
      </c>
      <c r="S30" s="642">
        <f>469</f>
        <v>469</v>
      </c>
      <c r="T30" s="700">
        <f t="shared" si="6"/>
        <v>99.414369567265226</v>
      </c>
      <c r="U30" s="700">
        <f t="shared" si="6"/>
        <v>99.833002280701749</v>
      </c>
      <c r="V30" s="700">
        <f t="shared" si="6"/>
        <v>93.289877254833968</v>
      </c>
      <c r="W30" s="700" t="str">
        <f t="shared" si="6"/>
        <v/>
      </c>
      <c r="X30" s="700" t="str">
        <f t="shared" si="6"/>
        <v/>
      </c>
      <c r="Y30" s="700">
        <f t="shared" si="6"/>
        <v>129.01459677419354</v>
      </c>
      <c r="Z30" s="700" t="str">
        <f t="shared" si="6"/>
        <v/>
      </c>
      <c r="AA30" s="700">
        <f t="shared" si="6"/>
        <v>129.01459677419354</v>
      </c>
      <c r="AB30" s="710">
        <f>515.686+284.2045</f>
        <v>799.89049999999997</v>
      </c>
    </row>
    <row r="31" spans="1:28" s="9" customFormat="1" ht="18.75">
      <c r="A31" s="584">
        <v>17</v>
      </c>
      <c r="B31" s="23" t="s">
        <v>614</v>
      </c>
      <c r="C31" s="642">
        <f t="shared" si="7"/>
        <v>41019.804926999997</v>
      </c>
      <c r="D31" s="642">
        <v>101.1</v>
      </c>
      <c r="E31" s="642">
        <f>27743.155+13175.549927-J31</f>
        <v>39918.704926999999</v>
      </c>
      <c r="F31" s="642">
        <v>0</v>
      </c>
      <c r="G31" s="642">
        <v>0</v>
      </c>
      <c r="H31" s="642">
        <f t="shared" si="2"/>
        <v>1000</v>
      </c>
      <c r="I31" s="642"/>
      <c r="J31" s="704">
        <v>1000</v>
      </c>
      <c r="K31" s="642">
        <f t="shared" si="3"/>
        <v>37594.385914999999</v>
      </c>
      <c r="L31" s="642">
        <f>101.01</f>
        <v>101.01</v>
      </c>
      <c r="M31" s="642">
        <f>37493.375915-R31</f>
        <v>36749.385114999997</v>
      </c>
      <c r="N31" s="642">
        <v>0</v>
      </c>
      <c r="O31" s="642">
        <v>0</v>
      </c>
      <c r="P31" s="642">
        <f t="shared" si="4"/>
        <v>743.99080000000004</v>
      </c>
      <c r="Q31" s="642"/>
      <c r="R31" s="642">
        <f t="shared" si="8"/>
        <v>743.99080000000004</v>
      </c>
      <c r="S31" s="642">
        <v>0</v>
      </c>
      <c r="T31" s="700">
        <f t="shared" si="6"/>
        <v>91.649353237793378</v>
      </c>
      <c r="U31" s="700">
        <f t="shared" si="6"/>
        <v>99.910979228486667</v>
      </c>
      <c r="V31" s="700">
        <f t="shared" si="6"/>
        <v>92.06056454537844</v>
      </c>
      <c r="W31" s="700" t="str">
        <f t="shared" si="6"/>
        <v/>
      </c>
      <c r="X31" s="700" t="str">
        <f t="shared" si="6"/>
        <v/>
      </c>
      <c r="Y31" s="700">
        <f t="shared" si="6"/>
        <v>74.399079999999998</v>
      </c>
      <c r="Z31" s="700" t="str">
        <f t="shared" si="6"/>
        <v/>
      </c>
      <c r="AA31" s="700">
        <f t="shared" si="6"/>
        <v>74.399079999999998</v>
      </c>
      <c r="AB31" s="710">
        <v>743.99080000000004</v>
      </c>
    </row>
    <row r="32" spans="1:28" s="9" customFormat="1" ht="18.75">
      <c r="A32" s="584">
        <v>18</v>
      </c>
      <c r="B32" s="23" t="s">
        <v>615</v>
      </c>
      <c r="C32" s="642">
        <f t="shared" si="7"/>
        <v>8678.2768269999997</v>
      </c>
      <c r="D32" s="642"/>
      <c r="E32" s="642">
        <f>6593+2085.276827-J32</f>
        <v>8678.2768269999997</v>
      </c>
      <c r="F32" s="642">
        <v>0</v>
      </c>
      <c r="G32" s="642">
        <v>0</v>
      </c>
      <c r="H32" s="642">
        <f t="shared" si="2"/>
        <v>0</v>
      </c>
      <c r="I32" s="642"/>
      <c r="J32" s="704">
        <v>0</v>
      </c>
      <c r="K32" s="642">
        <f t="shared" si="3"/>
        <v>8076.5498809999999</v>
      </c>
      <c r="L32" s="642"/>
      <c r="M32" s="642">
        <v>7791.4525610000001</v>
      </c>
      <c r="N32" s="642">
        <v>0</v>
      </c>
      <c r="O32" s="642">
        <v>0</v>
      </c>
      <c r="P32" s="642">
        <f t="shared" si="4"/>
        <v>0</v>
      </c>
      <c r="Q32" s="642"/>
      <c r="R32" s="642">
        <f t="shared" si="8"/>
        <v>0</v>
      </c>
      <c r="S32" s="642">
        <v>285.09732000000002</v>
      </c>
      <c r="T32" s="700">
        <f t="shared" si="6"/>
        <v>93.06628541592616</v>
      </c>
      <c r="U32" s="700" t="str">
        <f t="shared" si="6"/>
        <v/>
      </c>
      <c r="V32" s="700">
        <f t="shared" si="6"/>
        <v>89.781101897546108</v>
      </c>
      <c r="W32" s="700" t="str">
        <f t="shared" si="6"/>
        <v/>
      </c>
      <c r="X32" s="700" t="str">
        <f t="shared" si="6"/>
        <v/>
      </c>
      <c r="Y32" s="700" t="str">
        <f t="shared" si="6"/>
        <v/>
      </c>
      <c r="Z32" s="700" t="str">
        <f t="shared" si="6"/>
        <v/>
      </c>
      <c r="AA32" s="700" t="str">
        <f t="shared" si="6"/>
        <v/>
      </c>
      <c r="AB32" s="710"/>
    </row>
    <row r="33" spans="1:28" s="9" customFormat="1" ht="18.75">
      <c r="A33" s="584">
        <v>19</v>
      </c>
      <c r="B33" s="23" t="s">
        <v>616</v>
      </c>
      <c r="C33" s="642">
        <f t="shared" si="7"/>
        <v>2550</v>
      </c>
      <c r="D33" s="642"/>
      <c r="E33" s="642">
        <f>1230+1320-J33</f>
        <v>2550</v>
      </c>
      <c r="F33" s="642">
        <v>0</v>
      </c>
      <c r="G33" s="642">
        <v>0</v>
      </c>
      <c r="H33" s="642">
        <f t="shared" si="2"/>
        <v>0</v>
      </c>
      <c r="I33" s="642"/>
      <c r="J33" s="704">
        <v>0</v>
      </c>
      <c r="K33" s="642">
        <f t="shared" si="3"/>
        <v>2550</v>
      </c>
      <c r="L33" s="642"/>
      <c r="M33" s="642">
        <v>2550</v>
      </c>
      <c r="N33" s="642">
        <v>0</v>
      </c>
      <c r="O33" s="642">
        <v>0</v>
      </c>
      <c r="P33" s="642">
        <f>Q33+R33</f>
        <v>0</v>
      </c>
      <c r="Q33" s="642"/>
      <c r="R33" s="642">
        <f t="shared" si="8"/>
        <v>0</v>
      </c>
      <c r="S33" s="642">
        <v>0</v>
      </c>
      <c r="T33" s="700">
        <f t="shared" si="6"/>
        <v>100</v>
      </c>
      <c r="U33" s="700" t="str">
        <f t="shared" si="6"/>
        <v/>
      </c>
      <c r="V33" s="700">
        <f t="shared" si="6"/>
        <v>100</v>
      </c>
      <c r="W33" s="700" t="str">
        <f t="shared" si="6"/>
        <v/>
      </c>
      <c r="X33" s="700" t="str">
        <f t="shared" si="6"/>
        <v/>
      </c>
      <c r="Y33" s="700" t="str">
        <f t="shared" si="6"/>
        <v/>
      </c>
      <c r="Z33" s="700" t="str">
        <f t="shared" si="6"/>
        <v/>
      </c>
      <c r="AA33" s="700" t="str">
        <f t="shared" si="6"/>
        <v/>
      </c>
      <c r="AB33" s="710"/>
    </row>
    <row r="34" spans="1:28" s="9" customFormat="1" ht="18.75">
      <c r="A34" s="584">
        <v>20</v>
      </c>
      <c r="B34" s="23" t="s">
        <v>617</v>
      </c>
      <c r="C34" s="642">
        <f t="shared" si="7"/>
        <v>1936.1849999999999</v>
      </c>
      <c r="D34" s="642"/>
      <c r="E34" s="642">
        <f>1327+609.185-J34</f>
        <v>1936.1849999999999</v>
      </c>
      <c r="F34" s="642">
        <v>0</v>
      </c>
      <c r="G34" s="642">
        <v>0</v>
      </c>
      <c r="H34" s="642">
        <f t="shared" si="2"/>
        <v>0</v>
      </c>
      <c r="I34" s="642"/>
      <c r="J34" s="704">
        <v>0</v>
      </c>
      <c r="K34" s="642">
        <f t="shared" si="3"/>
        <v>2026.000992</v>
      </c>
      <c r="L34" s="642"/>
      <c r="M34" s="642">
        <v>1735.898682</v>
      </c>
      <c r="N34" s="642">
        <v>0</v>
      </c>
      <c r="O34" s="642">
        <v>0</v>
      </c>
      <c r="P34" s="642">
        <f t="shared" si="4"/>
        <v>0</v>
      </c>
      <c r="Q34" s="642"/>
      <c r="R34" s="642">
        <f t="shared" si="8"/>
        <v>0</v>
      </c>
      <c r="S34" s="642">
        <v>290.10230999999999</v>
      </c>
      <c r="T34" s="700">
        <f t="shared" si="6"/>
        <v>104.63881251016819</v>
      </c>
      <c r="U34" s="700" t="str">
        <f t="shared" si="6"/>
        <v/>
      </c>
      <c r="V34" s="700">
        <f t="shared" si="6"/>
        <v>89.655620821357459</v>
      </c>
      <c r="W34" s="700" t="str">
        <f t="shared" si="6"/>
        <v/>
      </c>
      <c r="X34" s="700" t="str">
        <f t="shared" si="6"/>
        <v/>
      </c>
      <c r="Y34" s="700" t="str">
        <f t="shared" si="6"/>
        <v/>
      </c>
      <c r="Z34" s="700" t="str">
        <f t="shared" si="6"/>
        <v/>
      </c>
      <c r="AA34" s="700" t="str">
        <f t="shared" si="6"/>
        <v/>
      </c>
      <c r="AB34" s="710"/>
    </row>
    <row r="35" spans="1:28" s="9" customFormat="1" ht="18.75">
      <c r="A35" s="584">
        <v>21</v>
      </c>
      <c r="B35" s="23" t="s">
        <v>618</v>
      </c>
      <c r="C35" s="642">
        <f t="shared" si="7"/>
        <v>24369.556683999999</v>
      </c>
      <c r="D35" s="642"/>
      <c r="E35" s="642">
        <f>6917.079198+17452.477486-J35</f>
        <v>24369.556683999999</v>
      </c>
      <c r="F35" s="642">
        <v>0</v>
      </c>
      <c r="G35" s="642">
        <v>0</v>
      </c>
      <c r="H35" s="642">
        <f t="shared" si="2"/>
        <v>0</v>
      </c>
      <c r="I35" s="642"/>
      <c r="J35" s="704">
        <v>0</v>
      </c>
      <c r="K35" s="642">
        <f>SUM(L35:P35)+S35</f>
        <v>24265.071985999999</v>
      </c>
      <c r="L35" s="642"/>
      <c r="M35" s="642">
        <v>24265.071985999999</v>
      </c>
      <c r="N35" s="642">
        <v>0</v>
      </c>
      <c r="O35" s="642">
        <v>0</v>
      </c>
      <c r="P35" s="642">
        <f t="shared" si="4"/>
        <v>0</v>
      </c>
      <c r="Q35" s="642"/>
      <c r="R35" s="642">
        <f t="shared" si="8"/>
        <v>0</v>
      </c>
      <c r="S35" s="642">
        <v>0</v>
      </c>
      <c r="T35" s="700">
        <f t="shared" si="6"/>
        <v>99.571249081980213</v>
      </c>
      <c r="U35" s="700" t="str">
        <f t="shared" si="6"/>
        <v/>
      </c>
      <c r="V35" s="700">
        <f t="shared" si="6"/>
        <v>99.571249081980213</v>
      </c>
      <c r="W35" s="700" t="str">
        <f t="shared" si="6"/>
        <v/>
      </c>
      <c r="X35" s="700" t="str">
        <f t="shared" si="6"/>
        <v/>
      </c>
      <c r="Y35" s="700" t="str">
        <f t="shared" si="6"/>
        <v/>
      </c>
      <c r="Z35" s="700" t="str">
        <f t="shared" si="6"/>
        <v/>
      </c>
      <c r="AA35" s="700" t="str">
        <f t="shared" si="6"/>
        <v/>
      </c>
      <c r="AB35" s="710"/>
    </row>
    <row r="36" spans="1:28" s="9" customFormat="1" ht="18.75">
      <c r="A36" s="584">
        <v>22</v>
      </c>
      <c r="B36" s="707" t="s">
        <v>619</v>
      </c>
      <c r="C36" s="642">
        <f t="shared" si="7"/>
        <v>16496.714696999999</v>
      </c>
      <c r="D36" s="642">
        <f>3500</f>
        <v>3500</v>
      </c>
      <c r="E36" s="642">
        <f>12701+295.714697-J36</f>
        <v>12996.714696999999</v>
      </c>
      <c r="F36" s="642">
        <v>0</v>
      </c>
      <c r="G36" s="642">
        <v>0</v>
      </c>
      <c r="H36" s="642">
        <f t="shared" si="2"/>
        <v>0</v>
      </c>
      <c r="I36" s="642"/>
      <c r="J36" s="704">
        <v>0</v>
      </c>
      <c r="K36" s="642">
        <f t="shared" si="3"/>
        <v>16425.566964999998</v>
      </c>
      <c r="L36" s="642">
        <f>4764.804308</f>
        <v>4764.8043079999998</v>
      </c>
      <c r="M36" s="642">
        <v>11660.762656999999</v>
      </c>
      <c r="N36" s="642">
        <v>0</v>
      </c>
      <c r="O36" s="642">
        <v>0</v>
      </c>
      <c r="P36" s="642">
        <f t="shared" si="4"/>
        <v>0</v>
      </c>
      <c r="Q36" s="642"/>
      <c r="R36" s="642">
        <f t="shared" si="8"/>
        <v>0</v>
      </c>
      <c r="S36" s="642">
        <v>0</v>
      </c>
      <c r="T36" s="700">
        <f t="shared" si="6"/>
        <v>99.568715751549377</v>
      </c>
      <c r="U36" s="700">
        <f t="shared" si="6"/>
        <v>136.13726594285714</v>
      </c>
      <c r="V36" s="700">
        <f t="shared" si="6"/>
        <v>89.720848143966919</v>
      </c>
      <c r="W36" s="700" t="str">
        <f t="shared" si="6"/>
        <v/>
      </c>
      <c r="X36" s="700" t="str">
        <f t="shared" si="6"/>
        <v/>
      </c>
      <c r="Y36" s="700" t="str">
        <f t="shared" si="6"/>
        <v/>
      </c>
      <c r="Z36" s="700" t="str">
        <f t="shared" si="6"/>
        <v/>
      </c>
      <c r="AA36" s="700" t="str">
        <f t="shared" si="6"/>
        <v/>
      </c>
      <c r="AB36" s="710"/>
    </row>
    <row r="37" spans="1:28" s="9" customFormat="1" ht="18.75">
      <c r="A37" s="584">
        <v>23</v>
      </c>
      <c r="B37" s="23" t="s">
        <v>620</v>
      </c>
      <c r="C37" s="642">
        <f t="shared" si="7"/>
        <v>5792.5990000000002</v>
      </c>
      <c r="D37" s="642"/>
      <c r="E37" s="642">
        <f>5522+270.599</f>
        <v>5792.5990000000002</v>
      </c>
      <c r="F37" s="642">
        <v>0</v>
      </c>
      <c r="G37" s="642">
        <v>0</v>
      </c>
      <c r="H37" s="642">
        <f t="shared" si="2"/>
        <v>0</v>
      </c>
      <c r="I37" s="642"/>
      <c r="J37" s="704">
        <v>0</v>
      </c>
      <c r="K37" s="642">
        <f t="shared" si="3"/>
        <v>5511.0511219999999</v>
      </c>
      <c r="L37" s="642"/>
      <c r="M37" s="642">
        <v>5354.8271219999997</v>
      </c>
      <c r="N37" s="642">
        <v>0</v>
      </c>
      <c r="O37" s="642">
        <v>0</v>
      </c>
      <c r="P37" s="642">
        <f t="shared" si="4"/>
        <v>0</v>
      </c>
      <c r="Q37" s="642"/>
      <c r="R37" s="642">
        <f t="shared" si="8"/>
        <v>0</v>
      </c>
      <c r="S37" s="642">
        <v>156.22399999999999</v>
      </c>
      <c r="T37" s="700">
        <f t="shared" si="6"/>
        <v>95.139524106536641</v>
      </c>
      <c r="U37" s="700" t="str">
        <f t="shared" si="6"/>
        <v/>
      </c>
      <c r="V37" s="700">
        <f t="shared" si="6"/>
        <v>92.442565452916725</v>
      </c>
      <c r="W37" s="700" t="str">
        <f t="shared" si="6"/>
        <v/>
      </c>
      <c r="X37" s="700" t="str">
        <f t="shared" si="6"/>
        <v/>
      </c>
      <c r="Y37" s="700" t="str">
        <f t="shared" si="6"/>
        <v/>
      </c>
      <c r="Z37" s="700" t="str">
        <f t="shared" si="6"/>
        <v/>
      </c>
      <c r="AA37" s="700" t="str">
        <f t="shared" si="6"/>
        <v/>
      </c>
      <c r="AB37" s="710"/>
    </row>
    <row r="38" spans="1:28" s="9" customFormat="1" ht="18.75">
      <c r="A38" s="584">
        <v>24</v>
      </c>
      <c r="B38" s="23" t="s">
        <v>621</v>
      </c>
      <c r="C38" s="642">
        <f t="shared" si="7"/>
        <v>7882.5280000000002</v>
      </c>
      <c r="D38" s="642">
        <f>1100</f>
        <v>1100</v>
      </c>
      <c r="E38" s="642">
        <f>6428+354.528-J38</f>
        <v>6782.5280000000002</v>
      </c>
      <c r="F38" s="642">
        <v>0</v>
      </c>
      <c r="G38" s="642">
        <v>0</v>
      </c>
      <c r="H38" s="642">
        <f t="shared" si="2"/>
        <v>0</v>
      </c>
      <c r="I38" s="642"/>
      <c r="J38" s="704">
        <v>0</v>
      </c>
      <c r="K38" s="642">
        <f t="shared" si="3"/>
        <v>7903.6035920000004</v>
      </c>
      <c r="L38" s="642">
        <f>1213.219231</f>
        <v>1213.219231</v>
      </c>
      <c r="M38" s="642">
        <v>6600.2741260000003</v>
      </c>
      <c r="N38" s="642">
        <v>0</v>
      </c>
      <c r="O38" s="642">
        <v>0</v>
      </c>
      <c r="P38" s="642">
        <f t="shared" si="4"/>
        <v>0</v>
      </c>
      <c r="Q38" s="642"/>
      <c r="R38" s="642">
        <f t="shared" si="8"/>
        <v>0</v>
      </c>
      <c r="S38" s="642">
        <v>90.110235000000003</v>
      </c>
      <c r="T38" s="700">
        <f t="shared" si="6"/>
        <v>100.26737097540281</v>
      </c>
      <c r="U38" s="700">
        <f t="shared" si="6"/>
        <v>110.29265736363637</v>
      </c>
      <c r="V38" s="700">
        <f t="shared" si="6"/>
        <v>97.312891682865143</v>
      </c>
      <c r="W38" s="700" t="str">
        <f t="shared" si="6"/>
        <v/>
      </c>
      <c r="X38" s="700" t="str">
        <f t="shared" si="6"/>
        <v/>
      </c>
      <c r="Y38" s="700" t="str">
        <f t="shared" si="6"/>
        <v/>
      </c>
      <c r="Z38" s="700" t="str">
        <f t="shared" si="6"/>
        <v/>
      </c>
      <c r="AA38" s="700" t="str">
        <f t="shared" si="6"/>
        <v/>
      </c>
      <c r="AB38" s="710"/>
    </row>
    <row r="39" spans="1:28" s="9" customFormat="1" ht="18.75">
      <c r="A39" s="584">
        <v>25</v>
      </c>
      <c r="B39" s="23" t="s">
        <v>622</v>
      </c>
      <c r="C39" s="642">
        <f t="shared" si="7"/>
        <v>5176.0370000000003</v>
      </c>
      <c r="D39" s="642"/>
      <c r="E39" s="642">
        <f>4608+568.037-J39</f>
        <v>5176.0370000000003</v>
      </c>
      <c r="F39" s="642">
        <v>0</v>
      </c>
      <c r="G39" s="642">
        <v>0</v>
      </c>
      <c r="H39" s="642">
        <f t="shared" si="2"/>
        <v>0</v>
      </c>
      <c r="I39" s="642"/>
      <c r="J39" s="704">
        <v>0</v>
      </c>
      <c r="K39" s="642">
        <f t="shared" si="3"/>
        <v>5140.3056729999998</v>
      </c>
      <c r="L39" s="642"/>
      <c r="M39" s="642">
        <v>5051.2917550000002</v>
      </c>
      <c r="N39" s="642">
        <v>0</v>
      </c>
      <c r="O39" s="642">
        <v>0</v>
      </c>
      <c r="P39" s="642">
        <f t="shared" si="4"/>
        <v>0</v>
      </c>
      <c r="Q39" s="642"/>
      <c r="R39" s="642">
        <f t="shared" si="8"/>
        <v>0</v>
      </c>
      <c r="S39" s="642">
        <v>89.013918000000004</v>
      </c>
      <c r="T39" s="700">
        <f t="shared" si="6"/>
        <v>99.309677906089149</v>
      </c>
      <c r="U39" s="700" t="str">
        <f t="shared" si="6"/>
        <v/>
      </c>
      <c r="V39" s="700">
        <f t="shared" si="6"/>
        <v>97.589946806794458</v>
      </c>
      <c r="W39" s="700" t="str">
        <f t="shared" si="6"/>
        <v/>
      </c>
      <c r="X39" s="700" t="str">
        <f t="shared" si="6"/>
        <v/>
      </c>
      <c r="Y39" s="700" t="str">
        <f t="shared" si="6"/>
        <v/>
      </c>
      <c r="Z39" s="700" t="str">
        <f t="shared" si="6"/>
        <v/>
      </c>
      <c r="AA39" s="700" t="str">
        <f t="shared" si="6"/>
        <v/>
      </c>
      <c r="AB39" s="710"/>
    </row>
    <row r="40" spans="1:28" s="9" customFormat="1" ht="18.75">
      <c r="A40" s="584">
        <v>26</v>
      </c>
      <c r="B40" s="23" t="s">
        <v>623</v>
      </c>
      <c r="C40" s="642">
        <f t="shared" si="7"/>
        <v>5646.27</v>
      </c>
      <c r="D40" s="642"/>
      <c r="E40" s="642">
        <f>3211+2435.27-J40</f>
        <v>5546.27</v>
      </c>
      <c r="F40" s="642">
        <v>0</v>
      </c>
      <c r="G40" s="642">
        <v>0</v>
      </c>
      <c r="H40" s="642">
        <f t="shared" si="2"/>
        <v>100</v>
      </c>
      <c r="I40" s="642"/>
      <c r="J40" s="704">
        <v>100</v>
      </c>
      <c r="K40" s="642">
        <f t="shared" si="3"/>
        <v>5564.7378229999995</v>
      </c>
      <c r="L40" s="642"/>
      <c r="M40" s="642">
        <f>5539.130501-R40</f>
        <v>5439.1305009999996</v>
      </c>
      <c r="N40" s="642">
        <v>0</v>
      </c>
      <c r="O40" s="642">
        <v>0</v>
      </c>
      <c r="P40" s="642">
        <f t="shared" si="4"/>
        <v>100</v>
      </c>
      <c r="Q40" s="642"/>
      <c r="R40" s="642">
        <f t="shared" si="8"/>
        <v>100</v>
      </c>
      <c r="S40" s="642">
        <v>25.607322</v>
      </c>
      <c r="T40" s="700">
        <f t="shared" si="6"/>
        <v>98.555999323447139</v>
      </c>
      <c r="U40" s="700" t="str">
        <f t="shared" si="6"/>
        <v/>
      </c>
      <c r="V40" s="700">
        <f t="shared" si="6"/>
        <v>98.068260308279235</v>
      </c>
      <c r="W40" s="700" t="str">
        <f t="shared" si="6"/>
        <v/>
      </c>
      <c r="X40" s="700" t="str">
        <f t="shared" si="6"/>
        <v/>
      </c>
      <c r="Y40" s="700">
        <f t="shared" si="6"/>
        <v>100</v>
      </c>
      <c r="Z40" s="700" t="str">
        <f t="shared" si="6"/>
        <v/>
      </c>
      <c r="AA40" s="700">
        <f t="shared" si="6"/>
        <v>100</v>
      </c>
      <c r="AB40" s="710">
        <v>100</v>
      </c>
    </row>
    <row r="41" spans="1:28" s="9" customFormat="1" ht="18.75">
      <c r="A41" s="584">
        <v>27</v>
      </c>
      <c r="B41" s="23" t="s">
        <v>624</v>
      </c>
      <c r="C41" s="642">
        <f t="shared" si="7"/>
        <v>2777.3879999999999</v>
      </c>
      <c r="D41" s="642"/>
      <c r="E41" s="642">
        <f>2731+46.388-J41</f>
        <v>2577.3879999999999</v>
      </c>
      <c r="F41" s="642">
        <v>0</v>
      </c>
      <c r="G41" s="642">
        <v>0</v>
      </c>
      <c r="H41" s="642">
        <f t="shared" si="2"/>
        <v>200</v>
      </c>
      <c r="I41" s="642"/>
      <c r="J41" s="704">
        <v>200</v>
      </c>
      <c r="K41" s="642">
        <f t="shared" si="3"/>
        <v>2541.2009600000001</v>
      </c>
      <c r="L41" s="642"/>
      <c r="M41" s="642">
        <f>2541.20096-R41</f>
        <v>2341.2009600000001</v>
      </c>
      <c r="N41" s="642">
        <v>0</v>
      </c>
      <c r="O41" s="642">
        <v>0</v>
      </c>
      <c r="P41" s="642">
        <f t="shared" si="4"/>
        <v>200</v>
      </c>
      <c r="Q41" s="642"/>
      <c r="R41" s="642">
        <f t="shared" si="8"/>
        <v>200</v>
      </c>
      <c r="S41" s="642">
        <v>0</v>
      </c>
      <c r="T41" s="700">
        <f t="shared" si="6"/>
        <v>91.496073289003917</v>
      </c>
      <c r="U41" s="700" t="str">
        <f t="shared" si="6"/>
        <v/>
      </c>
      <c r="V41" s="700">
        <f t="shared" si="6"/>
        <v>90.836186092276378</v>
      </c>
      <c r="W41" s="700" t="str">
        <f t="shared" si="6"/>
        <v/>
      </c>
      <c r="X41" s="700" t="str">
        <f t="shared" si="6"/>
        <v/>
      </c>
      <c r="Y41" s="700">
        <f t="shared" si="6"/>
        <v>100</v>
      </c>
      <c r="Z41" s="700" t="str">
        <f t="shared" si="6"/>
        <v/>
      </c>
      <c r="AA41" s="700">
        <f t="shared" si="6"/>
        <v>100</v>
      </c>
      <c r="AB41" s="710">
        <v>200</v>
      </c>
    </row>
    <row r="42" spans="1:28" s="9" customFormat="1" ht="18.75">
      <c r="A42" s="584">
        <v>28</v>
      </c>
      <c r="B42" s="23" t="s">
        <v>625</v>
      </c>
      <c r="C42" s="642">
        <f t="shared" si="7"/>
        <v>2295.627</v>
      </c>
      <c r="D42" s="642"/>
      <c r="E42" s="642">
        <f>2279+16.627-J42</f>
        <v>2295.627</v>
      </c>
      <c r="F42" s="642">
        <v>0</v>
      </c>
      <c r="G42" s="642">
        <v>0</v>
      </c>
      <c r="H42" s="642">
        <f t="shared" si="2"/>
        <v>0</v>
      </c>
      <c r="I42" s="642"/>
      <c r="J42" s="704">
        <v>0</v>
      </c>
      <c r="K42" s="642">
        <f t="shared" si="3"/>
        <v>1850.310095</v>
      </c>
      <c r="L42" s="642"/>
      <c r="M42" s="642">
        <v>1833.6830950000001</v>
      </c>
      <c r="N42" s="642">
        <v>0</v>
      </c>
      <c r="O42" s="642">
        <v>0</v>
      </c>
      <c r="P42" s="642">
        <f t="shared" si="4"/>
        <v>0</v>
      </c>
      <c r="Q42" s="642"/>
      <c r="R42" s="642">
        <f t="shared" si="8"/>
        <v>0</v>
      </c>
      <c r="S42" s="642">
        <v>16.626999999999999</v>
      </c>
      <c r="T42" s="700">
        <f t="shared" si="6"/>
        <v>80.60151300712181</v>
      </c>
      <c r="U42" s="700" t="str">
        <f t="shared" si="6"/>
        <v/>
      </c>
      <c r="V42" s="700">
        <f t="shared" si="6"/>
        <v>79.877222867652279</v>
      </c>
      <c r="W42" s="700" t="str">
        <f t="shared" si="6"/>
        <v/>
      </c>
      <c r="X42" s="700" t="str">
        <f t="shared" si="6"/>
        <v/>
      </c>
      <c r="Y42" s="700" t="str">
        <f t="shared" si="6"/>
        <v/>
      </c>
      <c r="Z42" s="700" t="str">
        <f t="shared" si="6"/>
        <v/>
      </c>
      <c r="AA42" s="700" t="str">
        <f t="shared" si="6"/>
        <v/>
      </c>
      <c r="AB42" s="710"/>
    </row>
    <row r="43" spans="1:28" s="9" customFormat="1" ht="18.75">
      <c r="A43" s="584">
        <v>29</v>
      </c>
      <c r="B43" s="23" t="s">
        <v>626</v>
      </c>
      <c r="C43" s="642">
        <f t="shared" si="7"/>
        <v>1473.308</v>
      </c>
      <c r="D43" s="642"/>
      <c r="E43" s="642">
        <f>1462+11.308-J43</f>
        <v>1473.308</v>
      </c>
      <c r="F43" s="642">
        <v>0</v>
      </c>
      <c r="G43" s="642">
        <v>0</v>
      </c>
      <c r="H43" s="642">
        <f t="shared" si="2"/>
        <v>0</v>
      </c>
      <c r="I43" s="642"/>
      <c r="J43" s="704">
        <v>0</v>
      </c>
      <c r="K43" s="642">
        <f t="shared" si="3"/>
        <v>1317.978818</v>
      </c>
      <c r="L43" s="642"/>
      <c r="M43" s="642">
        <v>1317.978818</v>
      </c>
      <c r="N43" s="642">
        <v>0</v>
      </c>
      <c r="O43" s="642">
        <v>0</v>
      </c>
      <c r="P43" s="642">
        <f t="shared" si="4"/>
        <v>0</v>
      </c>
      <c r="Q43" s="642"/>
      <c r="R43" s="642">
        <f t="shared" si="8"/>
        <v>0</v>
      </c>
      <c r="S43" s="642">
        <v>0</v>
      </c>
      <c r="T43" s="700">
        <f t="shared" si="6"/>
        <v>89.457114058974781</v>
      </c>
      <c r="U43" s="700" t="str">
        <f t="shared" si="6"/>
        <v/>
      </c>
      <c r="V43" s="700">
        <f t="shared" si="6"/>
        <v>89.457114058974781</v>
      </c>
      <c r="W43" s="700" t="str">
        <f t="shared" si="6"/>
        <v/>
      </c>
      <c r="X43" s="700" t="str">
        <f t="shared" si="6"/>
        <v/>
      </c>
      <c r="Y43" s="700" t="str">
        <f t="shared" si="6"/>
        <v/>
      </c>
      <c r="Z43" s="700" t="str">
        <f t="shared" si="6"/>
        <v/>
      </c>
      <c r="AA43" s="700" t="str">
        <f t="shared" si="6"/>
        <v/>
      </c>
      <c r="AB43" s="710"/>
    </row>
    <row r="44" spans="1:28" s="9" customFormat="1" ht="18.75">
      <c r="A44" s="584">
        <v>30</v>
      </c>
      <c r="B44" s="23" t="s">
        <v>627</v>
      </c>
      <c r="C44" s="642">
        <f t="shared" si="7"/>
        <v>809.52599999999995</v>
      </c>
      <c r="D44" s="642"/>
      <c r="E44" s="642">
        <f>703+106.526-J44</f>
        <v>809.52599999999995</v>
      </c>
      <c r="F44" s="642">
        <v>0</v>
      </c>
      <c r="G44" s="642">
        <v>0</v>
      </c>
      <c r="H44" s="642">
        <f t="shared" si="2"/>
        <v>0</v>
      </c>
      <c r="I44" s="642"/>
      <c r="J44" s="704">
        <v>0</v>
      </c>
      <c r="K44" s="642">
        <f t="shared" si="3"/>
        <v>629.80369099999996</v>
      </c>
      <c r="L44" s="642"/>
      <c r="M44" s="642">
        <v>629.80369099999996</v>
      </c>
      <c r="N44" s="642">
        <v>0</v>
      </c>
      <c r="O44" s="642">
        <v>0</v>
      </c>
      <c r="P44" s="642">
        <f t="shared" si="4"/>
        <v>0</v>
      </c>
      <c r="Q44" s="642"/>
      <c r="R44" s="642">
        <f t="shared" si="8"/>
        <v>0</v>
      </c>
      <c r="S44" s="642">
        <v>0</v>
      </c>
      <c r="T44" s="700">
        <f t="shared" si="6"/>
        <v>77.799068961342812</v>
      </c>
      <c r="U44" s="700" t="str">
        <f t="shared" si="6"/>
        <v/>
      </c>
      <c r="V44" s="700">
        <f t="shared" si="6"/>
        <v>77.799068961342812</v>
      </c>
      <c r="W44" s="700" t="str">
        <f t="shared" si="6"/>
        <v/>
      </c>
      <c r="X44" s="700" t="str">
        <f t="shared" si="6"/>
        <v/>
      </c>
      <c r="Y44" s="700" t="str">
        <f t="shared" si="6"/>
        <v/>
      </c>
      <c r="Z44" s="700" t="str">
        <f t="shared" si="6"/>
        <v/>
      </c>
      <c r="AA44" s="700" t="str">
        <f t="shared" si="6"/>
        <v/>
      </c>
      <c r="AB44" s="710"/>
    </row>
    <row r="45" spans="1:28" s="9" customFormat="1" ht="18.75">
      <c r="A45" s="584">
        <v>31</v>
      </c>
      <c r="B45" s="23" t="s">
        <v>628</v>
      </c>
      <c r="C45" s="642">
        <f t="shared" si="7"/>
        <v>277.83199999999999</v>
      </c>
      <c r="D45" s="642"/>
      <c r="E45" s="642">
        <f>272+5.832-J45</f>
        <v>277.83199999999999</v>
      </c>
      <c r="F45" s="642">
        <v>0</v>
      </c>
      <c r="G45" s="642">
        <v>0</v>
      </c>
      <c r="H45" s="642">
        <f t="shared" si="2"/>
        <v>0</v>
      </c>
      <c r="I45" s="642"/>
      <c r="J45" s="704">
        <v>0</v>
      </c>
      <c r="K45" s="642">
        <f t="shared" si="3"/>
        <v>277.83199999999999</v>
      </c>
      <c r="L45" s="642"/>
      <c r="M45" s="642">
        <v>277.83199999999999</v>
      </c>
      <c r="N45" s="642">
        <v>0</v>
      </c>
      <c r="O45" s="642">
        <v>0</v>
      </c>
      <c r="P45" s="642">
        <f t="shared" si="4"/>
        <v>0</v>
      </c>
      <c r="Q45" s="642"/>
      <c r="R45" s="642">
        <f t="shared" si="8"/>
        <v>0</v>
      </c>
      <c r="S45" s="642">
        <v>0</v>
      </c>
      <c r="T45" s="700">
        <f t="shared" si="6"/>
        <v>100</v>
      </c>
      <c r="U45" s="700" t="str">
        <f t="shared" si="6"/>
        <v/>
      </c>
      <c r="V45" s="700">
        <f t="shared" si="6"/>
        <v>100</v>
      </c>
      <c r="W45" s="700" t="str">
        <f t="shared" si="6"/>
        <v/>
      </c>
      <c r="X45" s="700" t="str">
        <f t="shared" si="6"/>
        <v/>
      </c>
      <c r="Y45" s="700" t="str">
        <f t="shared" si="6"/>
        <v/>
      </c>
      <c r="Z45" s="700" t="str">
        <f t="shared" si="6"/>
        <v/>
      </c>
      <c r="AA45" s="700" t="str">
        <f t="shared" si="6"/>
        <v/>
      </c>
      <c r="AB45" s="710"/>
    </row>
    <row r="46" spans="1:28" s="9" customFormat="1" ht="18.75">
      <c r="A46" s="584">
        <v>32</v>
      </c>
      <c r="B46" s="23" t="s">
        <v>629</v>
      </c>
      <c r="C46" s="642">
        <f t="shared" si="7"/>
        <v>2341.9549999999999</v>
      </c>
      <c r="D46" s="642"/>
      <c r="E46" s="642">
        <f>2141+200.955-J46</f>
        <v>2341.9549999999999</v>
      </c>
      <c r="F46" s="642">
        <v>0</v>
      </c>
      <c r="G46" s="642">
        <v>0</v>
      </c>
      <c r="H46" s="642">
        <f t="shared" si="2"/>
        <v>0</v>
      </c>
      <c r="I46" s="642"/>
      <c r="J46" s="704">
        <v>0</v>
      </c>
      <c r="K46" s="642">
        <f t="shared" si="3"/>
        <v>2293.3636660000002</v>
      </c>
      <c r="L46" s="642"/>
      <c r="M46" s="642">
        <v>2293.3636660000002</v>
      </c>
      <c r="N46" s="642">
        <v>0</v>
      </c>
      <c r="O46" s="642">
        <v>0</v>
      </c>
      <c r="P46" s="642">
        <f t="shared" si="4"/>
        <v>0</v>
      </c>
      <c r="Q46" s="642"/>
      <c r="R46" s="642">
        <f t="shared" si="8"/>
        <v>0</v>
      </c>
      <c r="S46" s="642">
        <v>0</v>
      </c>
      <c r="T46" s="700">
        <f t="shared" si="6"/>
        <v>97.92518071440314</v>
      </c>
      <c r="U46" s="700" t="str">
        <f t="shared" si="6"/>
        <v/>
      </c>
      <c r="V46" s="700">
        <f t="shared" si="6"/>
        <v>97.92518071440314</v>
      </c>
      <c r="W46" s="700" t="str">
        <f t="shared" si="6"/>
        <v/>
      </c>
      <c r="X46" s="700" t="str">
        <f t="shared" si="6"/>
        <v/>
      </c>
      <c r="Y46" s="700" t="str">
        <f t="shared" si="6"/>
        <v/>
      </c>
      <c r="Z46" s="700" t="str">
        <f t="shared" si="6"/>
        <v/>
      </c>
      <c r="AA46" s="700" t="str">
        <f t="shared" si="6"/>
        <v/>
      </c>
      <c r="AB46" s="710"/>
    </row>
    <row r="47" spans="1:28" s="9" customFormat="1" ht="18.75">
      <c r="A47" s="584">
        <v>33</v>
      </c>
      <c r="B47" s="23" t="s">
        <v>630</v>
      </c>
      <c r="C47" s="642">
        <f t="shared" si="7"/>
        <v>334.89400000000001</v>
      </c>
      <c r="D47" s="642"/>
      <c r="E47" s="642">
        <f>307+27.894-J47</f>
        <v>334.89400000000001</v>
      </c>
      <c r="F47" s="642">
        <v>0</v>
      </c>
      <c r="G47" s="642">
        <v>0</v>
      </c>
      <c r="H47" s="642">
        <f t="shared" si="2"/>
        <v>0</v>
      </c>
      <c r="I47" s="642"/>
      <c r="J47" s="704">
        <v>0</v>
      </c>
      <c r="K47" s="642">
        <f t="shared" si="3"/>
        <v>334.89400000000001</v>
      </c>
      <c r="L47" s="642"/>
      <c r="M47" s="642">
        <v>334.89400000000001</v>
      </c>
      <c r="N47" s="642">
        <v>0</v>
      </c>
      <c r="O47" s="642">
        <v>0</v>
      </c>
      <c r="P47" s="642">
        <f t="shared" si="4"/>
        <v>0</v>
      </c>
      <c r="Q47" s="642"/>
      <c r="R47" s="642">
        <f t="shared" si="8"/>
        <v>0</v>
      </c>
      <c r="S47" s="642">
        <v>0</v>
      </c>
      <c r="T47" s="700">
        <f t="shared" si="6"/>
        <v>100</v>
      </c>
      <c r="U47" s="700" t="str">
        <f t="shared" si="6"/>
        <v/>
      </c>
      <c r="V47" s="700">
        <f t="shared" si="6"/>
        <v>100</v>
      </c>
      <c r="W47" s="700" t="str">
        <f t="shared" si="6"/>
        <v/>
      </c>
      <c r="X47" s="700" t="str">
        <f t="shared" si="6"/>
        <v/>
      </c>
      <c r="Y47" s="700" t="str">
        <f t="shared" si="6"/>
        <v/>
      </c>
      <c r="Z47" s="700" t="str">
        <f t="shared" si="6"/>
        <v/>
      </c>
      <c r="AA47" s="700" t="str">
        <f t="shared" si="6"/>
        <v/>
      </c>
      <c r="AB47" s="710"/>
    </row>
    <row r="48" spans="1:28" s="9" customFormat="1" ht="18.75">
      <c r="A48" s="584">
        <v>34</v>
      </c>
      <c r="B48" s="23" t="s">
        <v>631</v>
      </c>
      <c r="C48" s="642">
        <f t="shared" si="7"/>
        <v>848.84400000000005</v>
      </c>
      <c r="D48" s="642"/>
      <c r="E48" s="642">
        <f>828+20.844-J48</f>
        <v>848.84400000000005</v>
      </c>
      <c r="F48" s="642">
        <v>0</v>
      </c>
      <c r="G48" s="642">
        <v>0</v>
      </c>
      <c r="H48" s="642">
        <f t="shared" si="2"/>
        <v>0</v>
      </c>
      <c r="I48" s="642"/>
      <c r="J48" s="704">
        <v>0</v>
      </c>
      <c r="K48" s="642">
        <f t="shared" si="3"/>
        <v>847.07577399999991</v>
      </c>
      <c r="L48" s="642"/>
      <c r="M48" s="642">
        <v>841.26897399999996</v>
      </c>
      <c r="N48" s="642">
        <v>0</v>
      </c>
      <c r="O48" s="642">
        <v>0</v>
      </c>
      <c r="P48" s="642">
        <f t="shared" si="4"/>
        <v>0</v>
      </c>
      <c r="Q48" s="642"/>
      <c r="R48" s="642">
        <f t="shared" si="8"/>
        <v>0</v>
      </c>
      <c r="S48" s="642">
        <v>5.8068</v>
      </c>
      <c r="T48" s="700">
        <f t="shared" si="6"/>
        <v>99.791690110314718</v>
      </c>
      <c r="U48" s="700" t="str">
        <f t="shared" si="6"/>
        <v/>
      </c>
      <c r="V48" s="700">
        <f t="shared" si="6"/>
        <v>99.107606815857793</v>
      </c>
      <c r="W48" s="700" t="str">
        <f t="shared" si="6"/>
        <v/>
      </c>
      <c r="X48" s="700" t="str">
        <f t="shared" si="6"/>
        <v/>
      </c>
      <c r="Y48" s="700" t="str">
        <f t="shared" si="6"/>
        <v/>
      </c>
      <c r="Z48" s="700" t="str">
        <f t="shared" si="6"/>
        <v/>
      </c>
      <c r="AA48" s="700" t="str">
        <f t="shared" si="6"/>
        <v/>
      </c>
      <c r="AB48" s="710"/>
    </row>
    <row r="49" spans="1:28" s="9" customFormat="1" ht="18.75">
      <c r="A49" s="584">
        <v>35</v>
      </c>
      <c r="B49" s="23" t="s">
        <v>632</v>
      </c>
      <c r="C49" s="642">
        <f t="shared" si="7"/>
        <v>816.53300000000002</v>
      </c>
      <c r="D49" s="642"/>
      <c r="E49" s="642">
        <f>803+13.533-J49</f>
        <v>816.53300000000002</v>
      </c>
      <c r="F49" s="642">
        <v>0</v>
      </c>
      <c r="G49" s="642">
        <v>0</v>
      </c>
      <c r="H49" s="642">
        <f t="shared" si="2"/>
        <v>0</v>
      </c>
      <c r="I49" s="642"/>
      <c r="J49" s="704">
        <v>0</v>
      </c>
      <c r="K49" s="642">
        <f t="shared" si="3"/>
        <v>751.03541499999994</v>
      </c>
      <c r="L49" s="642"/>
      <c r="M49" s="642">
        <v>751.03541499999994</v>
      </c>
      <c r="N49" s="642">
        <v>0</v>
      </c>
      <c r="O49" s="642">
        <v>0</v>
      </c>
      <c r="P49" s="642">
        <f t="shared" si="4"/>
        <v>0</v>
      </c>
      <c r="Q49" s="642"/>
      <c r="R49" s="642">
        <f t="shared" si="8"/>
        <v>0</v>
      </c>
      <c r="S49" s="642">
        <v>0</v>
      </c>
      <c r="T49" s="700">
        <f t="shared" si="6"/>
        <v>91.978574656504989</v>
      </c>
      <c r="U49" s="700" t="str">
        <f t="shared" si="6"/>
        <v/>
      </c>
      <c r="V49" s="700">
        <f t="shared" si="6"/>
        <v>91.978574656504989</v>
      </c>
      <c r="W49" s="700" t="str">
        <f t="shared" si="6"/>
        <v/>
      </c>
      <c r="X49" s="700" t="str">
        <f t="shared" si="6"/>
        <v/>
      </c>
      <c r="Y49" s="700" t="str">
        <f t="shared" si="6"/>
        <v/>
      </c>
      <c r="Z49" s="700" t="str">
        <f t="shared" si="6"/>
        <v/>
      </c>
      <c r="AA49" s="700" t="str">
        <f t="shared" si="6"/>
        <v/>
      </c>
      <c r="AB49" s="710"/>
    </row>
    <row r="50" spans="1:28" s="9" customFormat="1" ht="18.75">
      <c r="A50" s="584">
        <v>36</v>
      </c>
      <c r="B50" s="23" t="s">
        <v>634</v>
      </c>
      <c r="C50" s="642">
        <f t="shared" si="7"/>
        <v>854.36599999999999</v>
      </c>
      <c r="D50" s="642"/>
      <c r="E50" s="642">
        <f>810+44.366-J50</f>
        <v>854.36599999999999</v>
      </c>
      <c r="F50" s="642">
        <v>0</v>
      </c>
      <c r="G50" s="642">
        <v>0</v>
      </c>
      <c r="H50" s="642">
        <f t="shared" si="2"/>
        <v>0</v>
      </c>
      <c r="I50" s="642"/>
      <c r="J50" s="704">
        <v>0</v>
      </c>
      <c r="K50" s="642">
        <f t="shared" si="3"/>
        <v>854.36593500000004</v>
      </c>
      <c r="L50" s="642"/>
      <c r="M50" s="642">
        <v>854.36593500000004</v>
      </c>
      <c r="N50" s="642">
        <v>0</v>
      </c>
      <c r="O50" s="642">
        <v>0</v>
      </c>
      <c r="P50" s="642">
        <f t="shared" si="4"/>
        <v>0</v>
      </c>
      <c r="Q50" s="642"/>
      <c r="R50" s="642">
        <f t="shared" si="8"/>
        <v>0</v>
      </c>
      <c r="S50" s="642">
        <v>0</v>
      </c>
      <c r="T50" s="700">
        <f t="shared" si="6"/>
        <v>99.999992392019365</v>
      </c>
      <c r="U50" s="700" t="str">
        <f t="shared" si="6"/>
        <v/>
      </c>
      <c r="V50" s="700">
        <f t="shared" si="6"/>
        <v>99.999992392019365</v>
      </c>
      <c r="W50" s="700" t="str">
        <f t="shared" si="6"/>
        <v/>
      </c>
      <c r="X50" s="700" t="str">
        <f t="shared" si="6"/>
        <v/>
      </c>
      <c r="Y50" s="700" t="str">
        <f t="shared" si="6"/>
        <v/>
      </c>
      <c r="Z50" s="700" t="str">
        <f t="shared" si="6"/>
        <v/>
      </c>
      <c r="AA50" s="700" t="str">
        <f t="shared" si="6"/>
        <v/>
      </c>
      <c r="AB50" s="710"/>
    </row>
    <row r="51" spans="1:28" s="9" customFormat="1" ht="18.75">
      <c r="A51" s="584">
        <v>37</v>
      </c>
      <c r="B51" s="23" t="s">
        <v>633</v>
      </c>
      <c r="C51" s="642">
        <f t="shared" si="7"/>
        <v>257.83199999999999</v>
      </c>
      <c r="D51" s="642"/>
      <c r="E51" s="642">
        <f>252+5.832-J51</f>
        <v>257.83199999999999</v>
      </c>
      <c r="F51" s="642">
        <v>0</v>
      </c>
      <c r="G51" s="642">
        <v>0</v>
      </c>
      <c r="H51" s="642">
        <f t="shared" si="2"/>
        <v>0</v>
      </c>
      <c r="I51" s="642"/>
      <c r="J51" s="704">
        <v>0</v>
      </c>
      <c r="K51" s="642">
        <f t="shared" si="3"/>
        <v>257.83199999999999</v>
      </c>
      <c r="L51" s="642"/>
      <c r="M51" s="642">
        <v>257.83199999999999</v>
      </c>
      <c r="N51" s="642">
        <v>0</v>
      </c>
      <c r="O51" s="642">
        <v>0</v>
      </c>
      <c r="P51" s="642">
        <f t="shared" si="4"/>
        <v>0</v>
      </c>
      <c r="Q51" s="642"/>
      <c r="R51" s="642">
        <f t="shared" si="8"/>
        <v>0</v>
      </c>
      <c r="S51" s="642">
        <v>0</v>
      </c>
      <c r="T51" s="701">
        <f t="shared" si="6"/>
        <v>100.00000000000001</v>
      </c>
      <c r="U51" s="700" t="str">
        <f t="shared" si="6"/>
        <v/>
      </c>
      <c r="V51" s="700">
        <f t="shared" si="6"/>
        <v>100.00000000000001</v>
      </c>
      <c r="W51" s="700" t="str">
        <f t="shared" si="6"/>
        <v/>
      </c>
      <c r="X51" s="700" t="str">
        <f t="shared" si="6"/>
        <v/>
      </c>
      <c r="Y51" s="700" t="str">
        <f t="shared" si="6"/>
        <v/>
      </c>
      <c r="Z51" s="700" t="str">
        <f t="shared" si="6"/>
        <v/>
      </c>
      <c r="AA51" s="701" t="str">
        <f t="shared" si="6"/>
        <v/>
      </c>
      <c r="AB51" s="710"/>
    </row>
    <row r="52" spans="1:28" s="9" customFormat="1" ht="18.75">
      <c r="A52" s="584">
        <v>38</v>
      </c>
      <c r="B52" s="23" t="s">
        <v>635</v>
      </c>
      <c r="C52" s="642">
        <f t="shared" si="7"/>
        <v>257.959</v>
      </c>
      <c r="D52" s="642"/>
      <c r="E52" s="642">
        <f>252+5.959-J52</f>
        <v>257.959</v>
      </c>
      <c r="F52" s="642">
        <v>0</v>
      </c>
      <c r="G52" s="642">
        <v>0</v>
      </c>
      <c r="H52" s="642">
        <f t="shared" si="2"/>
        <v>0</v>
      </c>
      <c r="I52" s="642"/>
      <c r="J52" s="704">
        <v>0</v>
      </c>
      <c r="K52" s="642">
        <f t="shared" si="3"/>
        <v>252</v>
      </c>
      <c r="L52" s="642"/>
      <c r="M52" s="642">
        <v>252</v>
      </c>
      <c r="N52" s="642">
        <v>0</v>
      </c>
      <c r="O52" s="642">
        <v>0</v>
      </c>
      <c r="P52" s="642">
        <f t="shared" si="4"/>
        <v>0</v>
      </c>
      <c r="Q52" s="642"/>
      <c r="R52" s="642">
        <f t="shared" si="8"/>
        <v>0</v>
      </c>
      <c r="S52" s="642">
        <v>0</v>
      </c>
      <c r="T52" s="702">
        <f t="shared" si="6"/>
        <v>97.689942975434079</v>
      </c>
      <c r="U52" s="700" t="str">
        <f t="shared" si="6"/>
        <v/>
      </c>
      <c r="V52" s="700">
        <f t="shared" si="6"/>
        <v>97.689942975434079</v>
      </c>
      <c r="W52" s="700" t="str">
        <f t="shared" si="6"/>
        <v/>
      </c>
      <c r="X52" s="700" t="str">
        <f t="shared" si="6"/>
        <v/>
      </c>
      <c r="Y52" s="700" t="str">
        <f t="shared" si="6"/>
        <v/>
      </c>
      <c r="Z52" s="700" t="str">
        <f t="shared" si="6"/>
        <v/>
      </c>
      <c r="AA52" s="702" t="str">
        <f t="shared" si="6"/>
        <v/>
      </c>
      <c r="AB52" s="710"/>
    </row>
    <row r="53" spans="1:28" s="9" customFormat="1" ht="18.75">
      <c r="A53" s="584">
        <v>39</v>
      </c>
      <c r="B53" s="23" t="s">
        <v>636</v>
      </c>
      <c r="C53" s="642">
        <f t="shared" si="7"/>
        <v>4617.6499999999996</v>
      </c>
      <c r="D53" s="642"/>
      <c r="E53" s="642">
        <f>1845+2772.65-J53</f>
        <v>4617.6499999999996</v>
      </c>
      <c r="F53" s="642">
        <v>0</v>
      </c>
      <c r="G53" s="642">
        <v>0</v>
      </c>
      <c r="H53" s="642">
        <f>I53+J53</f>
        <v>0</v>
      </c>
      <c r="I53" s="642"/>
      <c r="J53" s="704">
        <v>0</v>
      </c>
      <c r="K53" s="642">
        <f>SUM(L53:P53)+S53</f>
        <v>4279.9203879999995</v>
      </c>
      <c r="L53" s="642"/>
      <c r="M53" s="642">
        <v>4279.9203879999995</v>
      </c>
      <c r="N53" s="642">
        <v>0</v>
      </c>
      <c r="O53" s="642">
        <v>0</v>
      </c>
      <c r="P53" s="642">
        <f t="shared" si="4"/>
        <v>0</v>
      </c>
      <c r="Q53" s="642"/>
      <c r="R53" s="642">
        <f t="shared" si="8"/>
        <v>0</v>
      </c>
      <c r="S53" s="642">
        <v>0</v>
      </c>
      <c r="T53" s="700">
        <f t="shared" si="6"/>
        <v>92.68611497190129</v>
      </c>
      <c r="U53" s="700" t="str">
        <f t="shared" si="6"/>
        <v/>
      </c>
      <c r="V53" s="700">
        <f t="shared" si="6"/>
        <v>92.68611497190129</v>
      </c>
      <c r="W53" s="700" t="str">
        <f t="shared" si="6"/>
        <v/>
      </c>
      <c r="X53" s="700" t="str">
        <f t="shared" si="6"/>
        <v/>
      </c>
      <c r="Y53" s="700" t="str">
        <f t="shared" si="6"/>
        <v/>
      </c>
      <c r="Z53" s="700" t="str">
        <f t="shared" si="6"/>
        <v/>
      </c>
      <c r="AA53" s="700" t="str">
        <f t="shared" si="6"/>
        <v/>
      </c>
      <c r="AB53" s="710"/>
    </row>
    <row r="54" spans="1:28" s="9" customFormat="1" ht="18.75">
      <c r="A54" s="584">
        <v>40</v>
      </c>
      <c r="B54" s="23" t="s">
        <v>637</v>
      </c>
      <c r="C54" s="642">
        <f t="shared" si="7"/>
        <v>2338.1799999999998</v>
      </c>
      <c r="D54" s="642"/>
      <c r="E54" s="642">
        <f>1652+686.18-J54</f>
        <v>2338.1799999999998</v>
      </c>
      <c r="F54" s="642">
        <v>0</v>
      </c>
      <c r="G54" s="642">
        <v>0</v>
      </c>
      <c r="H54" s="642">
        <f t="shared" si="2"/>
        <v>0</v>
      </c>
      <c r="I54" s="642"/>
      <c r="J54" s="704">
        <v>0</v>
      </c>
      <c r="K54" s="642">
        <f t="shared" si="3"/>
        <v>2571.8099569999999</v>
      </c>
      <c r="L54" s="642"/>
      <c r="M54" s="642">
        <v>2571.8099569999999</v>
      </c>
      <c r="N54" s="642">
        <v>0</v>
      </c>
      <c r="O54" s="642">
        <v>0</v>
      </c>
      <c r="P54" s="642">
        <f t="shared" si="4"/>
        <v>0</v>
      </c>
      <c r="Q54" s="642"/>
      <c r="R54" s="642">
        <f t="shared" si="8"/>
        <v>0</v>
      </c>
      <c r="S54" s="642">
        <v>0</v>
      </c>
      <c r="T54" s="700">
        <f t="shared" si="6"/>
        <v>109.99195771925173</v>
      </c>
      <c r="U54" s="700" t="str">
        <f t="shared" si="6"/>
        <v/>
      </c>
      <c r="V54" s="700">
        <f t="shared" si="6"/>
        <v>109.99195771925173</v>
      </c>
      <c r="W54" s="700" t="str">
        <f t="shared" si="6"/>
        <v/>
      </c>
      <c r="X54" s="700" t="str">
        <f t="shared" si="6"/>
        <v/>
      </c>
      <c r="Y54" s="700" t="str">
        <f t="shared" si="6"/>
        <v/>
      </c>
      <c r="Z54" s="700" t="str">
        <f t="shared" si="6"/>
        <v/>
      </c>
      <c r="AA54" s="700" t="str">
        <f t="shared" si="6"/>
        <v/>
      </c>
      <c r="AB54" s="710"/>
    </row>
    <row r="55" spans="1:28" s="9" customFormat="1" ht="18.75">
      <c r="A55" s="584">
        <v>41</v>
      </c>
      <c r="B55" s="23" t="s">
        <v>638</v>
      </c>
      <c r="C55" s="642">
        <f t="shared" si="7"/>
        <v>347.83199999999999</v>
      </c>
      <c r="D55" s="642"/>
      <c r="E55" s="642">
        <f>342+5.832-J55</f>
        <v>347.83199999999999</v>
      </c>
      <c r="F55" s="642">
        <v>0</v>
      </c>
      <c r="G55" s="642">
        <v>0</v>
      </c>
      <c r="H55" s="642">
        <f t="shared" si="2"/>
        <v>0</v>
      </c>
      <c r="I55" s="642"/>
      <c r="J55" s="704">
        <v>0</v>
      </c>
      <c r="K55" s="642">
        <f t="shared" si="3"/>
        <v>347.83199999999999</v>
      </c>
      <c r="L55" s="642"/>
      <c r="M55" s="642">
        <v>347.83199999999999</v>
      </c>
      <c r="N55" s="642">
        <v>0</v>
      </c>
      <c r="O55" s="642">
        <v>0</v>
      </c>
      <c r="P55" s="642">
        <f t="shared" si="4"/>
        <v>0</v>
      </c>
      <c r="Q55" s="642"/>
      <c r="R55" s="642">
        <f t="shared" si="8"/>
        <v>0</v>
      </c>
      <c r="S55" s="642">
        <v>0</v>
      </c>
      <c r="T55" s="700">
        <f t="shared" si="6"/>
        <v>100</v>
      </c>
      <c r="U55" s="700" t="str">
        <f t="shared" si="6"/>
        <v/>
      </c>
      <c r="V55" s="700">
        <f t="shared" si="6"/>
        <v>100</v>
      </c>
      <c r="W55" s="700" t="str">
        <f t="shared" si="6"/>
        <v/>
      </c>
      <c r="X55" s="700" t="str">
        <f t="shared" si="6"/>
        <v/>
      </c>
      <c r="Y55" s="700" t="str">
        <f t="shared" si="6"/>
        <v/>
      </c>
      <c r="Z55" s="700" t="str">
        <f t="shared" si="6"/>
        <v/>
      </c>
      <c r="AA55" s="700" t="str">
        <f t="shared" si="6"/>
        <v/>
      </c>
      <c r="AB55" s="710"/>
    </row>
    <row r="56" spans="1:28" s="9" customFormat="1" ht="18.75">
      <c r="A56" s="584">
        <v>42</v>
      </c>
      <c r="B56" s="23" t="s">
        <v>639</v>
      </c>
      <c r="C56" s="642">
        <f t="shared" si="7"/>
        <v>178.58500000000001</v>
      </c>
      <c r="D56" s="642"/>
      <c r="E56" s="642">
        <f>174+4.585-J56</f>
        <v>178.58500000000001</v>
      </c>
      <c r="F56" s="642">
        <v>0</v>
      </c>
      <c r="G56" s="642">
        <v>0</v>
      </c>
      <c r="H56" s="642">
        <f t="shared" si="2"/>
        <v>0</v>
      </c>
      <c r="I56" s="642"/>
      <c r="J56" s="704">
        <v>0</v>
      </c>
      <c r="K56" s="642">
        <f t="shared" si="3"/>
        <v>178.58459999999999</v>
      </c>
      <c r="L56" s="642"/>
      <c r="M56" s="642">
        <v>178.58459999999999</v>
      </c>
      <c r="N56" s="642">
        <v>0</v>
      </c>
      <c r="O56" s="642">
        <v>0</v>
      </c>
      <c r="P56" s="642">
        <f t="shared" si="4"/>
        <v>0</v>
      </c>
      <c r="Q56" s="642"/>
      <c r="R56" s="642">
        <f t="shared" si="8"/>
        <v>0</v>
      </c>
      <c r="S56" s="642">
        <v>0</v>
      </c>
      <c r="T56" s="700">
        <f t="shared" si="6"/>
        <v>99.999776017022697</v>
      </c>
      <c r="U56" s="700" t="str">
        <f t="shared" si="6"/>
        <v/>
      </c>
      <c r="V56" s="700">
        <f t="shared" si="6"/>
        <v>99.999776017022697</v>
      </c>
      <c r="W56" s="700" t="str">
        <f t="shared" si="6"/>
        <v/>
      </c>
      <c r="X56" s="700" t="str">
        <f t="shared" si="6"/>
        <v/>
      </c>
      <c r="Y56" s="700" t="str">
        <f t="shared" si="6"/>
        <v/>
      </c>
      <c r="Z56" s="700" t="str">
        <f t="shared" si="6"/>
        <v/>
      </c>
      <c r="AA56" s="700" t="str">
        <f t="shared" si="6"/>
        <v/>
      </c>
      <c r="AB56" s="710"/>
    </row>
    <row r="57" spans="1:28" s="9" customFormat="1" ht="18.75">
      <c r="A57" s="584">
        <v>43</v>
      </c>
      <c r="B57" s="23" t="s">
        <v>640</v>
      </c>
      <c r="C57" s="642">
        <f t="shared" si="7"/>
        <v>255.072</v>
      </c>
      <c r="D57" s="642"/>
      <c r="E57" s="642">
        <f>243+12.072-J57</f>
        <v>255.072</v>
      </c>
      <c r="F57" s="642">
        <v>0</v>
      </c>
      <c r="G57" s="642">
        <v>0</v>
      </c>
      <c r="H57" s="642">
        <f t="shared" si="2"/>
        <v>0</v>
      </c>
      <c r="I57" s="642"/>
      <c r="J57" s="704">
        <v>0</v>
      </c>
      <c r="K57" s="642">
        <f t="shared" si="3"/>
        <v>254.25693000000001</v>
      </c>
      <c r="L57" s="642"/>
      <c r="M57" s="642">
        <v>251.27404000000001</v>
      </c>
      <c r="N57" s="642">
        <v>0</v>
      </c>
      <c r="O57" s="642">
        <v>0</v>
      </c>
      <c r="P57" s="642">
        <f t="shared" si="4"/>
        <v>0</v>
      </c>
      <c r="Q57" s="642"/>
      <c r="R57" s="642">
        <f t="shared" si="8"/>
        <v>0</v>
      </c>
      <c r="S57" s="642">
        <v>2.9828899999999998</v>
      </c>
      <c r="T57" s="700">
        <f t="shared" si="6"/>
        <v>99.680454930372605</v>
      </c>
      <c r="U57" s="700" t="str">
        <f t="shared" si="6"/>
        <v/>
      </c>
      <c r="V57" s="700">
        <f t="shared" si="6"/>
        <v>98.511024338226065</v>
      </c>
      <c r="W57" s="700" t="str">
        <f t="shared" si="6"/>
        <v/>
      </c>
      <c r="X57" s="700" t="str">
        <f t="shared" si="6"/>
        <v/>
      </c>
      <c r="Y57" s="700" t="str">
        <f t="shared" si="6"/>
        <v/>
      </c>
      <c r="Z57" s="700" t="str">
        <f t="shared" si="6"/>
        <v/>
      </c>
      <c r="AA57" s="700" t="str">
        <f t="shared" si="6"/>
        <v/>
      </c>
      <c r="AB57" s="710"/>
    </row>
    <row r="58" spans="1:28" s="9" customFormat="1" ht="18.75">
      <c r="A58" s="584">
        <v>44</v>
      </c>
      <c r="B58" s="23" t="s">
        <v>641</v>
      </c>
      <c r="C58" s="642">
        <f t="shared" si="7"/>
        <v>179.62899999999999</v>
      </c>
      <c r="D58" s="642"/>
      <c r="E58" s="642">
        <f>176+3.629-J58</f>
        <v>179.62899999999999</v>
      </c>
      <c r="F58" s="642">
        <v>0</v>
      </c>
      <c r="G58" s="642">
        <v>0</v>
      </c>
      <c r="H58" s="642">
        <f t="shared" si="2"/>
        <v>0</v>
      </c>
      <c r="I58" s="642"/>
      <c r="J58" s="704">
        <v>0</v>
      </c>
      <c r="K58" s="642">
        <f t="shared" si="3"/>
        <v>163.24290999999999</v>
      </c>
      <c r="L58" s="642"/>
      <c r="M58" s="642">
        <v>159.61391</v>
      </c>
      <c r="N58" s="642">
        <v>0</v>
      </c>
      <c r="O58" s="642">
        <v>0</v>
      </c>
      <c r="P58" s="642">
        <f t="shared" si="4"/>
        <v>0</v>
      </c>
      <c r="Q58" s="642"/>
      <c r="R58" s="642">
        <f t="shared" si="8"/>
        <v>0</v>
      </c>
      <c r="S58" s="642">
        <v>3.629</v>
      </c>
      <c r="T58" s="700">
        <f t="shared" si="6"/>
        <v>90.877814829454039</v>
      </c>
      <c r="U58" s="700" t="str">
        <f t="shared" si="6"/>
        <v/>
      </c>
      <c r="V58" s="700">
        <f t="shared" si="6"/>
        <v>88.857539706840214</v>
      </c>
      <c r="W58" s="700" t="str">
        <f t="shared" si="6"/>
        <v/>
      </c>
      <c r="X58" s="700" t="str">
        <f t="shared" si="6"/>
        <v/>
      </c>
      <c r="Y58" s="700" t="str">
        <f t="shared" si="6"/>
        <v/>
      </c>
      <c r="Z58" s="700" t="str">
        <f t="shared" si="6"/>
        <v/>
      </c>
      <c r="AA58" s="700" t="str">
        <f t="shared" si="6"/>
        <v/>
      </c>
      <c r="AB58" s="710"/>
    </row>
    <row r="59" spans="1:28" s="9" customFormat="1" ht="18.75">
      <c r="A59" s="584">
        <v>45</v>
      </c>
      <c r="B59" s="23" t="s">
        <v>644</v>
      </c>
      <c r="C59" s="642">
        <f>SUM(D59:H59)</f>
        <v>65.7</v>
      </c>
      <c r="D59" s="642"/>
      <c r="E59" s="642">
        <v>65.7</v>
      </c>
      <c r="F59" s="642">
        <v>0</v>
      </c>
      <c r="G59" s="642">
        <v>0</v>
      </c>
      <c r="H59" s="642">
        <f>I59+J59</f>
        <v>0</v>
      </c>
      <c r="I59" s="642"/>
      <c r="J59" s="704">
        <v>0</v>
      </c>
      <c r="K59" s="642">
        <f>SUM(L59:P59)+S59</f>
        <v>62.1</v>
      </c>
      <c r="L59" s="642"/>
      <c r="M59" s="642">
        <v>62.1</v>
      </c>
      <c r="N59" s="642">
        <v>0</v>
      </c>
      <c r="O59" s="642">
        <v>0</v>
      </c>
      <c r="P59" s="642">
        <f>Q59+R59</f>
        <v>0</v>
      </c>
      <c r="Q59" s="642"/>
      <c r="R59" s="642">
        <f t="shared" si="8"/>
        <v>0</v>
      </c>
      <c r="S59" s="642">
        <v>0</v>
      </c>
      <c r="T59" s="700">
        <f t="shared" ref="T59:AA74" si="9">IF(AND(C59&lt;&gt;0,K59&lt;&gt;0),K59/C59%,"")</f>
        <v>94.520547945205479</v>
      </c>
      <c r="U59" s="700" t="str">
        <f t="shared" si="9"/>
        <v/>
      </c>
      <c r="V59" s="700">
        <f t="shared" si="9"/>
        <v>94.520547945205479</v>
      </c>
      <c r="W59" s="700" t="str">
        <f t="shared" si="9"/>
        <v/>
      </c>
      <c r="X59" s="700" t="str">
        <f t="shared" si="9"/>
        <v/>
      </c>
      <c r="Y59" s="700" t="str">
        <f t="shared" si="9"/>
        <v/>
      </c>
      <c r="Z59" s="700" t="str">
        <f t="shared" si="9"/>
        <v/>
      </c>
      <c r="AA59" s="700" t="str">
        <f t="shared" si="9"/>
        <v/>
      </c>
      <c r="AB59" s="710"/>
    </row>
    <row r="60" spans="1:28" s="616" customFormat="1" ht="37.5">
      <c r="A60" s="584">
        <v>46</v>
      </c>
      <c r="B60" s="595" t="s">
        <v>642</v>
      </c>
      <c r="C60" s="575">
        <f t="shared" si="7"/>
        <v>15810</v>
      </c>
      <c r="D60" s="575"/>
      <c r="E60" s="575">
        <f>6010+9800</f>
        <v>15810</v>
      </c>
      <c r="F60" s="575">
        <v>0</v>
      </c>
      <c r="G60" s="575">
        <v>0</v>
      </c>
      <c r="H60" s="575">
        <f t="shared" si="2"/>
        <v>0</v>
      </c>
      <c r="I60" s="575"/>
      <c r="J60" s="705">
        <v>0</v>
      </c>
      <c r="K60" s="575">
        <f t="shared" si="3"/>
        <v>14228.19623</v>
      </c>
      <c r="L60" s="575"/>
      <c r="M60" s="575">
        <v>14228.19623</v>
      </c>
      <c r="N60" s="575">
        <v>0</v>
      </c>
      <c r="O60" s="575">
        <v>0</v>
      </c>
      <c r="P60" s="575">
        <f t="shared" si="4"/>
        <v>0</v>
      </c>
      <c r="Q60" s="575"/>
      <c r="R60" s="642">
        <f t="shared" si="8"/>
        <v>0</v>
      </c>
      <c r="S60" s="575">
        <v>0</v>
      </c>
      <c r="T60" s="706">
        <f t="shared" si="9"/>
        <v>89.994916065781155</v>
      </c>
      <c r="U60" s="706" t="str">
        <f t="shared" si="9"/>
        <v/>
      </c>
      <c r="V60" s="706">
        <f t="shared" si="9"/>
        <v>89.994916065781155</v>
      </c>
      <c r="W60" s="706" t="str">
        <f t="shared" si="9"/>
        <v/>
      </c>
      <c r="X60" s="706" t="str">
        <f t="shared" si="9"/>
        <v/>
      </c>
      <c r="Y60" s="706" t="str">
        <f t="shared" si="9"/>
        <v/>
      </c>
      <c r="Z60" s="706" t="str">
        <f t="shared" si="9"/>
        <v/>
      </c>
      <c r="AA60" s="706" t="str">
        <f t="shared" si="9"/>
        <v/>
      </c>
      <c r="AB60" s="714"/>
    </row>
    <row r="61" spans="1:28" s="616" customFormat="1" ht="37.5">
      <c r="A61" s="584">
        <v>47</v>
      </c>
      <c r="B61" s="595" t="s">
        <v>643</v>
      </c>
      <c r="C61" s="575">
        <f t="shared" si="7"/>
        <v>17240.8226</v>
      </c>
      <c r="D61" s="575"/>
      <c r="E61" s="575">
        <f>0+17240.8226-J61</f>
        <v>17240.8226</v>
      </c>
      <c r="F61" s="575">
        <v>0</v>
      </c>
      <c r="G61" s="575">
        <v>0</v>
      </c>
      <c r="H61" s="575">
        <f>I61+J61</f>
        <v>0</v>
      </c>
      <c r="I61" s="575"/>
      <c r="J61" s="705">
        <v>0</v>
      </c>
      <c r="K61" s="575">
        <f t="shared" si="3"/>
        <v>15411.446916999999</v>
      </c>
      <c r="L61" s="575"/>
      <c r="M61" s="575">
        <v>12776.413917</v>
      </c>
      <c r="N61" s="575">
        <v>0</v>
      </c>
      <c r="O61" s="575">
        <v>0</v>
      </c>
      <c r="P61" s="575">
        <f t="shared" si="4"/>
        <v>0</v>
      </c>
      <c r="Q61" s="575"/>
      <c r="R61" s="642">
        <f t="shared" si="8"/>
        <v>0</v>
      </c>
      <c r="S61" s="575">
        <v>2635.0329999999999</v>
      </c>
      <c r="T61" s="706">
        <f t="shared" si="9"/>
        <v>89.389278426888978</v>
      </c>
      <c r="U61" s="706" t="str">
        <f t="shared" si="9"/>
        <v/>
      </c>
      <c r="V61" s="706">
        <f t="shared" si="9"/>
        <v>74.105593528930584</v>
      </c>
      <c r="W61" s="706" t="str">
        <f t="shared" si="9"/>
        <v/>
      </c>
      <c r="X61" s="706" t="str">
        <f t="shared" si="9"/>
        <v/>
      </c>
      <c r="Y61" s="706" t="str">
        <f t="shared" si="9"/>
        <v/>
      </c>
      <c r="Z61" s="706" t="str">
        <f t="shared" si="9"/>
        <v/>
      </c>
      <c r="AA61" s="706" t="str">
        <f t="shared" si="9"/>
        <v/>
      </c>
      <c r="AB61" s="714"/>
    </row>
    <row r="62" spans="1:28" s="9" customFormat="1" ht="37.5">
      <c r="A62" s="584">
        <v>48</v>
      </c>
      <c r="B62" s="595" t="s">
        <v>645</v>
      </c>
      <c r="C62" s="642">
        <f t="shared" si="7"/>
        <v>38134.619999999995</v>
      </c>
      <c r="D62" s="642"/>
      <c r="E62" s="642">
        <f>10380+27754.62-J62</f>
        <v>38134.619999999995</v>
      </c>
      <c r="F62" s="642">
        <v>0</v>
      </c>
      <c r="G62" s="642">
        <v>0</v>
      </c>
      <c r="H62" s="642">
        <f t="shared" si="2"/>
        <v>0</v>
      </c>
      <c r="I62" s="642"/>
      <c r="J62" s="704">
        <v>0</v>
      </c>
      <c r="K62" s="642">
        <f t="shared" si="3"/>
        <v>62191.787786000001</v>
      </c>
      <c r="L62" s="642"/>
      <c r="M62" s="642">
        <v>36729.095169</v>
      </c>
      <c r="N62" s="642">
        <v>0</v>
      </c>
      <c r="O62" s="642">
        <v>0</v>
      </c>
      <c r="P62" s="642">
        <f t="shared" si="4"/>
        <v>0</v>
      </c>
      <c r="Q62" s="642"/>
      <c r="R62" s="642">
        <f t="shared" si="8"/>
        <v>0</v>
      </c>
      <c r="S62" s="642">
        <v>25462.692617000001</v>
      </c>
      <c r="T62" s="700">
        <f t="shared" si="9"/>
        <v>163.08484989754717</v>
      </c>
      <c r="U62" s="700" t="str">
        <f t="shared" si="9"/>
        <v/>
      </c>
      <c r="V62" s="700">
        <f t="shared" si="9"/>
        <v>96.314307495393962</v>
      </c>
      <c r="W62" s="700" t="str">
        <f t="shared" si="9"/>
        <v/>
      </c>
      <c r="X62" s="700" t="str">
        <f t="shared" si="9"/>
        <v/>
      </c>
      <c r="Y62" s="700" t="str">
        <f t="shared" si="9"/>
        <v/>
      </c>
      <c r="Z62" s="700" t="str">
        <f t="shared" si="9"/>
        <v/>
      </c>
      <c r="AA62" s="700" t="str">
        <f t="shared" si="9"/>
        <v/>
      </c>
      <c r="AB62" s="710"/>
    </row>
    <row r="63" spans="1:28" s="9" customFormat="1" ht="18.75">
      <c r="A63" s="584">
        <v>49</v>
      </c>
      <c r="B63" s="707" t="s">
        <v>647</v>
      </c>
      <c r="C63" s="642">
        <f t="shared" si="7"/>
        <v>4610</v>
      </c>
      <c r="D63" s="642"/>
      <c r="E63" s="642">
        <f>4610</f>
        <v>4610</v>
      </c>
      <c r="F63" s="642"/>
      <c r="G63" s="642"/>
      <c r="H63" s="642">
        <f t="shared" si="2"/>
        <v>0</v>
      </c>
      <c r="I63" s="642"/>
      <c r="J63" s="704"/>
      <c r="K63" s="642">
        <f t="shared" si="3"/>
        <v>0</v>
      </c>
      <c r="L63" s="642"/>
      <c r="M63" s="642"/>
      <c r="N63" s="642"/>
      <c r="O63" s="642"/>
      <c r="P63" s="642">
        <f t="shared" si="4"/>
        <v>0</v>
      </c>
      <c r="Q63" s="642"/>
      <c r="R63" s="642">
        <f t="shared" si="8"/>
        <v>0</v>
      </c>
      <c r="S63" s="642"/>
      <c r="T63" s="700" t="str">
        <f t="shared" si="9"/>
        <v/>
      </c>
      <c r="U63" s="700" t="str">
        <f t="shared" si="9"/>
        <v/>
      </c>
      <c r="V63" s="700" t="str">
        <f t="shared" si="9"/>
        <v/>
      </c>
      <c r="W63" s="700" t="str">
        <f t="shared" si="9"/>
        <v/>
      </c>
      <c r="X63" s="700" t="str">
        <f t="shared" si="9"/>
        <v/>
      </c>
      <c r="Y63" s="700" t="str">
        <f t="shared" si="9"/>
        <v/>
      </c>
      <c r="Z63" s="700" t="str">
        <f t="shared" si="9"/>
        <v/>
      </c>
      <c r="AA63" s="700" t="str">
        <f t="shared" si="9"/>
        <v/>
      </c>
      <c r="AB63" s="710"/>
    </row>
    <row r="64" spans="1:28" s="9" customFormat="1" ht="18.75">
      <c r="A64" s="584">
        <v>50</v>
      </c>
      <c r="B64" s="707" t="s">
        <v>648</v>
      </c>
      <c r="C64" s="642">
        <f t="shared" si="7"/>
        <v>0</v>
      </c>
      <c r="D64" s="642"/>
      <c r="E64" s="642"/>
      <c r="F64" s="642"/>
      <c r="G64" s="642"/>
      <c r="H64" s="642">
        <f t="shared" si="2"/>
        <v>0</v>
      </c>
      <c r="I64" s="642"/>
      <c r="J64" s="704"/>
      <c r="K64" s="642">
        <f t="shared" si="3"/>
        <v>0</v>
      </c>
      <c r="L64" s="642"/>
      <c r="M64" s="642"/>
      <c r="N64" s="642"/>
      <c r="O64" s="642"/>
      <c r="P64" s="642">
        <f t="shared" si="4"/>
        <v>0</v>
      </c>
      <c r="Q64" s="642"/>
      <c r="R64" s="642">
        <f t="shared" si="8"/>
        <v>0</v>
      </c>
      <c r="S64" s="642"/>
      <c r="T64" s="700" t="str">
        <f t="shared" si="9"/>
        <v/>
      </c>
      <c r="U64" s="700" t="str">
        <f t="shared" si="9"/>
        <v/>
      </c>
      <c r="V64" s="700" t="str">
        <f t="shared" si="9"/>
        <v/>
      </c>
      <c r="W64" s="700" t="str">
        <f t="shared" si="9"/>
        <v/>
      </c>
      <c r="X64" s="700" t="str">
        <f t="shared" si="9"/>
        <v/>
      </c>
      <c r="Y64" s="700" t="str">
        <f t="shared" si="9"/>
        <v/>
      </c>
      <c r="Z64" s="700" t="str">
        <f t="shared" si="9"/>
        <v/>
      </c>
      <c r="AA64" s="700" t="str">
        <f t="shared" si="9"/>
        <v/>
      </c>
      <c r="AB64" s="710"/>
    </row>
    <row r="65" spans="1:28" s="9" customFormat="1" ht="18.75">
      <c r="A65" s="584">
        <v>51</v>
      </c>
      <c r="B65" s="707" t="s">
        <v>646</v>
      </c>
      <c r="C65" s="642">
        <f t="shared" si="7"/>
        <v>3500</v>
      </c>
      <c r="D65" s="642"/>
      <c r="E65" s="642">
        <v>3500</v>
      </c>
      <c r="F65" s="642">
        <v>0</v>
      </c>
      <c r="G65" s="642">
        <v>0</v>
      </c>
      <c r="H65" s="642">
        <f t="shared" si="2"/>
        <v>0</v>
      </c>
      <c r="I65" s="642"/>
      <c r="J65" s="704">
        <v>0</v>
      </c>
      <c r="K65" s="642">
        <f t="shared" si="3"/>
        <v>31143.328674</v>
      </c>
      <c r="L65" s="642"/>
      <c r="M65" s="642">
        <v>31143.328674</v>
      </c>
      <c r="N65" s="642"/>
      <c r="O65" s="642"/>
      <c r="P65" s="642">
        <f t="shared" si="4"/>
        <v>0</v>
      </c>
      <c r="Q65" s="642"/>
      <c r="R65" s="642">
        <f t="shared" si="8"/>
        <v>0</v>
      </c>
      <c r="S65" s="642"/>
      <c r="T65" s="700">
        <f t="shared" si="9"/>
        <v>889.80939068571433</v>
      </c>
      <c r="U65" s="700" t="str">
        <f t="shared" si="9"/>
        <v/>
      </c>
      <c r="V65" s="700">
        <f t="shared" si="9"/>
        <v>889.80939068571433</v>
      </c>
      <c r="W65" s="700" t="str">
        <f t="shared" si="9"/>
        <v/>
      </c>
      <c r="X65" s="700" t="str">
        <f t="shared" si="9"/>
        <v/>
      </c>
      <c r="Y65" s="700" t="str">
        <f t="shared" si="9"/>
        <v/>
      </c>
      <c r="Z65" s="700" t="str">
        <f t="shared" si="9"/>
        <v/>
      </c>
      <c r="AA65" s="700" t="str">
        <f t="shared" si="9"/>
        <v/>
      </c>
      <c r="AB65" s="710"/>
    </row>
    <row r="66" spans="1:28" s="9" customFormat="1" ht="18.75">
      <c r="A66" s="584">
        <v>52</v>
      </c>
      <c r="B66" s="707" t="s">
        <v>649</v>
      </c>
      <c r="C66" s="642">
        <f t="shared" si="7"/>
        <v>77093</v>
      </c>
      <c r="D66" s="642">
        <f>59739+17354</f>
        <v>77093</v>
      </c>
      <c r="E66" s="642"/>
      <c r="F66" s="642"/>
      <c r="G66" s="642"/>
      <c r="H66" s="642">
        <f t="shared" si="2"/>
        <v>0</v>
      </c>
      <c r="I66" s="642"/>
      <c r="J66" s="717"/>
      <c r="K66" s="642">
        <f t="shared" si="3"/>
        <v>222816.13077599998</v>
      </c>
      <c r="L66" s="642">
        <f>94088.319941</f>
        <v>94088.319940999994</v>
      </c>
      <c r="M66" s="642"/>
      <c r="N66" s="642"/>
      <c r="O66" s="642"/>
      <c r="P66" s="642">
        <f t="shared" si="4"/>
        <v>128727.810835</v>
      </c>
      <c r="Q66" s="642">
        <f>898.3614+21632.221332+1491.2407+101534.999003+231.597</f>
        <v>125788.419435</v>
      </c>
      <c r="R66" s="704">
        <f t="shared" si="8"/>
        <v>2939.3914</v>
      </c>
      <c r="S66" s="642"/>
      <c r="T66" s="700">
        <f t="shared" si="9"/>
        <v>289.02251926374635</v>
      </c>
      <c r="U66" s="700">
        <f t="shared" si="9"/>
        <v>122.04521803665702</v>
      </c>
      <c r="V66" s="700" t="str">
        <f t="shared" si="9"/>
        <v/>
      </c>
      <c r="W66" s="700" t="str">
        <f t="shared" si="9"/>
        <v/>
      </c>
      <c r="X66" s="700" t="str">
        <f t="shared" si="9"/>
        <v/>
      </c>
      <c r="Y66" s="700" t="str">
        <f t="shared" si="9"/>
        <v/>
      </c>
      <c r="Z66" s="700" t="str">
        <f t="shared" si="9"/>
        <v/>
      </c>
      <c r="AA66" s="700" t="str">
        <f t="shared" si="9"/>
        <v/>
      </c>
      <c r="AB66" s="710">
        <v>2939.3914</v>
      </c>
    </row>
    <row r="67" spans="1:28" s="9" customFormat="1" ht="18.75">
      <c r="A67" s="584">
        <v>53</v>
      </c>
      <c r="B67" s="23"/>
      <c r="C67" s="642">
        <f t="shared" si="7"/>
        <v>0</v>
      </c>
      <c r="D67" s="642"/>
      <c r="E67" s="642"/>
      <c r="F67" s="642"/>
      <c r="G67" s="642"/>
      <c r="H67" s="642">
        <f t="shared" si="2"/>
        <v>0</v>
      </c>
      <c r="I67" s="642"/>
      <c r="J67" s="704"/>
      <c r="K67" s="642">
        <f t="shared" si="3"/>
        <v>0</v>
      </c>
      <c r="L67" s="642"/>
      <c r="M67" s="642"/>
      <c r="N67" s="642"/>
      <c r="O67" s="642"/>
      <c r="P67" s="642">
        <f t="shared" si="4"/>
        <v>0</v>
      </c>
      <c r="Q67" s="642"/>
      <c r="R67" s="642">
        <f t="shared" si="8"/>
        <v>0</v>
      </c>
      <c r="S67" s="642"/>
      <c r="T67" s="700" t="str">
        <f t="shared" si="9"/>
        <v/>
      </c>
      <c r="U67" s="700" t="str">
        <f t="shared" si="9"/>
        <v/>
      </c>
      <c r="V67" s="700" t="str">
        <f t="shared" si="9"/>
        <v/>
      </c>
      <c r="W67" s="700" t="str">
        <f t="shared" si="9"/>
        <v/>
      </c>
      <c r="X67" s="700" t="str">
        <f t="shared" si="9"/>
        <v/>
      </c>
      <c r="Y67" s="700" t="str">
        <f t="shared" si="9"/>
        <v/>
      </c>
      <c r="Z67" s="700" t="str">
        <f t="shared" si="9"/>
        <v/>
      </c>
      <c r="AA67" s="700" t="str">
        <f t="shared" si="9"/>
        <v/>
      </c>
      <c r="AB67" s="710"/>
    </row>
    <row r="68" spans="1:28" s="9" customFormat="1" ht="18.75">
      <c r="A68" s="584">
        <v>54</v>
      </c>
      <c r="B68" s="23"/>
      <c r="C68" s="642">
        <f t="shared" si="7"/>
        <v>0</v>
      </c>
      <c r="D68" s="642"/>
      <c r="E68" s="642"/>
      <c r="F68" s="642"/>
      <c r="G68" s="642"/>
      <c r="H68" s="642">
        <f t="shared" si="2"/>
        <v>0</v>
      </c>
      <c r="I68" s="642"/>
      <c r="J68" s="704"/>
      <c r="K68" s="642">
        <f t="shared" si="3"/>
        <v>0</v>
      </c>
      <c r="L68" s="642"/>
      <c r="M68" s="642"/>
      <c r="N68" s="642"/>
      <c r="O68" s="642"/>
      <c r="P68" s="642">
        <f t="shared" si="4"/>
        <v>0</v>
      </c>
      <c r="Q68" s="642"/>
      <c r="R68" s="642">
        <f t="shared" si="8"/>
        <v>0</v>
      </c>
      <c r="S68" s="642"/>
      <c r="T68" s="700" t="str">
        <f t="shared" si="9"/>
        <v/>
      </c>
      <c r="U68" s="700" t="str">
        <f t="shared" si="9"/>
        <v/>
      </c>
      <c r="V68" s="700" t="str">
        <f t="shared" si="9"/>
        <v/>
      </c>
      <c r="W68" s="700" t="str">
        <f t="shared" si="9"/>
        <v/>
      </c>
      <c r="X68" s="700" t="str">
        <f t="shared" si="9"/>
        <v/>
      </c>
      <c r="Y68" s="700" t="str">
        <f t="shared" si="9"/>
        <v/>
      </c>
      <c r="Z68" s="700" t="str">
        <f t="shared" si="9"/>
        <v/>
      </c>
      <c r="AA68" s="700" t="str">
        <f t="shared" si="9"/>
        <v/>
      </c>
      <c r="AB68" s="710"/>
    </row>
    <row r="69" spans="1:28" s="9" customFormat="1" ht="18.75">
      <c r="A69" s="584">
        <v>55</v>
      </c>
      <c r="B69" s="23"/>
      <c r="C69" s="642">
        <f t="shared" si="7"/>
        <v>0</v>
      </c>
      <c r="D69" s="642"/>
      <c r="E69" s="642"/>
      <c r="F69" s="642"/>
      <c r="G69" s="642"/>
      <c r="H69" s="642">
        <f t="shared" si="2"/>
        <v>0</v>
      </c>
      <c r="I69" s="642"/>
      <c r="J69" s="704"/>
      <c r="K69" s="642">
        <f t="shared" si="3"/>
        <v>0</v>
      </c>
      <c r="L69" s="642"/>
      <c r="M69" s="642"/>
      <c r="N69" s="642"/>
      <c r="O69" s="642"/>
      <c r="P69" s="642">
        <f t="shared" si="4"/>
        <v>0</v>
      </c>
      <c r="Q69" s="642"/>
      <c r="R69" s="642">
        <f t="shared" si="8"/>
        <v>0</v>
      </c>
      <c r="S69" s="642"/>
      <c r="T69" s="700" t="str">
        <f t="shared" si="9"/>
        <v/>
      </c>
      <c r="U69" s="700" t="str">
        <f t="shared" si="9"/>
        <v/>
      </c>
      <c r="V69" s="700" t="str">
        <f t="shared" si="9"/>
        <v/>
      </c>
      <c r="W69" s="700" t="str">
        <f t="shared" si="9"/>
        <v/>
      </c>
      <c r="X69" s="700" t="str">
        <f t="shared" si="9"/>
        <v/>
      </c>
      <c r="Y69" s="700" t="str">
        <f t="shared" si="9"/>
        <v/>
      </c>
      <c r="Z69" s="700" t="str">
        <f t="shared" si="9"/>
        <v/>
      </c>
      <c r="AA69" s="700" t="str">
        <f t="shared" si="9"/>
        <v/>
      </c>
      <c r="AB69" s="710"/>
    </row>
    <row r="70" spans="1:28" s="9" customFormat="1" ht="18.75">
      <c r="A70" s="584">
        <v>56</v>
      </c>
      <c r="B70" s="23"/>
      <c r="C70" s="642">
        <f t="shared" si="7"/>
        <v>0</v>
      </c>
      <c r="D70" s="642"/>
      <c r="E70" s="642"/>
      <c r="F70" s="642"/>
      <c r="G70" s="642"/>
      <c r="H70" s="642">
        <f t="shared" si="2"/>
        <v>0</v>
      </c>
      <c r="I70" s="642"/>
      <c r="J70" s="704"/>
      <c r="K70" s="642">
        <f t="shared" si="3"/>
        <v>0</v>
      </c>
      <c r="L70" s="642"/>
      <c r="M70" s="642"/>
      <c r="N70" s="642"/>
      <c r="O70" s="642"/>
      <c r="P70" s="642">
        <f t="shared" si="4"/>
        <v>0</v>
      </c>
      <c r="Q70" s="642"/>
      <c r="R70" s="642">
        <f t="shared" si="8"/>
        <v>0</v>
      </c>
      <c r="S70" s="642"/>
      <c r="T70" s="700" t="str">
        <f t="shared" si="9"/>
        <v/>
      </c>
      <c r="U70" s="700" t="str">
        <f t="shared" si="9"/>
        <v/>
      </c>
      <c r="V70" s="700" t="str">
        <f t="shared" si="9"/>
        <v/>
      </c>
      <c r="W70" s="700" t="str">
        <f t="shared" si="9"/>
        <v/>
      </c>
      <c r="X70" s="700" t="str">
        <f t="shared" si="9"/>
        <v/>
      </c>
      <c r="Y70" s="700" t="str">
        <f t="shared" si="9"/>
        <v/>
      </c>
      <c r="Z70" s="700" t="str">
        <f t="shared" si="9"/>
        <v/>
      </c>
      <c r="AA70" s="700" t="str">
        <f t="shared" si="9"/>
        <v/>
      </c>
      <c r="AB70" s="710"/>
    </row>
    <row r="71" spans="1:28" s="9" customFormat="1" ht="18.75">
      <c r="A71" s="584">
        <v>57</v>
      </c>
      <c r="B71" s="23"/>
      <c r="C71" s="642">
        <f t="shared" si="7"/>
        <v>0</v>
      </c>
      <c r="D71" s="642"/>
      <c r="E71" s="642"/>
      <c r="F71" s="642"/>
      <c r="G71" s="642"/>
      <c r="H71" s="642">
        <f t="shared" si="2"/>
        <v>0</v>
      </c>
      <c r="I71" s="642"/>
      <c r="J71" s="704"/>
      <c r="K71" s="642">
        <f t="shared" si="3"/>
        <v>0</v>
      </c>
      <c r="L71" s="642"/>
      <c r="M71" s="642"/>
      <c r="N71" s="642"/>
      <c r="O71" s="642"/>
      <c r="P71" s="642">
        <f t="shared" si="4"/>
        <v>0</v>
      </c>
      <c r="Q71" s="642"/>
      <c r="R71" s="642">
        <f t="shared" si="8"/>
        <v>0</v>
      </c>
      <c r="S71" s="642"/>
      <c r="T71" s="700" t="str">
        <f t="shared" si="9"/>
        <v/>
      </c>
      <c r="U71" s="700" t="str">
        <f t="shared" si="9"/>
        <v/>
      </c>
      <c r="V71" s="700" t="str">
        <f t="shared" si="9"/>
        <v/>
      </c>
      <c r="W71" s="700" t="str">
        <f t="shared" si="9"/>
        <v/>
      </c>
      <c r="X71" s="700" t="str">
        <f t="shared" si="9"/>
        <v/>
      </c>
      <c r="Y71" s="700" t="str">
        <f t="shared" si="9"/>
        <v/>
      </c>
      <c r="Z71" s="700" t="str">
        <f t="shared" si="9"/>
        <v/>
      </c>
      <c r="AA71" s="700" t="str">
        <f t="shared" si="9"/>
        <v/>
      </c>
      <c r="AB71" s="710"/>
    </row>
    <row r="72" spans="1:28" s="9" customFormat="1" ht="18.75">
      <c r="A72" s="584">
        <v>58</v>
      </c>
      <c r="B72" s="23"/>
      <c r="C72" s="642">
        <f t="shared" si="7"/>
        <v>0</v>
      </c>
      <c r="D72" s="642"/>
      <c r="E72" s="642"/>
      <c r="F72" s="642"/>
      <c r="G72" s="642"/>
      <c r="H72" s="642">
        <f t="shared" si="2"/>
        <v>0</v>
      </c>
      <c r="I72" s="642"/>
      <c r="J72" s="704"/>
      <c r="K72" s="642">
        <f t="shared" si="3"/>
        <v>0</v>
      </c>
      <c r="L72" s="642"/>
      <c r="M72" s="642"/>
      <c r="N72" s="642"/>
      <c r="O72" s="642"/>
      <c r="P72" s="642">
        <f t="shared" si="4"/>
        <v>0</v>
      </c>
      <c r="Q72" s="642"/>
      <c r="R72" s="642">
        <f t="shared" si="8"/>
        <v>0</v>
      </c>
      <c r="S72" s="642"/>
      <c r="T72" s="700" t="str">
        <f t="shared" si="9"/>
        <v/>
      </c>
      <c r="U72" s="700" t="str">
        <f t="shared" si="9"/>
        <v/>
      </c>
      <c r="V72" s="700" t="str">
        <f t="shared" si="9"/>
        <v/>
      </c>
      <c r="W72" s="700" t="str">
        <f t="shared" si="9"/>
        <v/>
      </c>
      <c r="X72" s="700" t="str">
        <f t="shared" si="9"/>
        <v/>
      </c>
      <c r="Y72" s="700" t="str">
        <f t="shared" si="9"/>
        <v/>
      </c>
      <c r="Z72" s="700" t="str">
        <f t="shared" si="9"/>
        <v/>
      </c>
      <c r="AA72" s="700" t="str">
        <f t="shared" si="9"/>
        <v/>
      </c>
      <c r="AB72" s="710"/>
    </row>
    <row r="73" spans="1:28" s="32" customFormat="1" ht="18.75">
      <c r="A73" s="582" t="s">
        <v>33</v>
      </c>
      <c r="B73" s="583" t="s">
        <v>539</v>
      </c>
      <c r="C73" s="641">
        <f t="shared" si="7"/>
        <v>800</v>
      </c>
      <c r="D73" s="641"/>
      <c r="E73" s="641"/>
      <c r="F73" s="641">
        <v>800</v>
      </c>
      <c r="G73" s="641"/>
      <c r="H73" s="641">
        <f t="shared" si="2"/>
        <v>0</v>
      </c>
      <c r="I73" s="641"/>
      <c r="J73" s="641"/>
      <c r="K73" s="641">
        <f t="shared" si="3"/>
        <v>0</v>
      </c>
      <c r="L73" s="641">
        <v>0</v>
      </c>
      <c r="M73" s="641">
        <v>0</v>
      </c>
      <c r="N73" s="641">
        <v>0</v>
      </c>
      <c r="O73" s="641">
        <v>0</v>
      </c>
      <c r="P73" s="641">
        <f t="shared" si="4"/>
        <v>0</v>
      </c>
      <c r="Q73" s="641">
        <v>0</v>
      </c>
      <c r="R73" s="641">
        <v>0</v>
      </c>
      <c r="S73" s="641">
        <v>0</v>
      </c>
      <c r="T73" s="699" t="str">
        <f t="shared" si="9"/>
        <v/>
      </c>
      <c r="U73" s="699" t="str">
        <f t="shared" si="9"/>
        <v/>
      </c>
      <c r="V73" s="699" t="str">
        <f t="shared" si="9"/>
        <v/>
      </c>
      <c r="W73" s="699" t="str">
        <f t="shared" si="9"/>
        <v/>
      </c>
      <c r="X73" s="699" t="str">
        <f t="shared" si="9"/>
        <v/>
      </c>
      <c r="Y73" s="699" t="str">
        <f t="shared" si="9"/>
        <v/>
      </c>
      <c r="Z73" s="699" t="str">
        <f t="shared" si="9"/>
        <v/>
      </c>
      <c r="AA73" s="699" t="str">
        <f t="shared" si="9"/>
        <v/>
      </c>
      <c r="AB73" s="715"/>
    </row>
    <row r="74" spans="1:28" s="32" customFormat="1" ht="18.75">
      <c r="A74" s="582" t="s">
        <v>34</v>
      </c>
      <c r="B74" s="583" t="s">
        <v>650</v>
      </c>
      <c r="C74" s="641">
        <f t="shared" si="7"/>
        <v>1000</v>
      </c>
      <c r="D74" s="641"/>
      <c r="E74" s="641"/>
      <c r="F74" s="641"/>
      <c r="G74" s="641">
        <v>1000</v>
      </c>
      <c r="H74" s="641">
        <f t="shared" si="2"/>
        <v>0</v>
      </c>
      <c r="I74" s="641"/>
      <c r="J74" s="641"/>
      <c r="K74" s="641">
        <f t="shared" si="3"/>
        <v>1000</v>
      </c>
      <c r="L74" s="641">
        <v>0</v>
      </c>
      <c r="M74" s="641">
        <v>0</v>
      </c>
      <c r="N74" s="641">
        <v>0</v>
      </c>
      <c r="O74" s="641">
        <v>1000</v>
      </c>
      <c r="P74" s="641">
        <f t="shared" si="4"/>
        <v>0</v>
      </c>
      <c r="Q74" s="641">
        <v>0</v>
      </c>
      <c r="R74" s="641">
        <v>0</v>
      </c>
      <c r="S74" s="641">
        <v>0</v>
      </c>
      <c r="T74" s="699">
        <f t="shared" si="9"/>
        <v>100</v>
      </c>
      <c r="U74" s="699" t="str">
        <f t="shared" si="9"/>
        <v/>
      </c>
      <c r="V74" s="699" t="str">
        <f t="shared" si="9"/>
        <v/>
      </c>
      <c r="W74" s="699" t="str">
        <f t="shared" si="9"/>
        <v/>
      </c>
      <c r="X74" s="699">
        <f t="shared" si="9"/>
        <v>100</v>
      </c>
      <c r="Y74" s="699" t="str">
        <f t="shared" si="9"/>
        <v/>
      </c>
      <c r="Z74" s="699" t="str">
        <f t="shared" si="9"/>
        <v/>
      </c>
      <c r="AA74" s="699" t="str">
        <f t="shared" si="9"/>
        <v/>
      </c>
      <c r="AB74" s="715"/>
    </row>
    <row r="75" spans="1:28" s="32" customFormat="1" ht="18.75">
      <c r="A75" s="582" t="s">
        <v>35</v>
      </c>
      <c r="B75" s="583" t="s">
        <v>354</v>
      </c>
      <c r="C75" s="641">
        <f t="shared" si="7"/>
        <v>77387</v>
      </c>
      <c r="D75" s="641"/>
      <c r="E75" s="708">
        <v>77387</v>
      </c>
      <c r="F75" s="641"/>
      <c r="G75" s="641"/>
      <c r="H75" s="641">
        <f t="shared" si="2"/>
        <v>0</v>
      </c>
      <c r="I75" s="641"/>
      <c r="J75" s="641"/>
      <c r="K75" s="641">
        <f t="shared" si="3"/>
        <v>0</v>
      </c>
      <c r="L75" s="641"/>
      <c r="M75" s="641"/>
      <c r="N75" s="641"/>
      <c r="O75" s="641"/>
      <c r="P75" s="641">
        <f t="shared" si="4"/>
        <v>0</v>
      </c>
      <c r="Q75" s="641"/>
      <c r="R75" s="641"/>
      <c r="S75" s="641"/>
      <c r="T75" s="699" t="str">
        <f t="shared" ref="T75:AA78" si="10">IF(AND(C75&lt;&gt;0,K75&lt;&gt;0),K75/C75%,"")</f>
        <v/>
      </c>
      <c r="U75" s="699" t="str">
        <f t="shared" si="10"/>
        <v/>
      </c>
      <c r="V75" s="699" t="str">
        <f t="shared" si="10"/>
        <v/>
      </c>
      <c r="W75" s="699" t="str">
        <f t="shared" si="10"/>
        <v/>
      </c>
      <c r="X75" s="699" t="str">
        <f t="shared" si="10"/>
        <v/>
      </c>
      <c r="Y75" s="699" t="str">
        <f t="shared" si="10"/>
        <v/>
      </c>
      <c r="Z75" s="699" t="str">
        <f t="shared" si="10"/>
        <v/>
      </c>
      <c r="AA75" s="699" t="str">
        <f t="shared" si="10"/>
        <v/>
      </c>
      <c r="AB75" s="715"/>
    </row>
    <row r="76" spans="1:28" s="32" customFormat="1" ht="18.75">
      <c r="A76" s="582" t="s">
        <v>36</v>
      </c>
      <c r="B76" s="583" t="s">
        <v>347</v>
      </c>
      <c r="C76" s="641">
        <f t="shared" si="7"/>
        <v>34050</v>
      </c>
      <c r="D76" s="641"/>
      <c r="E76" s="708">
        <v>34050</v>
      </c>
      <c r="F76" s="641"/>
      <c r="G76" s="641"/>
      <c r="H76" s="641">
        <f t="shared" si="2"/>
        <v>0</v>
      </c>
      <c r="I76" s="641"/>
      <c r="J76" s="641"/>
      <c r="K76" s="641">
        <f t="shared" si="3"/>
        <v>0</v>
      </c>
      <c r="L76" s="641"/>
      <c r="M76" s="641"/>
      <c r="N76" s="641"/>
      <c r="O76" s="641"/>
      <c r="P76" s="641">
        <f t="shared" si="4"/>
        <v>0</v>
      </c>
      <c r="Q76" s="641"/>
      <c r="R76" s="641"/>
      <c r="S76" s="641"/>
      <c r="T76" s="699" t="str">
        <f t="shared" si="10"/>
        <v/>
      </c>
      <c r="U76" s="699" t="str">
        <f t="shared" si="10"/>
        <v/>
      </c>
      <c r="V76" s="699" t="str">
        <f t="shared" si="10"/>
        <v/>
      </c>
      <c r="W76" s="699" t="str">
        <f t="shared" si="10"/>
        <v/>
      </c>
      <c r="X76" s="699" t="str">
        <f t="shared" si="10"/>
        <v/>
      </c>
      <c r="Y76" s="699" t="str">
        <f t="shared" si="10"/>
        <v/>
      </c>
      <c r="Z76" s="699" t="str">
        <f t="shared" si="10"/>
        <v/>
      </c>
      <c r="AA76" s="699" t="str">
        <f t="shared" si="10"/>
        <v/>
      </c>
      <c r="AB76" s="715"/>
    </row>
    <row r="77" spans="1:28" s="9" customFormat="1" ht="18.75">
      <c r="A77" s="582" t="s">
        <v>61</v>
      </c>
      <c r="B77" s="583" t="s">
        <v>538</v>
      </c>
      <c r="C77" s="641">
        <f t="shared" si="7"/>
        <v>3036472</v>
      </c>
      <c r="D77" s="641"/>
      <c r="E77" s="708">
        <v>3036472</v>
      </c>
      <c r="F77" s="641"/>
      <c r="G77" s="641"/>
      <c r="H77" s="641">
        <f>I77+J77</f>
        <v>0</v>
      </c>
      <c r="I77" s="641"/>
      <c r="J77" s="641"/>
      <c r="K77" s="641">
        <f>SUM(L77:P77)+S77</f>
        <v>3326248.9021000001</v>
      </c>
      <c r="L77" s="641"/>
      <c r="M77" s="641">
        <v>3326248.9021000001</v>
      </c>
      <c r="N77" s="641"/>
      <c r="O77" s="641"/>
      <c r="P77" s="641">
        <f>Q77+R77</f>
        <v>0</v>
      </c>
      <c r="Q77" s="641"/>
      <c r="R77" s="641"/>
      <c r="S77" s="641"/>
      <c r="T77" s="699">
        <f t="shared" si="10"/>
        <v>109.54321008393951</v>
      </c>
      <c r="U77" s="699" t="str">
        <f t="shared" si="10"/>
        <v/>
      </c>
      <c r="V77" s="699">
        <f t="shared" si="10"/>
        <v>109.54321008393951</v>
      </c>
      <c r="W77" s="699" t="str">
        <f t="shared" si="10"/>
        <v/>
      </c>
      <c r="X77" s="699" t="str">
        <f t="shared" si="10"/>
        <v/>
      </c>
      <c r="Y77" s="699" t="str">
        <f t="shared" si="10"/>
        <v/>
      </c>
      <c r="Z77" s="699" t="str">
        <f t="shared" si="10"/>
        <v/>
      </c>
      <c r="AA77" s="699" t="str">
        <f t="shared" si="10"/>
        <v/>
      </c>
      <c r="AB77" s="710"/>
    </row>
    <row r="78" spans="1:28" s="9" customFormat="1" ht="18.75">
      <c r="A78" s="601" t="s">
        <v>290</v>
      </c>
      <c r="B78" s="602" t="s">
        <v>345</v>
      </c>
      <c r="C78" s="650">
        <f t="shared" si="7"/>
        <v>0</v>
      </c>
      <c r="D78" s="650"/>
      <c r="E78" s="650"/>
      <c r="F78" s="650"/>
      <c r="G78" s="650"/>
      <c r="H78" s="650">
        <f>I78+J78</f>
        <v>0</v>
      </c>
      <c r="I78" s="650"/>
      <c r="J78" s="650"/>
      <c r="K78" s="650">
        <f>SUM(L78:P78)+S78</f>
        <v>0</v>
      </c>
      <c r="L78" s="650"/>
      <c r="M78" s="650"/>
      <c r="N78" s="650"/>
      <c r="O78" s="650"/>
      <c r="P78" s="650">
        <f>Q78+R78</f>
        <v>0</v>
      </c>
      <c r="Q78" s="650"/>
      <c r="R78" s="650"/>
      <c r="S78" s="650"/>
      <c r="T78" s="703" t="str">
        <f t="shared" si="10"/>
        <v/>
      </c>
      <c r="U78" s="703" t="str">
        <f t="shared" si="10"/>
        <v/>
      </c>
      <c r="V78" s="703" t="str">
        <f t="shared" si="10"/>
        <v/>
      </c>
      <c r="W78" s="703" t="str">
        <f t="shared" si="10"/>
        <v/>
      </c>
      <c r="X78" s="703" t="str">
        <f t="shared" si="10"/>
        <v/>
      </c>
      <c r="Y78" s="703" t="str">
        <f t="shared" si="10"/>
        <v/>
      </c>
      <c r="Z78" s="703" t="str">
        <f t="shared" si="10"/>
        <v/>
      </c>
      <c r="AA78" s="703" t="str">
        <f t="shared" si="10"/>
        <v/>
      </c>
      <c r="AB78" s="710"/>
    </row>
    <row r="79" spans="1:28" ht="18.75">
      <c r="A79" s="9"/>
      <c r="B79" s="9"/>
      <c r="C79" s="9"/>
      <c r="D79" s="9"/>
      <c r="E79" s="9"/>
      <c r="F79" s="9"/>
      <c r="G79" s="9"/>
      <c r="H79" s="9"/>
      <c r="I79" s="9"/>
      <c r="J79" s="9"/>
      <c r="K79" s="9"/>
      <c r="L79" s="9"/>
      <c r="M79" s="9"/>
      <c r="N79" s="9"/>
      <c r="O79" s="9"/>
      <c r="P79" s="9"/>
      <c r="Q79" s="9"/>
      <c r="R79" s="9"/>
      <c r="S79" s="9"/>
      <c r="T79" s="9"/>
      <c r="U79" s="9"/>
      <c r="V79" s="9"/>
      <c r="W79" s="9"/>
      <c r="X79" s="9"/>
      <c r="Y79" s="9"/>
      <c r="Z79" s="9"/>
      <c r="AA79" s="9"/>
    </row>
    <row r="80" spans="1:28" ht="18.75">
      <c r="A80" s="9"/>
      <c r="B80" s="9"/>
      <c r="C80" s="9"/>
      <c r="D80" s="9"/>
      <c r="E80" s="9"/>
      <c r="F80" s="9"/>
      <c r="G80" s="9"/>
      <c r="H80" s="9"/>
      <c r="I80" s="9"/>
      <c r="J80" s="9"/>
      <c r="K80" s="9"/>
      <c r="L80" s="9"/>
      <c r="M80" s="9"/>
      <c r="N80" s="9"/>
      <c r="O80" s="9"/>
      <c r="P80" s="9"/>
      <c r="Q80" s="9"/>
      <c r="R80" s="9"/>
      <c r="S80" s="9"/>
      <c r="T80" s="9"/>
      <c r="U80" s="9"/>
      <c r="V80" s="9"/>
      <c r="W80" s="9"/>
      <c r="X80" s="9"/>
      <c r="Y80" s="9"/>
      <c r="Z80" s="9"/>
      <c r="AA80" s="9"/>
    </row>
    <row r="81" spans="1:27" ht="22.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row>
    <row r="82" spans="1:27" ht="18.75">
      <c r="A82" s="9"/>
      <c r="B82" s="9"/>
      <c r="C82" s="9"/>
      <c r="D82" s="9"/>
      <c r="E82" s="9"/>
      <c r="F82" s="9"/>
      <c r="G82" s="9"/>
      <c r="H82" s="9"/>
      <c r="I82" s="9"/>
      <c r="J82" s="9"/>
      <c r="K82" s="9"/>
      <c r="L82" s="9"/>
      <c r="M82" s="9"/>
      <c r="N82" s="9"/>
      <c r="O82" s="9"/>
      <c r="P82" s="9"/>
      <c r="Q82" s="9"/>
      <c r="R82" s="9"/>
      <c r="S82" s="9"/>
      <c r="T82" s="9"/>
      <c r="U82" s="9"/>
      <c r="V82" s="9"/>
      <c r="W82" s="9"/>
      <c r="X82" s="9"/>
      <c r="Y82" s="9"/>
      <c r="Z82" s="9"/>
      <c r="AA82" s="9"/>
    </row>
    <row r="83" spans="1:27" ht="18.75">
      <c r="A83" s="9"/>
      <c r="B83" s="9"/>
      <c r="C83" s="9"/>
      <c r="D83" s="9"/>
      <c r="E83" s="9"/>
      <c r="F83" s="9"/>
      <c r="G83" s="9"/>
      <c r="H83" s="9"/>
      <c r="I83" s="9"/>
      <c r="J83" s="9"/>
      <c r="K83" s="9"/>
      <c r="L83" s="9"/>
      <c r="M83" s="9"/>
      <c r="N83" s="9"/>
      <c r="O83" s="9"/>
      <c r="P83" s="9"/>
      <c r="Q83" s="9"/>
      <c r="R83" s="9"/>
      <c r="S83" s="9"/>
      <c r="T83" s="9"/>
      <c r="U83" s="9"/>
      <c r="V83" s="9"/>
      <c r="W83" s="9"/>
      <c r="X83" s="9"/>
      <c r="Y83" s="9"/>
      <c r="Z83" s="9"/>
      <c r="AA83" s="9"/>
    </row>
    <row r="84" spans="1:27" ht="18.75">
      <c r="A84" s="9"/>
      <c r="B84" s="9"/>
      <c r="C84" s="9"/>
      <c r="D84" s="9"/>
      <c r="E84" s="9"/>
      <c r="F84" s="9"/>
      <c r="G84" s="9"/>
      <c r="H84" s="9"/>
      <c r="I84" s="9"/>
      <c r="J84" s="9"/>
      <c r="K84" s="9"/>
      <c r="L84" s="9"/>
      <c r="M84" s="9"/>
      <c r="N84" s="9"/>
      <c r="O84" s="9"/>
      <c r="P84" s="9"/>
      <c r="Q84" s="9"/>
      <c r="R84" s="9"/>
      <c r="S84" s="9"/>
      <c r="T84" s="9"/>
      <c r="U84" s="9"/>
      <c r="V84" s="9"/>
      <c r="W84" s="9"/>
      <c r="X84" s="9"/>
      <c r="Y84" s="9"/>
      <c r="Z84" s="9"/>
      <c r="AA84" s="9"/>
    </row>
    <row r="85" spans="1:27" ht="18.75">
      <c r="A85" s="9"/>
      <c r="B85" s="9"/>
      <c r="C85" s="9"/>
      <c r="D85" s="9"/>
      <c r="E85" s="9"/>
      <c r="F85" s="9"/>
      <c r="G85" s="9"/>
      <c r="H85" s="9"/>
      <c r="I85" s="9"/>
      <c r="J85" s="9"/>
      <c r="K85" s="9"/>
      <c r="L85" s="9"/>
      <c r="M85" s="9"/>
      <c r="N85" s="9"/>
      <c r="O85" s="9"/>
      <c r="P85" s="9"/>
      <c r="Q85" s="9"/>
      <c r="R85" s="9"/>
      <c r="S85" s="9"/>
      <c r="T85" s="9"/>
      <c r="U85" s="9"/>
      <c r="V85" s="9"/>
      <c r="W85" s="9"/>
      <c r="X85" s="9"/>
      <c r="Y85" s="9"/>
      <c r="Z85" s="9"/>
      <c r="AA85" s="9"/>
    </row>
  </sheetData>
  <mergeCells count="34">
    <mergeCell ref="Z9:Z11"/>
    <mergeCell ref="AA9:AA11"/>
    <mergeCell ref="W8:W11"/>
    <mergeCell ref="X8:X11"/>
    <mergeCell ref="Y8:AA8"/>
    <mergeCell ref="Y9:Y11"/>
    <mergeCell ref="H9:H11"/>
    <mergeCell ref="I9:I11"/>
    <mergeCell ref="J9:J11"/>
    <mergeCell ref="P9:P11"/>
    <mergeCell ref="Q9:Q11"/>
    <mergeCell ref="N8:N11"/>
    <mergeCell ref="O8:O11"/>
    <mergeCell ref="P8:R8"/>
    <mergeCell ref="K8:K11"/>
    <mergeCell ref="L8:L11"/>
    <mergeCell ref="M8:M11"/>
    <mergeCell ref="R9:R11"/>
    <mergeCell ref="S8:S11"/>
    <mergeCell ref="T8:T11"/>
    <mergeCell ref="U8:U11"/>
    <mergeCell ref="V8:V11"/>
    <mergeCell ref="A2:AA2"/>
    <mergeCell ref="A3:AA3"/>
    <mergeCell ref="A7:A11"/>
    <mergeCell ref="C7:J7"/>
    <mergeCell ref="K7:S7"/>
    <mergeCell ref="T7:AA7"/>
    <mergeCell ref="C8:C11"/>
    <mergeCell ref="D8:D11"/>
    <mergeCell ref="E8:E11"/>
    <mergeCell ref="F8:F11"/>
    <mergeCell ref="G8:G11"/>
    <mergeCell ref="H8:J8"/>
  </mergeCells>
  <printOptions horizontalCentered="1"/>
  <pageMargins left="0.2" right="0.23" top="0.65" bottom="0.23" header="0.36" footer="0.17"/>
  <pageSetup paperSize="9" scale="33" fitToHeight="5" orientation="landscape" r:id="rId1"/>
  <headerFooter alignWithMargins="0">
    <oddHeader xml:space="preserve">&amp;C&amp;"Times New Roman,Regular"58                 &amp;".VnTime,Regular"                                                                                                                 </oddHeader>
    <oddFooter>&amp;C&amp;".VnTime,Italic"&amp;8</oddFooter>
  </headerFooter>
</worksheet>
</file>

<file path=xl/worksheets/sheet19.xml><?xml version="1.0" encoding="utf-8"?>
<worksheet xmlns="http://schemas.openxmlformats.org/spreadsheetml/2006/main" xmlns:r="http://schemas.openxmlformats.org/officeDocument/2006/relationships">
  <sheetPr>
    <tabColor rgb="FF00B0F0"/>
    <pageSetUpPr fitToPage="1"/>
  </sheetPr>
  <dimension ref="A1:AB98"/>
  <sheetViews>
    <sheetView topLeftCell="A5" zoomScale="70" zoomScaleNormal="70" workbookViewId="0">
      <pane xSplit="2" ySplit="11" topLeftCell="G59" activePane="bottomRight" state="frozen"/>
      <selection activeCell="A5" sqref="A5"/>
      <selection pane="topRight" activeCell="C5" sqref="C5"/>
      <selection pane="bottomLeft" activeCell="A16" sqref="A16"/>
      <selection pane="bottomRight" activeCell="S91" sqref="S91"/>
    </sheetView>
  </sheetViews>
  <sheetFormatPr defaultColWidth="9" defaultRowHeight="15.75"/>
  <cols>
    <col min="1" max="1" width="5.125" style="4" customWidth="1"/>
    <col min="2" max="2" width="47.25" style="4" customWidth="1"/>
    <col min="3" max="3" width="14.625" style="4" customWidth="1"/>
    <col min="4" max="4" width="12.75" style="4" customWidth="1"/>
    <col min="5" max="5" width="13.25" style="4" customWidth="1"/>
    <col min="6" max="6" width="9.5" style="4" customWidth="1"/>
    <col min="7" max="7" width="9.75" style="4" customWidth="1"/>
    <col min="8" max="8" width="11.375" style="4" customWidth="1"/>
    <col min="9" max="9" width="11.625" style="4" customWidth="1"/>
    <col min="10" max="10" width="10.25" style="4" customWidth="1"/>
    <col min="11" max="11" width="13.75" style="4" customWidth="1"/>
    <col min="12" max="12" width="13.5" style="4" customWidth="1"/>
    <col min="13" max="13" width="13.25" style="4" customWidth="1"/>
    <col min="14" max="14" width="9.625" style="4" customWidth="1"/>
    <col min="15" max="15" width="11" style="4" customWidth="1"/>
    <col min="16" max="16" width="12.625" style="4" customWidth="1"/>
    <col min="17" max="17" width="11.75" style="4" customWidth="1"/>
    <col min="18" max="18" width="10.375" style="4" customWidth="1"/>
    <col min="19" max="19" width="12.5" style="4" customWidth="1"/>
    <col min="20" max="20" width="10" style="4" customWidth="1"/>
    <col min="21" max="21" width="10.625" style="4" customWidth="1"/>
    <col min="22" max="22" width="11.125" style="4" customWidth="1"/>
    <col min="23" max="23" width="9.125" style="4" customWidth="1"/>
    <col min="24" max="24" width="9.25" style="4" customWidth="1"/>
    <col min="25" max="27" width="9.5" style="4" customWidth="1"/>
    <col min="28" max="28" width="15.875" style="711" hidden="1" customWidth="1"/>
    <col min="29" max="29" width="0" style="4" hidden="1" customWidth="1"/>
    <col min="30" max="16384" width="9" style="4"/>
  </cols>
  <sheetData>
    <row r="1" spans="1:28" ht="21" customHeight="1">
      <c r="A1" s="5" t="s">
        <v>588</v>
      </c>
      <c r="B1" s="1"/>
      <c r="C1" s="2"/>
      <c r="D1" s="2"/>
      <c r="E1" s="2"/>
      <c r="F1" s="2"/>
      <c r="G1" s="3"/>
      <c r="H1" s="2"/>
      <c r="I1" s="104"/>
      <c r="J1" s="104"/>
      <c r="K1" s="2"/>
      <c r="L1" s="2"/>
      <c r="M1" s="2"/>
      <c r="N1" s="2"/>
      <c r="O1" s="3"/>
      <c r="P1" s="2"/>
      <c r="Q1" s="104"/>
      <c r="R1" s="104"/>
      <c r="S1" s="104"/>
      <c r="T1" s="104"/>
      <c r="U1" s="104"/>
      <c r="V1" s="2"/>
      <c r="W1" s="2"/>
      <c r="X1" s="3"/>
      <c r="Y1" s="2"/>
      <c r="Z1" s="104"/>
      <c r="AA1" s="760" t="s">
        <v>660</v>
      </c>
    </row>
    <row r="2" spans="1:28" ht="21" customHeight="1">
      <c r="A2" s="5" t="s">
        <v>659</v>
      </c>
      <c r="B2" s="1"/>
      <c r="C2" s="2"/>
      <c r="D2" s="2"/>
      <c r="E2" s="2"/>
      <c r="F2" s="2"/>
      <c r="G2" s="3"/>
      <c r="H2" s="2"/>
      <c r="I2" s="104"/>
      <c r="J2" s="104"/>
      <c r="K2" s="2"/>
      <c r="L2" s="2"/>
      <c r="M2" s="2"/>
      <c r="N2" s="2"/>
      <c r="O2" s="3"/>
      <c r="P2" s="2"/>
      <c r="Q2" s="104"/>
      <c r="R2" s="104"/>
      <c r="S2" s="104"/>
      <c r="T2" s="104"/>
      <c r="U2" s="104"/>
      <c r="V2" s="2"/>
      <c r="W2" s="2"/>
      <c r="X2" s="3"/>
      <c r="Y2" s="2"/>
      <c r="Z2" s="104"/>
      <c r="AA2" s="104"/>
    </row>
    <row r="3" spans="1:28" ht="21" customHeight="1">
      <c r="A3" s="950" t="s">
        <v>598</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950"/>
    </row>
    <row r="4" spans="1:28" ht="21" customHeight="1">
      <c r="A4" s="931" t="s">
        <v>454</v>
      </c>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row>
    <row r="5" spans="1:28" ht="18" customHeight="1">
      <c r="A5" s="3"/>
      <c r="B5" s="7"/>
      <c r="C5" s="2"/>
      <c r="D5" s="2"/>
      <c r="E5" s="2"/>
      <c r="F5" s="2"/>
      <c r="G5" s="2"/>
      <c r="H5" s="2"/>
      <c r="I5" s="2"/>
      <c r="J5" s="2"/>
      <c r="K5" s="2"/>
      <c r="L5" s="2"/>
      <c r="M5" s="2"/>
      <c r="N5" s="2"/>
      <c r="O5" s="2"/>
      <c r="P5" s="2"/>
      <c r="Q5" s="2"/>
      <c r="R5" s="2"/>
      <c r="S5" s="2"/>
      <c r="T5" s="2"/>
      <c r="U5" s="2"/>
      <c r="V5" s="2"/>
      <c r="W5" s="2"/>
      <c r="X5" s="2"/>
      <c r="Y5" s="2"/>
      <c r="Z5" s="2"/>
      <c r="AA5" s="2"/>
    </row>
    <row r="6" spans="1:28" ht="6.75" hidden="1" customHeight="1">
      <c r="A6" s="7"/>
      <c r="B6" s="7"/>
      <c r="C6" s="2"/>
      <c r="D6" s="2"/>
      <c r="E6" s="2"/>
      <c r="F6" s="2"/>
      <c r="G6" s="2"/>
      <c r="H6" s="2"/>
      <c r="I6" s="2"/>
      <c r="J6" s="2"/>
      <c r="K6" s="2"/>
      <c r="L6" s="2"/>
      <c r="M6" s="2"/>
      <c r="N6" s="2"/>
      <c r="O6" s="2"/>
      <c r="P6" s="2"/>
      <c r="Q6" s="2"/>
      <c r="R6" s="2"/>
      <c r="S6" s="2"/>
      <c r="T6" s="2"/>
      <c r="U6" s="2"/>
      <c r="V6" s="2"/>
      <c r="W6" s="2"/>
      <c r="X6" s="2"/>
      <c r="Y6" s="2"/>
      <c r="Z6" s="2"/>
      <c r="AA6" s="2"/>
    </row>
    <row r="7" spans="1:28" ht="19.5" customHeight="1" thickBot="1">
      <c r="A7" s="8"/>
      <c r="B7" s="8"/>
      <c r="C7" s="9"/>
      <c r="D7" s="9"/>
      <c r="E7" s="9"/>
      <c r="F7" s="9"/>
      <c r="G7" s="40"/>
      <c r="H7" s="40"/>
      <c r="I7" s="40"/>
      <c r="J7" s="40"/>
      <c r="K7" s="9"/>
      <c r="L7" s="9"/>
      <c r="M7" s="9"/>
      <c r="N7" s="9"/>
      <c r="O7" s="40"/>
      <c r="P7" s="40"/>
      <c r="Q7" s="40"/>
      <c r="R7" s="40"/>
      <c r="S7" s="40"/>
      <c r="T7" s="40"/>
      <c r="U7" s="40"/>
      <c r="V7" s="9"/>
      <c r="W7" s="9"/>
      <c r="X7" s="40"/>
      <c r="Y7" s="40"/>
      <c r="Z7" s="40"/>
      <c r="AA7" s="761" t="s">
        <v>187</v>
      </c>
    </row>
    <row r="8" spans="1:28" s="10" customFormat="1" ht="30" customHeight="1">
      <c r="A8" s="894" t="s">
        <v>425</v>
      </c>
      <c r="B8" s="64"/>
      <c r="C8" s="953" t="s">
        <v>601</v>
      </c>
      <c r="D8" s="969"/>
      <c r="E8" s="969"/>
      <c r="F8" s="969"/>
      <c r="G8" s="969"/>
      <c r="H8" s="969"/>
      <c r="I8" s="969"/>
      <c r="J8" s="969"/>
      <c r="K8" s="953" t="s">
        <v>109</v>
      </c>
      <c r="L8" s="969"/>
      <c r="M8" s="969"/>
      <c r="N8" s="969"/>
      <c r="O8" s="969"/>
      <c r="P8" s="969"/>
      <c r="Q8" s="969"/>
      <c r="R8" s="969"/>
      <c r="S8" s="972"/>
      <c r="T8" s="958" t="s">
        <v>200</v>
      </c>
      <c r="U8" s="958"/>
      <c r="V8" s="958"/>
      <c r="W8" s="958"/>
      <c r="X8" s="958"/>
      <c r="Y8" s="958"/>
      <c r="Z8" s="958"/>
      <c r="AA8" s="958"/>
      <c r="AB8" s="712"/>
    </row>
    <row r="9" spans="1:28" s="10" customFormat="1" ht="45" customHeight="1">
      <c r="A9" s="971"/>
      <c r="B9" s="101"/>
      <c r="C9" s="906" t="s">
        <v>180</v>
      </c>
      <c r="D9" s="906" t="s">
        <v>352</v>
      </c>
      <c r="E9" s="906" t="s">
        <v>353</v>
      </c>
      <c r="F9" s="906" t="s">
        <v>595</v>
      </c>
      <c r="G9" s="906" t="s">
        <v>43</v>
      </c>
      <c r="H9" s="966" t="s">
        <v>343</v>
      </c>
      <c r="I9" s="967"/>
      <c r="J9" s="968"/>
      <c r="K9" s="906" t="s">
        <v>180</v>
      </c>
      <c r="L9" s="906" t="s">
        <v>352</v>
      </c>
      <c r="M9" s="906" t="s">
        <v>353</v>
      </c>
      <c r="N9" s="906" t="s">
        <v>595</v>
      </c>
      <c r="O9" s="906" t="s">
        <v>43</v>
      </c>
      <c r="P9" s="966" t="s">
        <v>343</v>
      </c>
      <c r="Q9" s="967"/>
      <c r="R9" s="968"/>
      <c r="S9" s="906" t="s">
        <v>204</v>
      </c>
      <c r="T9" s="906" t="s">
        <v>180</v>
      </c>
      <c r="U9" s="906" t="s">
        <v>38</v>
      </c>
      <c r="V9" s="906" t="s">
        <v>353</v>
      </c>
      <c r="W9" s="906" t="s">
        <v>595</v>
      </c>
      <c r="X9" s="906" t="s">
        <v>43</v>
      </c>
      <c r="Y9" s="966" t="s">
        <v>343</v>
      </c>
      <c r="Z9" s="967"/>
      <c r="AA9" s="968"/>
      <c r="AB9" s="712"/>
    </row>
    <row r="10" spans="1:28" s="10" customFormat="1" ht="45" customHeight="1">
      <c r="A10" s="971"/>
      <c r="B10" s="105" t="s">
        <v>50</v>
      </c>
      <c r="C10" s="813"/>
      <c r="D10" s="813"/>
      <c r="E10" s="813"/>
      <c r="F10" s="813"/>
      <c r="G10" s="813"/>
      <c r="H10" s="906" t="s">
        <v>180</v>
      </c>
      <c r="I10" s="906" t="s">
        <v>38</v>
      </c>
      <c r="J10" s="906" t="s">
        <v>42</v>
      </c>
      <c r="K10" s="813"/>
      <c r="L10" s="813"/>
      <c r="M10" s="813"/>
      <c r="N10" s="813"/>
      <c r="O10" s="813"/>
      <c r="P10" s="906" t="s">
        <v>180</v>
      </c>
      <c r="Q10" s="906" t="s">
        <v>38</v>
      </c>
      <c r="R10" s="906" t="s">
        <v>42</v>
      </c>
      <c r="S10" s="813"/>
      <c r="T10" s="813"/>
      <c r="U10" s="813"/>
      <c r="V10" s="813"/>
      <c r="W10" s="813"/>
      <c r="X10" s="813"/>
      <c r="Y10" s="906" t="s">
        <v>180</v>
      </c>
      <c r="Z10" s="906" t="s">
        <v>38</v>
      </c>
      <c r="AA10" s="906" t="s">
        <v>42</v>
      </c>
      <c r="AB10" s="712"/>
    </row>
    <row r="11" spans="1:28" s="10" customFormat="1" ht="45" customHeight="1">
      <c r="A11" s="971"/>
      <c r="B11" s="105"/>
      <c r="C11" s="813"/>
      <c r="D11" s="813"/>
      <c r="E11" s="813"/>
      <c r="F11" s="813"/>
      <c r="G11" s="813"/>
      <c r="H11" s="813"/>
      <c r="I11" s="813"/>
      <c r="J11" s="813"/>
      <c r="K11" s="813"/>
      <c r="L11" s="813"/>
      <c r="M11" s="813"/>
      <c r="N11" s="813"/>
      <c r="O11" s="813"/>
      <c r="P11" s="813"/>
      <c r="Q11" s="813"/>
      <c r="R11" s="813"/>
      <c r="S11" s="813"/>
      <c r="T11" s="813"/>
      <c r="U11" s="813"/>
      <c r="V11" s="813"/>
      <c r="W11" s="813"/>
      <c r="X11" s="813"/>
      <c r="Y11" s="813"/>
      <c r="Z11" s="813"/>
      <c r="AA11" s="813"/>
      <c r="AB11" s="712"/>
    </row>
    <row r="12" spans="1:28" s="10" customFormat="1" ht="45" customHeight="1">
      <c r="A12" s="963"/>
      <c r="B12" s="105"/>
      <c r="C12" s="814"/>
      <c r="D12" s="814"/>
      <c r="E12" s="814"/>
      <c r="F12" s="814"/>
      <c r="G12" s="814"/>
      <c r="H12" s="814"/>
      <c r="I12" s="814"/>
      <c r="J12" s="814"/>
      <c r="K12" s="814"/>
      <c r="L12" s="814"/>
      <c r="M12" s="814"/>
      <c r="N12" s="814"/>
      <c r="O12" s="814"/>
      <c r="P12" s="814"/>
      <c r="Q12" s="814"/>
      <c r="R12" s="814"/>
      <c r="S12" s="814"/>
      <c r="T12" s="814"/>
      <c r="U12" s="814"/>
      <c r="V12" s="814"/>
      <c r="W12" s="814"/>
      <c r="X12" s="814"/>
      <c r="Y12" s="814"/>
      <c r="Z12" s="814"/>
      <c r="AA12" s="814"/>
      <c r="AB12" s="712"/>
    </row>
    <row r="13" spans="1:28" s="648" customFormat="1" ht="17.25" customHeight="1">
      <c r="A13" s="644" t="s">
        <v>15</v>
      </c>
      <c r="B13" s="645" t="s">
        <v>16</v>
      </c>
      <c r="C13" s="646" t="s">
        <v>528</v>
      </c>
      <c r="D13" s="646">
        <v>2</v>
      </c>
      <c r="E13" s="646">
        <f t="shared" ref="E13:J13" si="0">D13+1</f>
        <v>3</v>
      </c>
      <c r="F13" s="646">
        <f t="shared" si="0"/>
        <v>4</v>
      </c>
      <c r="G13" s="646">
        <f t="shared" si="0"/>
        <v>5</v>
      </c>
      <c r="H13" s="646">
        <f t="shared" si="0"/>
        <v>6</v>
      </c>
      <c r="I13" s="646">
        <f t="shared" si="0"/>
        <v>7</v>
      </c>
      <c r="J13" s="646">
        <f t="shared" si="0"/>
        <v>8</v>
      </c>
      <c r="K13" s="646" t="s">
        <v>529</v>
      </c>
      <c r="L13" s="646">
        <v>10</v>
      </c>
      <c r="M13" s="646">
        <f t="shared" ref="M13:S13" si="1">L13+1</f>
        <v>11</v>
      </c>
      <c r="N13" s="646">
        <f t="shared" si="1"/>
        <v>12</v>
      </c>
      <c r="O13" s="646">
        <f t="shared" si="1"/>
        <v>13</v>
      </c>
      <c r="P13" s="646">
        <f t="shared" si="1"/>
        <v>14</v>
      </c>
      <c r="Q13" s="646">
        <f t="shared" si="1"/>
        <v>15</v>
      </c>
      <c r="R13" s="646">
        <f t="shared" si="1"/>
        <v>16</v>
      </c>
      <c r="S13" s="646">
        <f t="shared" si="1"/>
        <v>17</v>
      </c>
      <c r="T13" s="647" t="s">
        <v>530</v>
      </c>
      <c r="U13" s="647" t="s">
        <v>531</v>
      </c>
      <c r="V13" s="646" t="s">
        <v>532</v>
      </c>
      <c r="W13" s="646" t="s">
        <v>533</v>
      </c>
      <c r="X13" s="646" t="s">
        <v>534</v>
      </c>
      <c r="Y13" s="646" t="s">
        <v>535</v>
      </c>
      <c r="Z13" s="646" t="s">
        <v>536</v>
      </c>
      <c r="AA13" s="646" t="s">
        <v>537</v>
      </c>
      <c r="AB13" s="713"/>
    </row>
    <row r="14" spans="1:28" s="9" customFormat="1" ht="18.75">
      <c r="A14" s="580"/>
      <c r="B14" s="559" t="s">
        <v>45</v>
      </c>
      <c r="C14" s="573">
        <f>SUM(D14:H14)</f>
        <v>6949066</v>
      </c>
      <c r="D14" s="573">
        <f>D15+D86+D87+D88+D89+D90+D91</f>
        <v>2032179</v>
      </c>
      <c r="E14" s="573">
        <f>E15+E86+E87+E88+E89+E90+E91</f>
        <v>4716520</v>
      </c>
      <c r="F14" s="573">
        <f>F15+F86+F87+F88+F89+F90+F91</f>
        <v>800</v>
      </c>
      <c r="G14" s="573">
        <f>G15+G86+G87+G88+G89+G90+G91</f>
        <v>1000</v>
      </c>
      <c r="H14" s="573">
        <f t="shared" ref="H14:H77" si="2">I14+J14</f>
        <v>198567</v>
      </c>
      <c r="I14" s="573">
        <f>I15+I86+I87+I88+I89+I90+I91</f>
        <v>161400</v>
      </c>
      <c r="J14" s="573">
        <f>J15+J86+J87+J88+J89+J90+J91</f>
        <v>37167</v>
      </c>
      <c r="K14" s="573">
        <f t="shared" ref="K14:K20" si="3">SUM(L14:P14)+S14</f>
        <v>10331467.511082999</v>
      </c>
      <c r="L14" s="573">
        <f>L15+L86+L87+L88+L89+L90+L91</f>
        <v>1870700.4331200002</v>
      </c>
      <c r="M14" s="573">
        <f>M15+M86+M87+M88+M89+M90+M91</f>
        <v>5211389.1726329997</v>
      </c>
      <c r="N14" s="573">
        <f>N15+N86+N87+N88+N89+N90+N91</f>
        <v>0</v>
      </c>
      <c r="O14" s="573">
        <f>O15+O86+O87+O88+O89+O90+O91</f>
        <v>1000</v>
      </c>
      <c r="P14" s="573">
        <f t="shared" ref="P14:P77" si="4">Q14+R14</f>
        <v>180939.93429900002</v>
      </c>
      <c r="Q14" s="573">
        <f>Q15+Q86+Q87+Q88+Q89+Q90+Q91</f>
        <v>151906.45543500001</v>
      </c>
      <c r="R14" s="573">
        <f>R15+R86+R87+R88+R89+R90+R91</f>
        <v>29033.478864000001</v>
      </c>
      <c r="S14" s="573">
        <f>S15+S86+S87+S88+S89+S90+S91</f>
        <v>3067437.9710309999</v>
      </c>
      <c r="T14" s="742">
        <f>IF(AND(C14&lt;&gt;0,K14&lt;&gt;0),K14/C14%,"")</f>
        <v>148.67418889219067</v>
      </c>
      <c r="U14" s="742">
        <f t="shared" ref="U14:AA29" si="5">IF(AND(D14&lt;&gt;0,L14&lt;&gt;0),L14/D14%,"")</f>
        <v>92.053920108415653</v>
      </c>
      <c r="V14" s="742">
        <f t="shared" si="5"/>
        <v>110.49225218239295</v>
      </c>
      <c r="W14" s="742" t="str">
        <f t="shared" si="5"/>
        <v/>
      </c>
      <c r="X14" s="742">
        <f t="shared" si="5"/>
        <v>100</v>
      </c>
      <c r="Y14" s="742">
        <f t="shared" si="5"/>
        <v>91.122862459018876</v>
      </c>
      <c r="Z14" s="742">
        <f t="shared" si="5"/>
        <v>94.118002128252797</v>
      </c>
      <c r="AA14" s="742">
        <f t="shared" si="5"/>
        <v>78.116282896117525</v>
      </c>
      <c r="AB14" s="710"/>
    </row>
    <row r="15" spans="1:28" s="32" customFormat="1" ht="18.75">
      <c r="A15" s="582" t="s">
        <v>32</v>
      </c>
      <c r="B15" s="571" t="s">
        <v>344</v>
      </c>
      <c r="C15" s="574">
        <f>SUM(D15:H15)</f>
        <v>3799357</v>
      </c>
      <c r="D15" s="574">
        <f>SUM(D16:D85)</f>
        <v>2032179</v>
      </c>
      <c r="E15" s="574">
        <f>SUM(E16:E85)</f>
        <v>1568611</v>
      </c>
      <c r="F15" s="574">
        <f>SUM(F16:F85)</f>
        <v>0</v>
      </c>
      <c r="G15" s="574">
        <f>SUM(G16:G85)</f>
        <v>0</v>
      </c>
      <c r="H15" s="574">
        <f>I15+J15</f>
        <v>198567</v>
      </c>
      <c r="I15" s="574">
        <f>SUM(I16:I85)</f>
        <v>161400</v>
      </c>
      <c r="J15" s="574">
        <f>SUM(J16:J85)</f>
        <v>37167</v>
      </c>
      <c r="K15" s="574">
        <f t="shared" si="3"/>
        <v>4001343.8333650003</v>
      </c>
      <c r="L15" s="574">
        <f>SUM(L16:L85)</f>
        <v>1870700.4331200002</v>
      </c>
      <c r="M15" s="574">
        <f>SUM(M16:M85)</f>
        <v>1885140.2705330001</v>
      </c>
      <c r="N15" s="574">
        <f t="shared" ref="N15:O15" si="6">SUM(N16:N85)</f>
        <v>0</v>
      </c>
      <c r="O15" s="574">
        <f t="shared" si="6"/>
        <v>0</v>
      </c>
      <c r="P15" s="574">
        <f t="shared" si="4"/>
        <v>180939.93429900002</v>
      </c>
      <c r="Q15" s="574">
        <f>SUM(Q16:Q85)</f>
        <v>151906.45543500001</v>
      </c>
      <c r="R15" s="574">
        <f>SUM(R16:R85)</f>
        <v>29033.478864000001</v>
      </c>
      <c r="S15" s="574">
        <f>SUM(S16:S85)</f>
        <v>64563.195413000009</v>
      </c>
      <c r="T15" s="743">
        <f t="shared" ref="T15:AA60" si="7">IF(AND(C15&lt;&gt;0,K15&lt;&gt;0),K15/C15%,"")</f>
        <v>105.31634256441288</v>
      </c>
      <c r="U15" s="743">
        <f t="shared" si="5"/>
        <v>92.053920108415653</v>
      </c>
      <c r="V15" s="743">
        <f t="shared" si="5"/>
        <v>120.17895262324438</v>
      </c>
      <c r="W15" s="743" t="str">
        <f t="shared" si="5"/>
        <v/>
      </c>
      <c r="X15" s="743" t="str">
        <f t="shared" si="5"/>
        <v/>
      </c>
      <c r="Y15" s="743">
        <f t="shared" si="5"/>
        <v>91.122862459018876</v>
      </c>
      <c r="Z15" s="743">
        <f t="shared" si="5"/>
        <v>94.118002128252797</v>
      </c>
      <c r="AA15" s="743">
        <f t="shared" si="5"/>
        <v>78.116282896117525</v>
      </c>
      <c r="AB15" s="709"/>
    </row>
    <row r="16" spans="1:28" s="9" customFormat="1" ht="18.75">
      <c r="A16" s="584">
        <v>1</v>
      </c>
      <c r="B16" s="633" t="s">
        <v>619</v>
      </c>
      <c r="C16" s="575">
        <f t="shared" ref="C16:C91" si="8">SUM(D16:H16)</f>
        <v>69708</v>
      </c>
      <c r="D16" s="575">
        <v>0</v>
      </c>
      <c r="E16" s="575">
        <v>69708</v>
      </c>
      <c r="F16" s="575"/>
      <c r="G16" s="575"/>
      <c r="H16" s="575">
        <f t="shared" si="2"/>
        <v>0</v>
      </c>
      <c r="I16" s="575"/>
      <c r="J16" s="575"/>
      <c r="K16" s="575">
        <f>SUM(L16:P16)+S16</f>
        <v>72083.478768000001</v>
      </c>
      <c r="L16" s="575"/>
      <c r="M16" s="575">
        <f>72083.478768-R16</f>
        <v>72083.478768000001</v>
      </c>
      <c r="N16" s="575"/>
      <c r="O16" s="575"/>
      <c r="P16" s="575"/>
      <c r="Q16" s="575"/>
      <c r="R16" s="575"/>
      <c r="S16" s="575"/>
      <c r="T16" s="706"/>
      <c r="U16" s="706"/>
      <c r="V16" s="706"/>
      <c r="W16" s="706"/>
      <c r="X16" s="706"/>
      <c r="Y16" s="706"/>
      <c r="Z16" s="706"/>
      <c r="AA16" s="706"/>
      <c r="AB16" s="766"/>
    </row>
    <row r="17" spans="1:28" s="9" customFormat="1" ht="18.75">
      <c r="A17" s="584">
        <v>2</v>
      </c>
      <c r="B17" s="633" t="s">
        <v>596</v>
      </c>
      <c r="C17" s="575">
        <f t="shared" si="8"/>
        <v>9583</v>
      </c>
      <c r="D17" s="744"/>
      <c r="E17" s="575">
        <v>9583</v>
      </c>
      <c r="F17" s="575">
        <v>0</v>
      </c>
      <c r="G17" s="575">
        <v>0</v>
      </c>
      <c r="H17" s="575">
        <f t="shared" si="2"/>
        <v>0</v>
      </c>
      <c r="I17" s="744"/>
      <c r="J17" s="705">
        <v>0</v>
      </c>
      <c r="K17" s="575">
        <f>SUM(L17:P17)+S17</f>
        <v>12236.15026</v>
      </c>
      <c r="L17" s="744">
        <v>2146.9520000000002</v>
      </c>
      <c r="M17" s="575">
        <v>9754.9691249999996</v>
      </c>
      <c r="N17" s="575">
        <v>0</v>
      </c>
      <c r="O17" s="575">
        <v>0</v>
      </c>
      <c r="P17" s="575">
        <f t="shared" si="4"/>
        <v>0</v>
      </c>
      <c r="Q17" s="575"/>
      <c r="R17" s="575">
        <f t="shared" ref="R17:R85" si="9">AB17</f>
        <v>0</v>
      </c>
      <c r="S17" s="575">
        <v>334.22913499999999</v>
      </c>
      <c r="T17" s="706">
        <f t="shared" si="7"/>
        <v>127.6860091829281</v>
      </c>
      <c r="U17" s="706" t="str">
        <f t="shared" si="5"/>
        <v/>
      </c>
      <c r="V17" s="706">
        <f t="shared" si="5"/>
        <v>101.7945228529688</v>
      </c>
      <c r="W17" s="706" t="str">
        <f t="shared" si="5"/>
        <v/>
      </c>
      <c r="X17" s="706" t="str">
        <f t="shared" si="5"/>
        <v/>
      </c>
      <c r="Y17" s="706" t="str">
        <f t="shared" si="5"/>
        <v/>
      </c>
      <c r="Z17" s="706" t="str">
        <f t="shared" si="5"/>
        <v/>
      </c>
      <c r="AA17" s="706" t="str">
        <f t="shared" si="5"/>
        <v/>
      </c>
      <c r="AB17" s="710"/>
    </row>
    <row r="18" spans="1:28" s="9" customFormat="1" ht="18.75">
      <c r="A18" s="584">
        <v>3</v>
      </c>
      <c r="B18" s="633" t="s">
        <v>597</v>
      </c>
      <c r="C18" s="575">
        <f t="shared" si="8"/>
        <v>16922</v>
      </c>
      <c r="D18" s="575"/>
      <c r="E18" s="575">
        <v>16922</v>
      </c>
      <c r="F18" s="575">
        <v>0</v>
      </c>
      <c r="G18" s="575">
        <v>0</v>
      </c>
      <c r="H18" s="575">
        <f t="shared" si="2"/>
        <v>0</v>
      </c>
      <c r="I18" s="575"/>
      <c r="J18" s="705"/>
      <c r="K18" s="575">
        <f t="shared" si="3"/>
        <v>18529.436017</v>
      </c>
      <c r="L18" s="575"/>
      <c r="M18" s="575">
        <v>18338.743505999999</v>
      </c>
      <c r="N18" s="575"/>
      <c r="O18" s="575"/>
      <c r="P18" s="575">
        <f t="shared" si="4"/>
        <v>0</v>
      </c>
      <c r="Q18" s="575"/>
      <c r="R18" s="575">
        <f t="shared" si="9"/>
        <v>0</v>
      </c>
      <c r="S18" s="575">
        <v>190.692511</v>
      </c>
      <c r="T18" s="706">
        <f t="shared" si="7"/>
        <v>109.49909004254816</v>
      </c>
      <c r="U18" s="706" t="str">
        <f t="shared" si="5"/>
        <v/>
      </c>
      <c r="V18" s="706">
        <f t="shared" si="5"/>
        <v>108.37219894811487</v>
      </c>
      <c r="W18" s="706" t="str">
        <f t="shared" si="5"/>
        <v/>
      </c>
      <c r="X18" s="706" t="str">
        <f t="shared" si="5"/>
        <v/>
      </c>
      <c r="Y18" s="706" t="str">
        <f t="shared" si="5"/>
        <v/>
      </c>
      <c r="Z18" s="706" t="str">
        <f t="shared" si="5"/>
        <v/>
      </c>
      <c r="AA18" s="706" t="str">
        <f t="shared" si="5"/>
        <v/>
      </c>
      <c r="AB18" s="710"/>
    </row>
    <row r="19" spans="1:28" s="9" customFormat="1" ht="18.75">
      <c r="A19" s="584">
        <v>4</v>
      </c>
      <c r="B19" s="633" t="s">
        <v>599</v>
      </c>
      <c r="C19" s="575">
        <f t="shared" si="8"/>
        <v>129535.0235</v>
      </c>
      <c r="D19" s="575">
        <f>19047.0235+13554+12489</f>
        <v>45090.023499999996</v>
      </c>
      <c r="E19" s="575">
        <v>56915</v>
      </c>
      <c r="F19" s="575">
        <v>0</v>
      </c>
      <c r="G19" s="575">
        <v>0</v>
      </c>
      <c r="H19" s="575">
        <f t="shared" si="2"/>
        <v>27530</v>
      </c>
      <c r="I19" s="575">
        <f>'PL61'!D19</f>
        <v>11230</v>
      </c>
      <c r="J19" s="575">
        <f>'PL61'!E19</f>
        <v>16300</v>
      </c>
      <c r="K19" s="575">
        <f>SUM(L19:P19)+S19</f>
        <v>168781.37768799998</v>
      </c>
      <c r="L19" s="575">
        <v>45491.610744999998</v>
      </c>
      <c r="M19" s="575">
        <f>94092.54539-R19</f>
        <v>81062.059764999998</v>
      </c>
      <c r="N19" s="575">
        <v>0</v>
      </c>
      <c r="O19" s="575">
        <v>0</v>
      </c>
      <c r="P19" s="575">
        <f t="shared" si="4"/>
        <v>39148.521625000001</v>
      </c>
      <c r="Q19" s="575">
        <f>'PL61'!U19</f>
        <v>26118.036</v>
      </c>
      <c r="R19" s="575">
        <f>'PL61'!V19</f>
        <v>13030.485624999999</v>
      </c>
      <c r="S19" s="575">
        <v>3079.1855529999998</v>
      </c>
      <c r="T19" s="706">
        <f t="shared" si="7"/>
        <v>130.29787089821309</v>
      </c>
      <c r="U19" s="706">
        <f t="shared" si="5"/>
        <v>100.89063436615864</v>
      </c>
      <c r="V19" s="706">
        <f t="shared" si="5"/>
        <v>142.42653037863482</v>
      </c>
      <c r="W19" s="706" t="str">
        <f t="shared" si="5"/>
        <v/>
      </c>
      <c r="X19" s="706" t="str">
        <f t="shared" si="5"/>
        <v/>
      </c>
      <c r="Y19" s="706">
        <f t="shared" si="5"/>
        <v>142.20312976752632</v>
      </c>
      <c r="Z19" s="706">
        <f t="shared" si="5"/>
        <v>232.57378450578807</v>
      </c>
      <c r="AA19" s="706">
        <f t="shared" si="5"/>
        <v>79.941629601226992</v>
      </c>
      <c r="AB19" s="710">
        <f>12883.800625+146.685</f>
        <v>13030.485624999999</v>
      </c>
    </row>
    <row r="20" spans="1:28" s="9" customFormat="1" ht="18.75">
      <c r="A20" s="584">
        <v>5</v>
      </c>
      <c r="B20" s="633" t="s">
        <v>600</v>
      </c>
      <c r="C20" s="575">
        <f t="shared" si="8"/>
        <v>11310</v>
      </c>
      <c r="D20" s="575"/>
      <c r="E20" s="575">
        <v>9790</v>
      </c>
      <c r="F20" s="575">
        <v>0</v>
      </c>
      <c r="G20" s="575">
        <v>0</v>
      </c>
      <c r="H20" s="575">
        <f t="shared" si="2"/>
        <v>1520</v>
      </c>
      <c r="I20" s="575">
        <f>'PL61'!D20</f>
        <v>0</v>
      </c>
      <c r="J20" s="575">
        <f>'PL61'!E20</f>
        <v>1520</v>
      </c>
      <c r="K20" s="575">
        <f t="shared" si="3"/>
        <v>14443.263954</v>
      </c>
      <c r="L20" s="575"/>
      <c r="M20" s="575">
        <f>14443.263954-R20</f>
        <v>13433.796944</v>
      </c>
      <c r="N20" s="575"/>
      <c r="O20" s="575"/>
      <c r="P20" s="575">
        <f t="shared" si="4"/>
        <v>1009.46701</v>
      </c>
      <c r="Q20" s="575">
        <f>'PL61'!U20</f>
        <v>0</v>
      </c>
      <c r="R20" s="575">
        <f>'PL61'!V20</f>
        <v>1009.46701</v>
      </c>
      <c r="S20" s="575">
        <v>0</v>
      </c>
      <c r="T20" s="706">
        <f t="shared" si="7"/>
        <v>127.70348323607428</v>
      </c>
      <c r="U20" s="706" t="str">
        <f t="shared" si="5"/>
        <v/>
      </c>
      <c r="V20" s="706">
        <f t="shared" si="5"/>
        <v>137.21958063329927</v>
      </c>
      <c r="W20" s="706" t="str">
        <f t="shared" si="5"/>
        <v/>
      </c>
      <c r="X20" s="706" t="str">
        <f t="shared" si="5"/>
        <v/>
      </c>
      <c r="Y20" s="706">
        <f t="shared" si="5"/>
        <v>66.412303289473684</v>
      </c>
      <c r="Z20" s="706" t="str">
        <f t="shared" si="5"/>
        <v/>
      </c>
      <c r="AA20" s="706">
        <f t="shared" si="5"/>
        <v>66.412303289473684</v>
      </c>
      <c r="AB20" s="710">
        <v>1009.46701</v>
      </c>
    </row>
    <row r="21" spans="1:28" s="9" customFormat="1" ht="18.75">
      <c r="A21" s="584">
        <v>6</v>
      </c>
      <c r="B21" s="633" t="s">
        <v>602</v>
      </c>
      <c r="C21" s="575">
        <f t="shared" si="8"/>
        <v>8696</v>
      </c>
      <c r="D21" s="575"/>
      <c r="E21" s="575">
        <v>8696</v>
      </c>
      <c r="F21" s="575">
        <v>0</v>
      </c>
      <c r="G21" s="575">
        <v>0</v>
      </c>
      <c r="H21" s="575">
        <f t="shared" si="2"/>
        <v>0</v>
      </c>
      <c r="I21" s="575"/>
      <c r="J21" s="705">
        <v>0</v>
      </c>
      <c r="K21" s="575">
        <f t="shared" ref="K21:K85" si="10">SUM(L21:P21)+S21</f>
        <v>8874.2176999999992</v>
      </c>
      <c r="L21" s="575"/>
      <c r="M21" s="575">
        <v>8874.2176999999992</v>
      </c>
      <c r="N21" s="575">
        <v>0</v>
      </c>
      <c r="O21" s="575">
        <v>0</v>
      </c>
      <c r="P21" s="575">
        <f t="shared" si="4"/>
        <v>0</v>
      </c>
      <c r="Q21" s="575">
        <v>0</v>
      </c>
      <c r="R21" s="575">
        <f t="shared" si="9"/>
        <v>0</v>
      </c>
      <c r="S21" s="575">
        <v>0</v>
      </c>
      <c r="T21" s="706">
        <f t="shared" si="7"/>
        <v>102.04942157313707</v>
      </c>
      <c r="U21" s="706" t="str">
        <f t="shared" si="5"/>
        <v/>
      </c>
      <c r="V21" s="706">
        <f t="shared" si="5"/>
        <v>102.04942157313707</v>
      </c>
      <c r="W21" s="706" t="str">
        <f t="shared" si="5"/>
        <v/>
      </c>
      <c r="X21" s="706" t="str">
        <f t="shared" si="5"/>
        <v/>
      </c>
      <c r="Y21" s="706" t="str">
        <f t="shared" si="5"/>
        <v/>
      </c>
      <c r="Z21" s="706" t="str">
        <f t="shared" si="5"/>
        <v/>
      </c>
      <c r="AA21" s="706" t="str">
        <f t="shared" si="5"/>
        <v/>
      </c>
      <c r="AB21" s="710"/>
    </row>
    <row r="22" spans="1:28" s="9" customFormat="1" ht="18.75">
      <c r="A22" s="584">
        <v>7</v>
      </c>
      <c r="B22" s="633" t="s">
        <v>603</v>
      </c>
      <c r="C22" s="575">
        <f t="shared" si="8"/>
        <v>24408</v>
      </c>
      <c r="D22" s="575"/>
      <c r="E22" s="575">
        <v>24408</v>
      </c>
      <c r="F22" s="575">
        <v>0</v>
      </c>
      <c r="G22" s="575">
        <v>0</v>
      </c>
      <c r="H22" s="575">
        <f t="shared" si="2"/>
        <v>0</v>
      </c>
      <c r="I22" s="575"/>
      <c r="J22" s="705">
        <v>0</v>
      </c>
      <c r="K22" s="575">
        <f t="shared" si="10"/>
        <v>23780.167310999997</v>
      </c>
      <c r="L22" s="575"/>
      <c r="M22" s="575">
        <v>23595.620137999998</v>
      </c>
      <c r="N22" s="575">
        <v>0</v>
      </c>
      <c r="O22" s="575">
        <v>0</v>
      </c>
      <c r="P22" s="575">
        <f t="shared" si="4"/>
        <v>0</v>
      </c>
      <c r="Q22" s="575"/>
      <c r="R22" s="575">
        <f t="shared" si="9"/>
        <v>0</v>
      </c>
      <c r="S22" s="575">
        <v>184.54717299999999</v>
      </c>
      <c r="T22" s="706">
        <f t="shared" si="7"/>
        <v>97.427758566863304</v>
      </c>
      <c r="U22" s="706" t="str">
        <f t="shared" si="5"/>
        <v/>
      </c>
      <c r="V22" s="706">
        <f t="shared" si="5"/>
        <v>96.671665593248107</v>
      </c>
      <c r="W22" s="706" t="str">
        <f t="shared" si="5"/>
        <v/>
      </c>
      <c r="X22" s="706" t="str">
        <f t="shared" si="5"/>
        <v/>
      </c>
      <c r="Y22" s="706" t="str">
        <f t="shared" si="5"/>
        <v/>
      </c>
      <c r="Z22" s="706" t="str">
        <f t="shared" si="5"/>
        <v/>
      </c>
      <c r="AA22" s="706" t="str">
        <f t="shared" si="5"/>
        <v/>
      </c>
      <c r="AB22" s="710"/>
    </row>
    <row r="23" spans="1:28" s="9" customFormat="1" ht="18.75">
      <c r="A23" s="584">
        <v>8</v>
      </c>
      <c r="B23" s="633" t="s">
        <v>604</v>
      </c>
      <c r="C23" s="575">
        <f t="shared" si="8"/>
        <v>16840</v>
      </c>
      <c r="D23" s="575"/>
      <c r="E23" s="575">
        <v>16840</v>
      </c>
      <c r="F23" s="575">
        <v>0</v>
      </c>
      <c r="G23" s="575">
        <v>0</v>
      </c>
      <c r="H23" s="575">
        <f t="shared" si="2"/>
        <v>0</v>
      </c>
      <c r="I23" s="575"/>
      <c r="J23" s="705">
        <v>0</v>
      </c>
      <c r="K23" s="575">
        <f t="shared" si="10"/>
        <v>23012.412960999998</v>
      </c>
      <c r="L23" s="575"/>
      <c r="M23" s="575">
        <v>21219.525164999999</v>
      </c>
      <c r="N23" s="575">
        <v>0</v>
      </c>
      <c r="O23" s="575">
        <v>0</v>
      </c>
      <c r="P23" s="575">
        <f t="shared" si="4"/>
        <v>0</v>
      </c>
      <c r="Q23" s="575"/>
      <c r="R23" s="575">
        <f t="shared" si="9"/>
        <v>0</v>
      </c>
      <c r="S23" s="575">
        <v>1792.887796</v>
      </c>
      <c r="T23" s="706">
        <f t="shared" si="7"/>
        <v>136.65328361638953</v>
      </c>
      <c r="U23" s="706" t="str">
        <f t="shared" si="5"/>
        <v/>
      </c>
      <c r="V23" s="706">
        <f t="shared" si="5"/>
        <v>126.00668150237529</v>
      </c>
      <c r="W23" s="706" t="str">
        <f t="shared" si="5"/>
        <v/>
      </c>
      <c r="X23" s="706" t="str">
        <f t="shared" si="5"/>
        <v/>
      </c>
      <c r="Y23" s="706" t="str">
        <f t="shared" si="5"/>
        <v/>
      </c>
      <c r="Z23" s="706" t="str">
        <f t="shared" si="5"/>
        <v/>
      </c>
      <c r="AA23" s="706" t="str">
        <f t="shared" si="5"/>
        <v/>
      </c>
      <c r="AB23" s="710"/>
    </row>
    <row r="24" spans="1:28" s="9" customFormat="1" ht="18.75">
      <c r="A24" s="584">
        <v>9</v>
      </c>
      <c r="B24" s="633" t="s">
        <v>605</v>
      </c>
      <c r="C24" s="575">
        <f t="shared" si="8"/>
        <v>9761</v>
      </c>
      <c r="D24" s="575"/>
      <c r="E24" s="575">
        <v>9761</v>
      </c>
      <c r="F24" s="575">
        <v>0</v>
      </c>
      <c r="G24" s="575">
        <v>0</v>
      </c>
      <c r="H24" s="575">
        <f t="shared" si="2"/>
        <v>0</v>
      </c>
      <c r="I24" s="575"/>
      <c r="J24" s="705">
        <v>0</v>
      </c>
      <c r="K24" s="575">
        <f t="shared" si="10"/>
        <v>9613.690485000001</v>
      </c>
      <c r="L24" s="575"/>
      <c r="M24" s="575">
        <v>9399.5254370000002</v>
      </c>
      <c r="N24" s="575">
        <v>0</v>
      </c>
      <c r="O24" s="575">
        <v>0</v>
      </c>
      <c r="P24" s="575">
        <f t="shared" si="4"/>
        <v>0</v>
      </c>
      <c r="Q24" s="575"/>
      <c r="R24" s="575">
        <f t="shared" si="9"/>
        <v>0</v>
      </c>
      <c r="S24" s="575">
        <v>214.16504800000001</v>
      </c>
      <c r="T24" s="706">
        <f t="shared" si="7"/>
        <v>98.49083582624732</v>
      </c>
      <c r="U24" s="706" t="str">
        <f t="shared" si="5"/>
        <v/>
      </c>
      <c r="V24" s="706">
        <f t="shared" si="5"/>
        <v>96.296746614076426</v>
      </c>
      <c r="W24" s="706" t="str">
        <f t="shared" si="5"/>
        <v/>
      </c>
      <c r="X24" s="706" t="str">
        <f t="shared" si="5"/>
        <v/>
      </c>
      <c r="Y24" s="706" t="str">
        <f t="shared" si="5"/>
        <v/>
      </c>
      <c r="Z24" s="706" t="str">
        <f t="shared" si="5"/>
        <v/>
      </c>
      <c r="AA24" s="706" t="str">
        <f t="shared" si="5"/>
        <v/>
      </c>
      <c r="AB24" s="710"/>
    </row>
    <row r="25" spans="1:28" s="9" customFormat="1" ht="18.75">
      <c r="A25" s="584">
        <v>10</v>
      </c>
      <c r="B25" s="633" t="s">
        <v>606</v>
      </c>
      <c r="C25" s="575">
        <f t="shared" si="8"/>
        <v>16508</v>
      </c>
      <c r="D25" s="575"/>
      <c r="E25" s="575">
        <v>16508</v>
      </c>
      <c r="F25" s="575">
        <v>0</v>
      </c>
      <c r="G25" s="575">
        <v>0</v>
      </c>
      <c r="H25" s="575">
        <f t="shared" si="2"/>
        <v>0</v>
      </c>
      <c r="I25" s="575"/>
      <c r="J25" s="705">
        <v>0</v>
      </c>
      <c r="K25" s="575">
        <f t="shared" si="10"/>
        <v>15097.608564</v>
      </c>
      <c r="L25" s="575"/>
      <c r="M25" s="575">
        <v>14816.305566000001</v>
      </c>
      <c r="N25" s="575">
        <v>0</v>
      </c>
      <c r="O25" s="575">
        <v>0</v>
      </c>
      <c r="P25" s="575">
        <f t="shared" si="4"/>
        <v>0</v>
      </c>
      <c r="Q25" s="575"/>
      <c r="R25" s="575">
        <f t="shared" si="9"/>
        <v>0</v>
      </c>
      <c r="S25" s="575">
        <v>281.302998</v>
      </c>
      <c r="T25" s="706">
        <f t="shared" si="7"/>
        <v>91.456315507632652</v>
      </c>
      <c r="U25" s="706" t="str">
        <f t="shared" si="5"/>
        <v/>
      </c>
      <c r="V25" s="706">
        <f t="shared" si="5"/>
        <v>89.752275054519018</v>
      </c>
      <c r="W25" s="706" t="str">
        <f t="shared" si="5"/>
        <v/>
      </c>
      <c r="X25" s="706" t="str">
        <f t="shared" si="5"/>
        <v/>
      </c>
      <c r="Y25" s="706" t="str">
        <f t="shared" si="5"/>
        <v/>
      </c>
      <c r="Z25" s="706" t="str">
        <f t="shared" si="5"/>
        <v/>
      </c>
      <c r="AA25" s="706" t="str">
        <f t="shared" si="5"/>
        <v/>
      </c>
      <c r="AB25" s="710"/>
    </row>
    <row r="26" spans="1:28" s="9" customFormat="1" ht="18.75">
      <c r="A26" s="584">
        <v>11</v>
      </c>
      <c r="B26" s="633" t="s">
        <v>607</v>
      </c>
      <c r="C26" s="575">
        <f t="shared" si="8"/>
        <v>40478</v>
      </c>
      <c r="D26" s="575"/>
      <c r="E26" s="575">
        <v>40478</v>
      </c>
      <c r="F26" s="575">
        <v>0</v>
      </c>
      <c r="G26" s="575">
        <v>0</v>
      </c>
      <c r="H26" s="575">
        <f t="shared" si="2"/>
        <v>0</v>
      </c>
      <c r="I26" s="575"/>
      <c r="J26" s="705">
        <v>0</v>
      </c>
      <c r="K26" s="575">
        <f t="shared" si="10"/>
        <v>21237.855797</v>
      </c>
      <c r="L26" s="575"/>
      <c r="M26" s="575">
        <v>21237.855797</v>
      </c>
      <c r="N26" s="575">
        <v>0</v>
      </c>
      <c r="O26" s="575">
        <v>0</v>
      </c>
      <c r="P26" s="575">
        <f t="shared" si="4"/>
        <v>0</v>
      </c>
      <c r="Q26" s="575"/>
      <c r="R26" s="575">
        <f t="shared" si="9"/>
        <v>0</v>
      </c>
      <c r="S26" s="575">
        <v>0</v>
      </c>
      <c r="T26" s="706">
        <f t="shared" si="7"/>
        <v>52.467651062305457</v>
      </c>
      <c r="U26" s="706" t="str">
        <f t="shared" si="5"/>
        <v/>
      </c>
      <c r="V26" s="706">
        <f t="shared" si="5"/>
        <v>52.467651062305457</v>
      </c>
      <c r="W26" s="706" t="str">
        <f t="shared" si="5"/>
        <v/>
      </c>
      <c r="X26" s="706" t="str">
        <f t="shared" si="5"/>
        <v/>
      </c>
      <c r="Y26" s="706" t="str">
        <f t="shared" si="5"/>
        <v/>
      </c>
      <c r="Z26" s="706" t="str">
        <f t="shared" si="5"/>
        <v/>
      </c>
      <c r="AA26" s="706" t="str">
        <f t="shared" si="5"/>
        <v/>
      </c>
      <c r="AB26" s="710"/>
    </row>
    <row r="27" spans="1:28" s="9" customFormat="1" ht="18.75">
      <c r="A27" s="584">
        <v>12</v>
      </c>
      <c r="B27" s="633" t="s">
        <v>608</v>
      </c>
      <c r="C27" s="575">
        <f t="shared" si="8"/>
        <v>311815</v>
      </c>
      <c r="D27" s="575"/>
      <c r="E27" s="575">
        <v>311815</v>
      </c>
      <c r="F27" s="575">
        <v>0</v>
      </c>
      <c r="G27" s="575">
        <v>0</v>
      </c>
      <c r="H27" s="575">
        <f t="shared" si="2"/>
        <v>0</v>
      </c>
      <c r="I27" s="575"/>
      <c r="J27" s="705">
        <v>0</v>
      </c>
      <c r="K27" s="575">
        <f t="shared" si="10"/>
        <v>309507.75967199996</v>
      </c>
      <c r="L27" s="575"/>
      <c r="M27" s="575">
        <v>293633.86012899998</v>
      </c>
      <c r="N27" s="575">
        <v>0</v>
      </c>
      <c r="O27" s="575">
        <v>0</v>
      </c>
      <c r="P27" s="575">
        <f t="shared" si="4"/>
        <v>0</v>
      </c>
      <c r="Q27" s="575"/>
      <c r="R27" s="575">
        <f t="shared" si="9"/>
        <v>0</v>
      </c>
      <c r="S27" s="575">
        <v>15873.899543</v>
      </c>
      <c r="T27" s="706">
        <f t="shared" si="7"/>
        <v>99.260061149078766</v>
      </c>
      <c r="U27" s="706" t="str">
        <f t="shared" si="5"/>
        <v/>
      </c>
      <c r="V27" s="706">
        <f t="shared" si="5"/>
        <v>94.169254246588508</v>
      </c>
      <c r="W27" s="706" t="str">
        <f t="shared" si="5"/>
        <v/>
      </c>
      <c r="X27" s="706" t="str">
        <f t="shared" si="5"/>
        <v/>
      </c>
      <c r="Y27" s="706" t="str">
        <f t="shared" si="5"/>
        <v/>
      </c>
      <c r="Z27" s="706" t="str">
        <f t="shared" si="5"/>
        <v/>
      </c>
      <c r="AA27" s="706" t="str">
        <f t="shared" si="5"/>
        <v/>
      </c>
      <c r="AB27" s="710"/>
    </row>
    <row r="28" spans="1:28" s="9" customFormat="1" ht="18.75">
      <c r="A28" s="584">
        <v>13</v>
      </c>
      <c r="B28" s="633" t="s">
        <v>609</v>
      </c>
      <c r="C28" s="575">
        <f t="shared" si="8"/>
        <v>160510</v>
      </c>
      <c r="D28" s="575"/>
      <c r="E28" s="575">
        <v>160510</v>
      </c>
      <c r="F28" s="575">
        <v>0</v>
      </c>
      <c r="G28" s="575">
        <v>0</v>
      </c>
      <c r="H28" s="575">
        <f t="shared" si="2"/>
        <v>0</v>
      </c>
      <c r="I28" s="575">
        <v>0</v>
      </c>
      <c r="J28" s="705">
        <v>0</v>
      </c>
      <c r="K28" s="575">
        <f t="shared" si="10"/>
        <v>193690.34832700001</v>
      </c>
      <c r="L28" s="575"/>
      <c r="M28" s="575">
        <v>186978.02782600001</v>
      </c>
      <c r="N28" s="575">
        <v>0</v>
      </c>
      <c r="O28" s="575">
        <v>0</v>
      </c>
      <c r="P28" s="575">
        <f t="shared" si="4"/>
        <v>0</v>
      </c>
      <c r="Q28" s="575"/>
      <c r="R28" s="575">
        <f t="shared" si="9"/>
        <v>0</v>
      </c>
      <c r="S28" s="575">
        <v>6712.3205010000001</v>
      </c>
      <c r="T28" s="706">
        <f t="shared" si="7"/>
        <v>120.67182625817708</v>
      </c>
      <c r="U28" s="706" t="str">
        <f t="shared" si="5"/>
        <v/>
      </c>
      <c r="V28" s="706">
        <f t="shared" si="5"/>
        <v>116.48995565759144</v>
      </c>
      <c r="W28" s="706" t="str">
        <f t="shared" si="5"/>
        <v/>
      </c>
      <c r="X28" s="706" t="str">
        <f t="shared" si="5"/>
        <v/>
      </c>
      <c r="Y28" s="706" t="str">
        <f t="shared" si="5"/>
        <v/>
      </c>
      <c r="Z28" s="706" t="str">
        <f t="shared" si="5"/>
        <v/>
      </c>
      <c r="AA28" s="706" t="str">
        <f t="shared" si="5"/>
        <v/>
      </c>
      <c r="AB28" s="710"/>
    </row>
    <row r="29" spans="1:28" s="9" customFormat="1" ht="18.75">
      <c r="A29" s="584">
        <v>14</v>
      </c>
      <c r="B29" s="633" t="s">
        <v>610</v>
      </c>
      <c r="C29" s="575">
        <f t="shared" si="8"/>
        <v>82608</v>
      </c>
      <c r="D29" s="575"/>
      <c r="E29" s="575">
        <f>52739+22462</f>
        <v>75201</v>
      </c>
      <c r="F29" s="575">
        <v>0</v>
      </c>
      <c r="G29" s="575">
        <v>0</v>
      </c>
      <c r="H29" s="575">
        <f t="shared" si="2"/>
        <v>7407</v>
      </c>
      <c r="I29" s="575">
        <f>'PL61'!D21</f>
        <v>0</v>
      </c>
      <c r="J29" s="575">
        <f>'PL61'!E21</f>
        <v>7407</v>
      </c>
      <c r="K29" s="575">
        <f t="shared" si="10"/>
        <v>98493.660252000001</v>
      </c>
      <c r="L29" s="575"/>
      <c r="M29" s="575">
        <f>92221.754423-R29</f>
        <v>87384.564294000011</v>
      </c>
      <c r="N29" s="575">
        <v>0</v>
      </c>
      <c r="O29" s="575">
        <v>0</v>
      </c>
      <c r="P29" s="575">
        <f t="shared" si="4"/>
        <v>4837.1901290000005</v>
      </c>
      <c r="Q29" s="575">
        <f>'PL61'!U21</f>
        <v>0</v>
      </c>
      <c r="R29" s="575">
        <f t="shared" si="9"/>
        <v>4837.1901290000005</v>
      </c>
      <c r="S29" s="575">
        <v>6271.9058290000003</v>
      </c>
      <c r="T29" s="706">
        <f t="shared" si="7"/>
        <v>119.23017171702499</v>
      </c>
      <c r="U29" s="706" t="str">
        <f t="shared" si="5"/>
        <v/>
      </c>
      <c r="V29" s="706">
        <f t="shared" si="5"/>
        <v>116.2013328200423</v>
      </c>
      <c r="W29" s="706" t="str">
        <f t="shared" si="5"/>
        <v/>
      </c>
      <c r="X29" s="706" t="str">
        <f t="shared" si="5"/>
        <v/>
      </c>
      <c r="Y29" s="706">
        <f t="shared" si="5"/>
        <v>65.305658552720416</v>
      </c>
      <c r="Z29" s="706" t="str">
        <f t="shared" si="5"/>
        <v/>
      </c>
      <c r="AA29" s="706">
        <f t="shared" si="5"/>
        <v>65.305658552720416</v>
      </c>
      <c r="AB29" s="710">
        <f>1860.579829+2472.812+503.7983</f>
        <v>4837.1901290000005</v>
      </c>
    </row>
    <row r="30" spans="1:28" s="9" customFormat="1" ht="18.75">
      <c r="A30" s="584">
        <v>15</v>
      </c>
      <c r="B30" s="633" t="s">
        <v>611</v>
      </c>
      <c r="C30" s="575">
        <f t="shared" si="8"/>
        <v>53282</v>
      </c>
      <c r="D30" s="575"/>
      <c r="E30" s="575">
        <v>48262</v>
      </c>
      <c r="F30" s="575">
        <v>0</v>
      </c>
      <c r="G30" s="575">
        <v>0</v>
      </c>
      <c r="H30" s="575">
        <f t="shared" si="2"/>
        <v>5020</v>
      </c>
      <c r="I30" s="575">
        <f>'PL61'!D22</f>
        <v>0</v>
      </c>
      <c r="J30" s="575">
        <f>'PL61'!E22</f>
        <v>5020</v>
      </c>
      <c r="K30" s="575">
        <f t="shared" si="10"/>
        <v>61933.112800000003</v>
      </c>
      <c r="L30" s="575">
        <v>8552.7605000000003</v>
      </c>
      <c r="M30" s="575">
        <f>53324.340767-R30</f>
        <v>47951.277367000002</v>
      </c>
      <c r="N30" s="575">
        <v>0</v>
      </c>
      <c r="O30" s="575">
        <v>0</v>
      </c>
      <c r="P30" s="575">
        <f t="shared" si="4"/>
        <v>5373.0634</v>
      </c>
      <c r="Q30" s="575">
        <f>'PL61'!U22</f>
        <v>0</v>
      </c>
      <c r="R30" s="575">
        <f>AB30</f>
        <v>5373.0634</v>
      </c>
      <c r="S30" s="575">
        <v>56.011533</v>
      </c>
      <c r="T30" s="706">
        <f t="shared" si="7"/>
        <v>116.23646409669306</v>
      </c>
      <c r="U30" s="706" t="str">
        <f t="shared" si="7"/>
        <v/>
      </c>
      <c r="V30" s="706">
        <f t="shared" si="7"/>
        <v>99.356175390576439</v>
      </c>
      <c r="W30" s="706" t="str">
        <f t="shared" si="7"/>
        <v/>
      </c>
      <c r="X30" s="706" t="str">
        <f t="shared" si="7"/>
        <v/>
      </c>
      <c r="Y30" s="706">
        <f t="shared" si="7"/>
        <v>107.03313545816732</v>
      </c>
      <c r="Z30" s="706" t="str">
        <f t="shared" si="7"/>
        <v/>
      </c>
      <c r="AA30" s="706">
        <f t="shared" si="7"/>
        <v>107.03313545816732</v>
      </c>
      <c r="AB30" s="710">
        <f>5087.861+285.2024</f>
        <v>5373.0634</v>
      </c>
    </row>
    <row r="31" spans="1:28" s="9" customFormat="1" ht="18.75">
      <c r="A31" s="584">
        <v>16</v>
      </c>
      <c r="B31" s="633" t="s">
        <v>612</v>
      </c>
      <c r="C31" s="575">
        <f t="shared" si="8"/>
        <v>45987</v>
      </c>
      <c r="D31" s="575"/>
      <c r="E31" s="575">
        <v>45987</v>
      </c>
      <c r="F31" s="575">
        <v>0</v>
      </c>
      <c r="G31" s="575">
        <v>0</v>
      </c>
      <c r="H31" s="575">
        <f t="shared" si="2"/>
        <v>0</v>
      </c>
      <c r="I31" s="575"/>
      <c r="J31" s="705">
        <v>0</v>
      </c>
      <c r="K31" s="575">
        <f t="shared" si="10"/>
        <v>29658.891099</v>
      </c>
      <c r="L31" s="575"/>
      <c r="M31" s="575">
        <v>29618.76513</v>
      </c>
      <c r="N31" s="575">
        <v>0</v>
      </c>
      <c r="O31" s="575">
        <v>0</v>
      </c>
      <c r="P31" s="575">
        <f t="shared" si="4"/>
        <v>0</v>
      </c>
      <c r="Q31" s="575"/>
      <c r="R31" s="575">
        <f t="shared" si="9"/>
        <v>0</v>
      </c>
      <c r="S31" s="575">
        <v>40.125968999999998</v>
      </c>
      <c r="T31" s="706">
        <f t="shared" si="7"/>
        <v>64.49407680213973</v>
      </c>
      <c r="U31" s="706" t="str">
        <f t="shared" si="7"/>
        <v/>
      </c>
      <c r="V31" s="706">
        <f t="shared" si="7"/>
        <v>64.406821775719223</v>
      </c>
      <c r="W31" s="706" t="str">
        <f t="shared" si="7"/>
        <v/>
      </c>
      <c r="X31" s="706" t="str">
        <f t="shared" si="7"/>
        <v/>
      </c>
      <c r="Y31" s="706" t="str">
        <f t="shared" si="7"/>
        <v/>
      </c>
      <c r="Z31" s="706" t="str">
        <f t="shared" si="7"/>
        <v/>
      </c>
      <c r="AA31" s="706" t="str">
        <f t="shared" si="7"/>
        <v/>
      </c>
      <c r="AB31" s="710"/>
    </row>
    <row r="32" spans="1:28" s="9" customFormat="1" ht="18.75">
      <c r="A32" s="584">
        <v>17</v>
      </c>
      <c r="B32" s="633" t="s">
        <v>613</v>
      </c>
      <c r="C32" s="575">
        <f t="shared" si="8"/>
        <v>14329</v>
      </c>
      <c r="D32" s="575"/>
      <c r="E32" s="575">
        <v>8709</v>
      </c>
      <c r="F32" s="575">
        <v>0</v>
      </c>
      <c r="G32" s="575">
        <v>0</v>
      </c>
      <c r="H32" s="575">
        <f t="shared" si="2"/>
        <v>5620</v>
      </c>
      <c r="I32" s="575">
        <f>'PL61'!D23</f>
        <v>0</v>
      </c>
      <c r="J32" s="575">
        <f>'PL61'!E23</f>
        <v>5620</v>
      </c>
      <c r="K32" s="575">
        <f t="shared" si="10"/>
        <v>11244.615492999999</v>
      </c>
      <c r="L32" s="575"/>
      <c r="M32" s="575">
        <f>10775.615493-R32</f>
        <v>9975.7249929999998</v>
      </c>
      <c r="N32" s="575"/>
      <c r="O32" s="575"/>
      <c r="P32" s="575">
        <f t="shared" si="4"/>
        <v>799.89049999999997</v>
      </c>
      <c r="Q32" s="575">
        <f>'PL61'!U23</f>
        <v>0</v>
      </c>
      <c r="R32" s="575">
        <f>'PL61'!V23</f>
        <v>799.89049999999997</v>
      </c>
      <c r="S32" s="575">
        <f>469</f>
        <v>469</v>
      </c>
      <c r="T32" s="706">
        <f t="shared" si="7"/>
        <v>78.474530623211663</v>
      </c>
      <c r="U32" s="706" t="str">
        <f t="shared" si="7"/>
        <v/>
      </c>
      <c r="V32" s="706">
        <f t="shared" si="7"/>
        <v>114.5450108278792</v>
      </c>
      <c r="W32" s="706" t="str">
        <f t="shared" si="7"/>
        <v/>
      </c>
      <c r="X32" s="706" t="str">
        <f t="shared" si="7"/>
        <v/>
      </c>
      <c r="Y32" s="706">
        <f t="shared" si="7"/>
        <v>14.232927046263343</v>
      </c>
      <c r="Z32" s="706" t="str">
        <f t="shared" si="7"/>
        <v/>
      </c>
      <c r="AA32" s="706">
        <f t="shared" si="7"/>
        <v>14.232927046263343</v>
      </c>
      <c r="AB32" s="710">
        <f>515.686+284.2045</f>
        <v>799.89049999999997</v>
      </c>
    </row>
    <row r="33" spans="1:28" s="9" customFormat="1" ht="18.75">
      <c r="A33" s="584">
        <v>18</v>
      </c>
      <c r="B33" s="633" t="s">
        <v>614</v>
      </c>
      <c r="C33" s="575">
        <f t="shared" si="8"/>
        <v>29022</v>
      </c>
      <c r="D33" s="575"/>
      <c r="E33" s="575">
        <v>28022</v>
      </c>
      <c r="F33" s="575">
        <v>0</v>
      </c>
      <c r="G33" s="575">
        <v>0</v>
      </c>
      <c r="H33" s="575">
        <f t="shared" si="2"/>
        <v>1000</v>
      </c>
      <c r="I33" s="575">
        <f>'PL61'!D24</f>
        <v>0</v>
      </c>
      <c r="J33" s="575">
        <f>'PL61'!E24</f>
        <v>1000</v>
      </c>
      <c r="K33" s="575">
        <f t="shared" si="10"/>
        <v>37493.375914999997</v>
      </c>
      <c r="L33" s="575"/>
      <c r="M33" s="575">
        <f>37493.375915-R33</f>
        <v>36749.385114999997</v>
      </c>
      <c r="N33" s="575">
        <v>0</v>
      </c>
      <c r="O33" s="575">
        <v>0</v>
      </c>
      <c r="P33" s="575">
        <f t="shared" si="4"/>
        <v>743.99080000000004</v>
      </c>
      <c r="Q33" s="575">
        <f>'PL61'!U24</f>
        <v>0</v>
      </c>
      <c r="R33" s="575">
        <f>'PL61'!V24</f>
        <v>743.99080000000004</v>
      </c>
      <c r="S33" s="575">
        <v>0</v>
      </c>
      <c r="T33" s="706">
        <f t="shared" si="7"/>
        <v>129.18949732961198</v>
      </c>
      <c r="U33" s="706" t="str">
        <f t="shared" si="7"/>
        <v/>
      </c>
      <c r="V33" s="706">
        <f t="shared" si="7"/>
        <v>131.14476166940258</v>
      </c>
      <c r="W33" s="706" t="str">
        <f t="shared" si="7"/>
        <v/>
      </c>
      <c r="X33" s="706" t="str">
        <f t="shared" si="7"/>
        <v/>
      </c>
      <c r="Y33" s="706">
        <f t="shared" si="7"/>
        <v>74.399079999999998</v>
      </c>
      <c r="Z33" s="706" t="str">
        <f t="shared" si="7"/>
        <v/>
      </c>
      <c r="AA33" s="706">
        <f t="shared" si="7"/>
        <v>74.399079999999998</v>
      </c>
      <c r="AB33" s="710">
        <v>743.99080000000004</v>
      </c>
    </row>
    <row r="34" spans="1:28" s="9" customFormat="1" ht="18.75">
      <c r="A34" s="584">
        <v>19</v>
      </c>
      <c r="B34" s="633" t="s">
        <v>615</v>
      </c>
      <c r="C34" s="575">
        <f t="shared" si="8"/>
        <v>6593</v>
      </c>
      <c r="D34" s="575"/>
      <c r="E34" s="575">
        <v>6593</v>
      </c>
      <c r="F34" s="575">
        <v>0</v>
      </c>
      <c r="G34" s="575">
        <v>0</v>
      </c>
      <c r="H34" s="575">
        <f t="shared" si="2"/>
        <v>0</v>
      </c>
      <c r="I34" s="575"/>
      <c r="J34" s="705">
        <v>0</v>
      </c>
      <c r="K34" s="575">
        <f t="shared" si="10"/>
        <v>8076.5452930000001</v>
      </c>
      <c r="L34" s="575"/>
      <c r="M34" s="575">
        <v>7791.4525610000001</v>
      </c>
      <c r="N34" s="575">
        <v>0</v>
      </c>
      <c r="O34" s="575">
        <v>0</v>
      </c>
      <c r="P34" s="575">
        <f t="shared" si="4"/>
        <v>0</v>
      </c>
      <c r="Q34" s="575"/>
      <c r="R34" s="575">
        <f t="shared" si="9"/>
        <v>0</v>
      </c>
      <c r="S34" s="575">
        <v>285.09273200000001</v>
      </c>
      <c r="T34" s="706">
        <f t="shared" si="7"/>
        <v>122.50182455634763</v>
      </c>
      <c r="U34" s="706" t="str">
        <f t="shared" si="7"/>
        <v/>
      </c>
      <c r="V34" s="706">
        <f t="shared" si="7"/>
        <v>118.17765146367358</v>
      </c>
      <c r="W34" s="706" t="str">
        <f t="shared" si="7"/>
        <v/>
      </c>
      <c r="X34" s="706" t="str">
        <f t="shared" si="7"/>
        <v/>
      </c>
      <c r="Y34" s="706" t="str">
        <f t="shared" si="7"/>
        <v/>
      </c>
      <c r="Z34" s="706" t="str">
        <f t="shared" si="7"/>
        <v/>
      </c>
      <c r="AA34" s="706" t="str">
        <f t="shared" si="7"/>
        <v/>
      </c>
      <c r="AB34" s="710"/>
    </row>
    <row r="35" spans="1:28" s="9" customFormat="1" ht="18.75">
      <c r="A35" s="584">
        <v>20</v>
      </c>
      <c r="B35" s="633" t="s">
        <v>616</v>
      </c>
      <c r="C35" s="575">
        <f t="shared" si="8"/>
        <v>1230</v>
      </c>
      <c r="D35" s="575"/>
      <c r="E35" s="575">
        <v>1230</v>
      </c>
      <c r="F35" s="575">
        <v>0</v>
      </c>
      <c r="G35" s="575">
        <v>0</v>
      </c>
      <c r="H35" s="575">
        <f t="shared" si="2"/>
        <v>0</v>
      </c>
      <c r="I35" s="575"/>
      <c r="J35" s="705">
        <v>0</v>
      </c>
      <c r="K35" s="575">
        <f t="shared" si="10"/>
        <v>2550</v>
      </c>
      <c r="L35" s="575"/>
      <c r="M35" s="575">
        <v>2550</v>
      </c>
      <c r="N35" s="575">
        <v>0</v>
      </c>
      <c r="O35" s="575">
        <v>0</v>
      </c>
      <c r="P35" s="575">
        <f>Q35+R35</f>
        <v>0</v>
      </c>
      <c r="Q35" s="575"/>
      <c r="R35" s="575">
        <f t="shared" si="9"/>
        <v>0</v>
      </c>
      <c r="S35" s="575">
        <v>0</v>
      </c>
      <c r="T35" s="706">
        <f t="shared" si="7"/>
        <v>207.3170731707317</v>
      </c>
      <c r="U35" s="706" t="str">
        <f t="shared" si="7"/>
        <v/>
      </c>
      <c r="V35" s="706">
        <f t="shared" si="7"/>
        <v>207.3170731707317</v>
      </c>
      <c r="W35" s="706" t="str">
        <f t="shared" si="7"/>
        <v/>
      </c>
      <c r="X35" s="706" t="str">
        <f t="shared" si="7"/>
        <v/>
      </c>
      <c r="Y35" s="706" t="str">
        <f t="shared" si="7"/>
        <v/>
      </c>
      <c r="Z35" s="706" t="str">
        <f t="shared" si="7"/>
        <v/>
      </c>
      <c r="AA35" s="706" t="str">
        <f t="shared" si="7"/>
        <v/>
      </c>
      <c r="AB35" s="710"/>
    </row>
    <row r="36" spans="1:28" s="9" customFormat="1" ht="18.75">
      <c r="A36" s="584">
        <v>21</v>
      </c>
      <c r="B36" s="633" t="s">
        <v>617</v>
      </c>
      <c r="C36" s="575">
        <f t="shared" si="8"/>
        <v>1327</v>
      </c>
      <c r="D36" s="575"/>
      <c r="E36" s="575">
        <v>1327</v>
      </c>
      <c r="F36" s="575">
        <v>0</v>
      </c>
      <c r="G36" s="575">
        <v>0</v>
      </c>
      <c r="H36" s="575">
        <f t="shared" si="2"/>
        <v>0</v>
      </c>
      <c r="I36" s="575"/>
      <c r="J36" s="705">
        <v>0</v>
      </c>
      <c r="K36" s="575">
        <f t="shared" si="10"/>
        <v>2026.000992</v>
      </c>
      <c r="L36" s="575"/>
      <c r="M36" s="575">
        <v>1735.898682</v>
      </c>
      <c r="N36" s="575">
        <v>0</v>
      </c>
      <c r="O36" s="575">
        <v>0</v>
      </c>
      <c r="P36" s="575">
        <f t="shared" si="4"/>
        <v>0</v>
      </c>
      <c r="Q36" s="575"/>
      <c r="R36" s="575">
        <f t="shared" si="9"/>
        <v>0</v>
      </c>
      <c r="S36" s="575">
        <v>290.10230999999999</v>
      </c>
      <c r="T36" s="706">
        <f t="shared" si="7"/>
        <v>152.6752819894499</v>
      </c>
      <c r="U36" s="706" t="str">
        <f t="shared" si="7"/>
        <v/>
      </c>
      <c r="V36" s="706">
        <f t="shared" si="7"/>
        <v>130.81376654107009</v>
      </c>
      <c r="W36" s="706" t="str">
        <f t="shared" si="7"/>
        <v/>
      </c>
      <c r="X36" s="706" t="str">
        <f t="shared" si="7"/>
        <v/>
      </c>
      <c r="Y36" s="706" t="str">
        <f t="shared" si="7"/>
        <v/>
      </c>
      <c r="Z36" s="706" t="str">
        <f t="shared" si="7"/>
        <v/>
      </c>
      <c r="AA36" s="706" t="str">
        <f t="shared" si="7"/>
        <v/>
      </c>
      <c r="AB36" s="710"/>
    </row>
    <row r="37" spans="1:28" s="9" customFormat="1" ht="18.75">
      <c r="A37" s="584">
        <v>22</v>
      </c>
      <c r="B37" s="633" t="s">
        <v>618</v>
      </c>
      <c r="C37" s="575">
        <f t="shared" si="8"/>
        <v>2743</v>
      </c>
      <c r="D37" s="575"/>
      <c r="E37" s="575">
        <v>2743</v>
      </c>
      <c r="F37" s="575">
        <v>0</v>
      </c>
      <c r="G37" s="575">
        <v>0</v>
      </c>
      <c r="H37" s="575">
        <f t="shared" si="2"/>
        <v>0</v>
      </c>
      <c r="I37" s="575"/>
      <c r="J37" s="705">
        <v>0</v>
      </c>
      <c r="K37" s="575">
        <f>SUM(L37:P37)+S37</f>
        <v>24265.071985999999</v>
      </c>
      <c r="L37" s="575"/>
      <c r="M37" s="575">
        <v>24265.071985999999</v>
      </c>
      <c r="N37" s="575">
        <v>0</v>
      </c>
      <c r="O37" s="575">
        <v>0</v>
      </c>
      <c r="P37" s="575">
        <f t="shared" si="4"/>
        <v>0</v>
      </c>
      <c r="Q37" s="575"/>
      <c r="R37" s="575">
        <f t="shared" si="9"/>
        <v>0</v>
      </c>
      <c r="S37" s="575">
        <v>0</v>
      </c>
      <c r="T37" s="706">
        <f t="shared" si="7"/>
        <v>884.61800896828288</v>
      </c>
      <c r="U37" s="706" t="str">
        <f t="shared" si="7"/>
        <v/>
      </c>
      <c r="V37" s="706">
        <f t="shared" si="7"/>
        <v>884.61800896828288</v>
      </c>
      <c r="W37" s="706" t="str">
        <f t="shared" si="7"/>
        <v/>
      </c>
      <c r="X37" s="706" t="str">
        <f t="shared" si="7"/>
        <v/>
      </c>
      <c r="Y37" s="706" t="str">
        <f t="shared" si="7"/>
        <v/>
      </c>
      <c r="Z37" s="706" t="str">
        <f t="shared" si="7"/>
        <v/>
      </c>
      <c r="AA37" s="706" t="str">
        <f t="shared" si="7"/>
        <v/>
      </c>
      <c r="AB37" s="710"/>
    </row>
    <row r="38" spans="1:28" s="9" customFormat="1" ht="18.75">
      <c r="A38" s="584">
        <v>23</v>
      </c>
      <c r="B38" s="633" t="s">
        <v>652</v>
      </c>
      <c r="C38" s="575">
        <f t="shared" si="8"/>
        <v>13739</v>
      </c>
      <c r="D38" s="575"/>
      <c r="E38" s="575">
        <v>13739</v>
      </c>
      <c r="F38" s="575">
        <v>0</v>
      </c>
      <c r="G38" s="575">
        <v>0</v>
      </c>
      <c r="H38" s="575">
        <f t="shared" si="2"/>
        <v>0</v>
      </c>
      <c r="I38" s="575"/>
      <c r="J38" s="705">
        <v>0</v>
      </c>
      <c r="K38" s="575">
        <f t="shared" si="10"/>
        <v>11660.762656999999</v>
      </c>
      <c r="L38" s="575"/>
      <c r="M38" s="575">
        <v>11660.762656999999</v>
      </c>
      <c r="N38" s="575">
        <v>0</v>
      </c>
      <c r="O38" s="575">
        <v>0</v>
      </c>
      <c r="P38" s="575">
        <f t="shared" si="4"/>
        <v>0</v>
      </c>
      <c r="Q38" s="575"/>
      <c r="R38" s="575">
        <f t="shared" si="9"/>
        <v>0</v>
      </c>
      <c r="S38" s="575">
        <v>0</v>
      </c>
      <c r="T38" s="706">
        <f t="shared" si="7"/>
        <v>84.87344535264576</v>
      </c>
      <c r="U38" s="706" t="str">
        <f t="shared" si="7"/>
        <v/>
      </c>
      <c r="V38" s="706">
        <f t="shared" si="7"/>
        <v>84.87344535264576</v>
      </c>
      <c r="W38" s="706" t="str">
        <f t="shared" si="7"/>
        <v/>
      </c>
      <c r="X38" s="706" t="str">
        <f t="shared" si="7"/>
        <v/>
      </c>
      <c r="Y38" s="706" t="str">
        <f t="shared" si="7"/>
        <v/>
      </c>
      <c r="Z38" s="706" t="str">
        <f t="shared" si="7"/>
        <v/>
      </c>
      <c r="AA38" s="706" t="str">
        <f t="shared" si="7"/>
        <v/>
      </c>
      <c r="AB38" s="710"/>
    </row>
    <row r="39" spans="1:28" s="9" customFormat="1" ht="18.75">
      <c r="A39" s="584">
        <v>24</v>
      </c>
      <c r="B39" s="633" t="s">
        <v>620</v>
      </c>
      <c r="C39" s="575">
        <f t="shared" si="8"/>
        <v>5522</v>
      </c>
      <c r="D39" s="575"/>
      <c r="E39" s="575">
        <v>5522</v>
      </c>
      <c r="F39" s="575">
        <v>0</v>
      </c>
      <c r="G39" s="575">
        <v>0</v>
      </c>
      <c r="H39" s="575">
        <f t="shared" si="2"/>
        <v>0</v>
      </c>
      <c r="I39" s="575"/>
      <c r="J39" s="705">
        <v>0</v>
      </c>
      <c r="K39" s="575">
        <f t="shared" si="10"/>
        <v>5511.0511219999999</v>
      </c>
      <c r="L39" s="575"/>
      <c r="M39" s="575">
        <v>5354.8271219999997</v>
      </c>
      <c r="N39" s="575">
        <v>0</v>
      </c>
      <c r="O39" s="575">
        <v>0</v>
      </c>
      <c r="P39" s="575">
        <f t="shared" si="4"/>
        <v>0</v>
      </c>
      <c r="Q39" s="575"/>
      <c r="R39" s="575">
        <f t="shared" si="9"/>
        <v>0</v>
      </c>
      <c r="S39" s="575">
        <v>156.22399999999999</v>
      </c>
      <c r="T39" s="706">
        <f t="shared" si="7"/>
        <v>99.801722600507063</v>
      </c>
      <c r="U39" s="706" t="str">
        <f t="shared" si="7"/>
        <v/>
      </c>
      <c r="V39" s="706">
        <f t="shared" si="7"/>
        <v>96.972602716407096</v>
      </c>
      <c r="W39" s="706" t="str">
        <f t="shared" si="7"/>
        <v/>
      </c>
      <c r="X39" s="706" t="str">
        <f t="shared" si="7"/>
        <v/>
      </c>
      <c r="Y39" s="706" t="str">
        <f t="shared" si="7"/>
        <v/>
      </c>
      <c r="Z39" s="706" t="str">
        <f t="shared" si="7"/>
        <v/>
      </c>
      <c r="AA39" s="706" t="str">
        <f t="shared" si="7"/>
        <v/>
      </c>
      <c r="AB39" s="710"/>
    </row>
    <row r="40" spans="1:28" s="9" customFormat="1" ht="18.75">
      <c r="A40" s="584">
        <v>25</v>
      </c>
      <c r="B40" s="633" t="s">
        <v>621</v>
      </c>
      <c r="C40" s="575">
        <f t="shared" si="8"/>
        <v>7159</v>
      </c>
      <c r="D40" s="575"/>
      <c r="E40" s="575">
        <v>7159</v>
      </c>
      <c r="F40" s="575">
        <v>0</v>
      </c>
      <c r="G40" s="575">
        <v>0</v>
      </c>
      <c r="H40" s="575">
        <f t="shared" si="2"/>
        <v>0</v>
      </c>
      <c r="I40" s="575"/>
      <c r="J40" s="705">
        <v>0</v>
      </c>
      <c r="K40" s="575">
        <f t="shared" si="10"/>
        <v>6690.3843610000004</v>
      </c>
      <c r="L40" s="575"/>
      <c r="M40" s="575">
        <v>6600.2741260000003</v>
      </c>
      <c r="N40" s="575">
        <v>0</v>
      </c>
      <c r="O40" s="575">
        <v>0</v>
      </c>
      <c r="P40" s="575">
        <f t="shared" si="4"/>
        <v>0</v>
      </c>
      <c r="Q40" s="575"/>
      <c r="R40" s="575">
        <f t="shared" si="9"/>
        <v>0</v>
      </c>
      <c r="S40" s="575">
        <v>90.110235000000003</v>
      </c>
      <c r="T40" s="706">
        <f t="shared" si="7"/>
        <v>93.454174619360245</v>
      </c>
      <c r="U40" s="706" t="str">
        <f t="shared" si="7"/>
        <v/>
      </c>
      <c r="V40" s="706">
        <f t="shared" si="7"/>
        <v>92.195475988266523</v>
      </c>
      <c r="W40" s="706" t="str">
        <f t="shared" si="7"/>
        <v/>
      </c>
      <c r="X40" s="706" t="str">
        <f t="shared" si="7"/>
        <v/>
      </c>
      <c r="Y40" s="706" t="str">
        <f t="shared" si="7"/>
        <v/>
      </c>
      <c r="Z40" s="706" t="str">
        <f t="shared" si="7"/>
        <v/>
      </c>
      <c r="AA40" s="706" t="str">
        <f t="shared" si="7"/>
        <v/>
      </c>
      <c r="AB40" s="710"/>
    </row>
    <row r="41" spans="1:28" s="9" customFormat="1" ht="18.75">
      <c r="A41" s="584">
        <v>26</v>
      </c>
      <c r="B41" s="633" t="s">
        <v>622</v>
      </c>
      <c r="C41" s="575">
        <f t="shared" si="8"/>
        <v>4608</v>
      </c>
      <c r="D41" s="575"/>
      <c r="E41" s="575">
        <v>4608</v>
      </c>
      <c r="F41" s="575">
        <v>0</v>
      </c>
      <c r="G41" s="575">
        <v>0</v>
      </c>
      <c r="H41" s="575">
        <f t="shared" si="2"/>
        <v>0</v>
      </c>
      <c r="I41" s="575"/>
      <c r="J41" s="705">
        <v>0</v>
      </c>
      <c r="K41" s="575">
        <f t="shared" si="10"/>
        <v>5140.3056729999998</v>
      </c>
      <c r="L41" s="575"/>
      <c r="M41" s="575">
        <v>5051.2917550000002</v>
      </c>
      <c r="N41" s="575">
        <v>0</v>
      </c>
      <c r="O41" s="575">
        <v>0</v>
      </c>
      <c r="P41" s="575">
        <f t="shared" si="4"/>
        <v>0</v>
      </c>
      <c r="Q41" s="575"/>
      <c r="R41" s="575">
        <f t="shared" si="9"/>
        <v>0</v>
      </c>
      <c r="S41" s="575">
        <v>89.013918000000004</v>
      </c>
      <c r="T41" s="706">
        <f t="shared" si="7"/>
        <v>111.55177241753472</v>
      </c>
      <c r="U41" s="706" t="str">
        <f t="shared" si="7"/>
        <v/>
      </c>
      <c r="V41" s="706">
        <f t="shared" si="7"/>
        <v>109.62004676649306</v>
      </c>
      <c r="W41" s="706" t="str">
        <f t="shared" si="7"/>
        <v/>
      </c>
      <c r="X41" s="706" t="str">
        <f t="shared" si="7"/>
        <v/>
      </c>
      <c r="Y41" s="706" t="str">
        <f t="shared" si="7"/>
        <v/>
      </c>
      <c r="Z41" s="706" t="str">
        <f t="shared" si="7"/>
        <v/>
      </c>
      <c r="AA41" s="706" t="str">
        <f t="shared" si="7"/>
        <v/>
      </c>
      <c r="AB41" s="710"/>
    </row>
    <row r="42" spans="1:28" s="9" customFormat="1" ht="18.75">
      <c r="A42" s="584">
        <v>27</v>
      </c>
      <c r="B42" s="633" t="s">
        <v>623</v>
      </c>
      <c r="C42" s="575">
        <f t="shared" si="8"/>
        <v>4731</v>
      </c>
      <c r="D42" s="575"/>
      <c r="E42" s="575">
        <v>4631</v>
      </c>
      <c r="F42" s="575">
        <v>0</v>
      </c>
      <c r="G42" s="575">
        <v>0</v>
      </c>
      <c r="H42" s="575">
        <f t="shared" si="2"/>
        <v>100</v>
      </c>
      <c r="I42" s="575">
        <f>'PL61'!D25</f>
        <v>0</v>
      </c>
      <c r="J42" s="575">
        <f>'PL61'!E25</f>
        <v>100</v>
      </c>
      <c r="K42" s="575">
        <f t="shared" si="10"/>
        <v>5564.7378229999995</v>
      </c>
      <c r="L42" s="575"/>
      <c r="M42" s="575">
        <f>5539.130501-R42</f>
        <v>5439.1305009999996</v>
      </c>
      <c r="N42" s="575">
        <v>0</v>
      </c>
      <c r="O42" s="575">
        <v>0</v>
      </c>
      <c r="P42" s="575">
        <f t="shared" si="4"/>
        <v>100</v>
      </c>
      <c r="Q42" s="575">
        <f>'PL61'!U25</f>
        <v>0</v>
      </c>
      <c r="R42" s="575">
        <f>'PL61'!V25</f>
        <v>100</v>
      </c>
      <c r="S42" s="575">
        <v>25.607322</v>
      </c>
      <c r="T42" s="706">
        <f t="shared" si="7"/>
        <v>117.62286668780384</v>
      </c>
      <c r="U42" s="706" t="str">
        <f t="shared" si="7"/>
        <v/>
      </c>
      <c r="V42" s="706">
        <f t="shared" si="7"/>
        <v>117.45045348736772</v>
      </c>
      <c r="W42" s="706" t="str">
        <f t="shared" si="7"/>
        <v/>
      </c>
      <c r="X42" s="706" t="str">
        <f t="shared" si="7"/>
        <v/>
      </c>
      <c r="Y42" s="706">
        <f t="shared" si="7"/>
        <v>100</v>
      </c>
      <c r="Z42" s="706" t="str">
        <f t="shared" si="7"/>
        <v/>
      </c>
      <c r="AA42" s="706">
        <f t="shared" si="7"/>
        <v>100</v>
      </c>
      <c r="AB42" s="710">
        <v>100</v>
      </c>
    </row>
    <row r="43" spans="1:28" s="9" customFormat="1" ht="18.75">
      <c r="A43" s="584">
        <v>28</v>
      </c>
      <c r="B43" s="633" t="s">
        <v>624</v>
      </c>
      <c r="C43" s="575">
        <f t="shared" si="8"/>
        <v>2731</v>
      </c>
      <c r="D43" s="575"/>
      <c r="E43" s="575">
        <v>2531</v>
      </c>
      <c r="F43" s="575">
        <v>0</v>
      </c>
      <c r="G43" s="575">
        <v>0</v>
      </c>
      <c r="H43" s="575">
        <f t="shared" si="2"/>
        <v>200</v>
      </c>
      <c r="I43" s="575">
        <f>'PL61'!D26</f>
        <v>0</v>
      </c>
      <c r="J43" s="575">
        <f>'PL61'!E26</f>
        <v>200</v>
      </c>
      <c r="K43" s="575">
        <f t="shared" si="10"/>
        <v>2541.2009600000001</v>
      </c>
      <c r="L43" s="575"/>
      <c r="M43" s="575">
        <f>2541.20096-R43</f>
        <v>2341.2009600000001</v>
      </c>
      <c r="N43" s="575">
        <v>0</v>
      </c>
      <c r="O43" s="575">
        <v>0</v>
      </c>
      <c r="P43" s="575">
        <f t="shared" si="4"/>
        <v>200</v>
      </c>
      <c r="Q43" s="575">
        <f>'PL61'!U26</f>
        <v>0</v>
      </c>
      <c r="R43" s="575">
        <f>'PL61'!V26</f>
        <v>200</v>
      </c>
      <c r="S43" s="575">
        <v>0</v>
      </c>
      <c r="T43" s="706">
        <f t="shared" si="7"/>
        <v>93.050199926766766</v>
      </c>
      <c r="U43" s="706" t="str">
        <f t="shared" si="7"/>
        <v/>
      </c>
      <c r="V43" s="706">
        <f t="shared" si="7"/>
        <v>92.501025681548811</v>
      </c>
      <c r="W43" s="706" t="str">
        <f t="shared" si="7"/>
        <v/>
      </c>
      <c r="X43" s="706" t="str">
        <f t="shared" si="7"/>
        <v/>
      </c>
      <c r="Y43" s="706">
        <f t="shared" si="7"/>
        <v>100</v>
      </c>
      <c r="Z43" s="706" t="str">
        <f t="shared" si="7"/>
        <v/>
      </c>
      <c r="AA43" s="706">
        <f t="shared" si="7"/>
        <v>100</v>
      </c>
      <c r="AB43" s="710">
        <v>200</v>
      </c>
    </row>
    <row r="44" spans="1:28" s="9" customFormat="1" ht="18.75">
      <c r="A44" s="584">
        <v>29</v>
      </c>
      <c r="B44" s="633" t="s">
        <v>625</v>
      </c>
      <c r="C44" s="575">
        <f t="shared" si="8"/>
        <v>2394</v>
      </c>
      <c r="D44" s="575"/>
      <c r="E44" s="575">
        <v>2394</v>
      </c>
      <c r="F44" s="575">
        <v>0</v>
      </c>
      <c r="G44" s="575">
        <v>0</v>
      </c>
      <c r="H44" s="575">
        <f t="shared" si="2"/>
        <v>0</v>
      </c>
      <c r="I44" s="575"/>
      <c r="J44" s="705">
        <v>0</v>
      </c>
      <c r="K44" s="575">
        <f t="shared" si="10"/>
        <v>1850.310095</v>
      </c>
      <c r="L44" s="575"/>
      <c r="M44" s="575">
        <v>1833.6830950000001</v>
      </c>
      <c r="N44" s="575">
        <v>0</v>
      </c>
      <c r="O44" s="575">
        <v>0</v>
      </c>
      <c r="P44" s="575">
        <f t="shared" si="4"/>
        <v>0</v>
      </c>
      <c r="Q44" s="575"/>
      <c r="R44" s="575">
        <f t="shared" si="9"/>
        <v>0</v>
      </c>
      <c r="S44" s="575">
        <v>16.626999999999999</v>
      </c>
      <c r="T44" s="706">
        <f t="shared" si="7"/>
        <v>77.289477652464498</v>
      </c>
      <c r="U44" s="706" t="str">
        <f t="shared" si="7"/>
        <v/>
      </c>
      <c r="V44" s="706">
        <f t="shared" si="7"/>
        <v>76.594949665831251</v>
      </c>
      <c r="W44" s="706" t="str">
        <f t="shared" si="7"/>
        <v/>
      </c>
      <c r="X44" s="706" t="str">
        <f t="shared" si="7"/>
        <v/>
      </c>
      <c r="Y44" s="706" t="str">
        <f t="shared" si="7"/>
        <v/>
      </c>
      <c r="Z44" s="706" t="str">
        <f t="shared" si="7"/>
        <v/>
      </c>
      <c r="AA44" s="706" t="str">
        <f t="shared" si="7"/>
        <v/>
      </c>
      <c r="AB44" s="710"/>
    </row>
    <row r="45" spans="1:28" s="9" customFormat="1" ht="18.75">
      <c r="A45" s="584">
        <v>30</v>
      </c>
      <c r="B45" s="633" t="s">
        <v>626</v>
      </c>
      <c r="C45" s="575">
        <f t="shared" si="8"/>
        <v>1462</v>
      </c>
      <c r="D45" s="575"/>
      <c r="E45" s="575">
        <v>1462</v>
      </c>
      <c r="F45" s="575">
        <v>0</v>
      </c>
      <c r="G45" s="575">
        <v>0</v>
      </c>
      <c r="H45" s="575">
        <f t="shared" si="2"/>
        <v>0</v>
      </c>
      <c r="I45" s="575"/>
      <c r="J45" s="705">
        <v>0</v>
      </c>
      <c r="K45" s="575">
        <f t="shared" si="10"/>
        <v>1317.978818</v>
      </c>
      <c r="L45" s="575"/>
      <c r="M45" s="575">
        <v>1317.978818</v>
      </c>
      <c r="N45" s="575">
        <v>0</v>
      </c>
      <c r="O45" s="575">
        <v>0</v>
      </c>
      <c r="P45" s="575">
        <f t="shared" si="4"/>
        <v>0</v>
      </c>
      <c r="Q45" s="575"/>
      <c r="R45" s="575">
        <f t="shared" si="9"/>
        <v>0</v>
      </c>
      <c r="S45" s="575">
        <v>0</v>
      </c>
      <c r="T45" s="706">
        <f t="shared" si="7"/>
        <v>90.149029958960341</v>
      </c>
      <c r="U45" s="706" t="str">
        <f t="shared" si="7"/>
        <v/>
      </c>
      <c r="V45" s="706">
        <f t="shared" si="7"/>
        <v>90.149029958960341</v>
      </c>
      <c r="W45" s="706" t="str">
        <f t="shared" si="7"/>
        <v/>
      </c>
      <c r="X45" s="706" t="str">
        <f t="shared" si="7"/>
        <v/>
      </c>
      <c r="Y45" s="706" t="str">
        <f t="shared" si="7"/>
        <v/>
      </c>
      <c r="Z45" s="706" t="str">
        <f t="shared" si="7"/>
        <v/>
      </c>
      <c r="AA45" s="706" t="str">
        <f t="shared" si="7"/>
        <v/>
      </c>
      <c r="AB45" s="710"/>
    </row>
    <row r="46" spans="1:28" s="9" customFormat="1" ht="18.75">
      <c r="A46" s="584">
        <v>31</v>
      </c>
      <c r="B46" s="633" t="s">
        <v>627</v>
      </c>
      <c r="C46" s="575">
        <f t="shared" si="8"/>
        <v>703</v>
      </c>
      <c r="D46" s="575"/>
      <c r="E46" s="575">
        <v>703</v>
      </c>
      <c r="F46" s="575">
        <v>0</v>
      </c>
      <c r="G46" s="575">
        <v>0</v>
      </c>
      <c r="H46" s="575">
        <f t="shared" si="2"/>
        <v>0</v>
      </c>
      <c r="I46" s="575"/>
      <c r="J46" s="705">
        <v>0</v>
      </c>
      <c r="K46" s="575">
        <f t="shared" si="10"/>
        <v>629.80369099999996</v>
      </c>
      <c r="L46" s="575"/>
      <c r="M46" s="575">
        <v>629.80369099999996</v>
      </c>
      <c r="N46" s="575">
        <v>0</v>
      </c>
      <c r="O46" s="575">
        <v>0</v>
      </c>
      <c r="P46" s="575">
        <f t="shared" si="4"/>
        <v>0</v>
      </c>
      <c r="Q46" s="575"/>
      <c r="R46" s="575">
        <f t="shared" si="9"/>
        <v>0</v>
      </c>
      <c r="S46" s="575">
        <v>0</v>
      </c>
      <c r="T46" s="706">
        <f t="shared" si="7"/>
        <v>89.588007254623037</v>
      </c>
      <c r="U46" s="706" t="str">
        <f t="shared" si="7"/>
        <v/>
      </c>
      <c r="V46" s="706">
        <f t="shared" si="7"/>
        <v>89.588007254623037</v>
      </c>
      <c r="W46" s="706" t="str">
        <f t="shared" si="7"/>
        <v/>
      </c>
      <c r="X46" s="706" t="str">
        <f t="shared" si="7"/>
        <v/>
      </c>
      <c r="Y46" s="706" t="str">
        <f t="shared" si="7"/>
        <v/>
      </c>
      <c r="Z46" s="706" t="str">
        <f t="shared" si="7"/>
        <v/>
      </c>
      <c r="AA46" s="706" t="str">
        <f t="shared" si="7"/>
        <v/>
      </c>
      <c r="AB46" s="710"/>
    </row>
    <row r="47" spans="1:28" s="9" customFormat="1" ht="18.75">
      <c r="A47" s="584">
        <v>32</v>
      </c>
      <c r="B47" s="633" t="s">
        <v>628</v>
      </c>
      <c r="C47" s="575">
        <f t="shared" si="8"/>
        <v>272</v>
      </c>
      <c r="D47" s="575"/>
      <c r="E47" s="575">
        <v>272</v>
      </c>
      <c r="F47" s="575">
        <v>0</v>
      </c>
      <c r="G47" s="575">
        <v>0</v>
      </c>
      <c r="H47" s="575">
        <f t="shared" si="2"/>
        <v>0</v>
      </c>
      <c r="I47" s="575"/>
      <c r="J47" s="705">
        <v>0</v>
      </c>
      <c r="K47" s="575">
        <f t="shared" si="10"/>
        <v>277.83199999999999</v>
      </c>
      <c r="L47" s="575"/>
      <c r="M47" s="575">
        <v>277.83199999999999</v>
      </c>
      <c r="N47" s="575">
        <v>0</v>
      </c>
      <c r="O47" s="575">
        <v>0</v>
      </c>
      <c r="P47" s="575">
        <f t="shared" si="4"/>
        <v>0</v>
      </c>
      <c r="Q47" s="575"/>
      <c r="R47" s="575">
        <f t="shared" si="9"/>
        <v>0</v>
      </c>
      <c r="S47" s="575">
        <v>0</v>
      </c>
      <c r="T47" s="706">
        <f t="shared" si="7"/>
        <v>102.14411764705882</v>
      </c>
      <c r="U47" s="706" t="str">
        <f t="shared" si="7"/>
        <v/>
      </c>
      <c r="V47" s="706">
        <f t="shared" si="7"/>
        <v>102.14411764705882</v>
      </c>
      <c r="W47" s="706" t="str">
        <f t="shared" si="7"/>
        <v/>
      </c>
      <c r="X47" s="706" t="str">
        <f t="shared" si="7"/>
        <v/>
      </c>
      <c r="Y47" s="706" t="str">
        <f t="shared" si="7"/>
        <v/>
      </c>
      <c r="Z47" s="706" t="str">
        <f t="shared" si="7"/>
        <v/>
      </c>
      <c r="AA47" s="706" t="str">
        <f t="shared" si="7"/>
        <v/>
      </c>
      <c r="AB47" s="710"/>
    </row>
    <row r="48" spans="1:28" s="9" customFormat="1" ht="18.75">
      <c r="A48" s="584">
        <v>33</v>
      </c>
      <c r="B48" s="633" t="s">
        <v>629</v>
      </c>
      <c r="C48" s="575">
        <f t="shared" si="8"/>
        <v>2141</v>
      </c>
      <c r="D48" s="575"/>
      <c r="E48" s="575">
        <v>2141</v>
      </c>
      <c r="F48" s="575">
        <v>0</v>
      </c>
      <c r="G48" s="575">
        <v>0</v>
      </c>
      <c r="H48" s="575">
        <f t="shared" si="2"/>
        <v>0</v>
      </c>
      <c r="I48" s="575"/>
      <c r="J48" s="705">
        <v>0</v>
      </c>
      <c r="K48" s="575">
        <f t="shared" si="10"/>
        <v>2293.3636660000002</v>
      </c>
      <c r="L48" s="575"/>
      <c r="M48" s="575">
        <v>2293.3636660000002</v>
      </c>
      <c r="N48" s="575">
        <v>0</v>
      </c>
      <c r="O48" s="575">
        <v>0</v>
      </c>
      <c r="P48" s="575">
        <f t="shared" si="4"/>
        <v>0</v>
      </c>
      <c r="Q48" s="575"/>
      <c r="R48" s="575">
        <f t="shared" si="9"/>
        <v>0</v>
      </c>
      <c r="S48" s="575">
        <v>0</v>
      </c>
      <c r="T48" s="706">
        <f t="shared" si="7"/>
        <v>107.11647202241944</v>
      </c>
      <c r="U48" s="706" t="str">
        <f t="shared" si="7"/>
        <v/>
      </c>
      <c r="V48" s="706">
        <f t="shared" si="7"/>
        <v>107.11647202241944</v>
      </c>
      <c r="W48" s="706" t="str">
        <f t="shared" si="7"/>
        <v/>
      </c>
      <c r="X48" s="706" t="str">
        <f t="shared" si="7"/>
        <v/>
      </c>
      <c r="Y48" s="706" t="str">
        <f t="shared" si="7"/>
        <v/>
      </c>
      <c r="Z48" s="706" t="str">
        <f t="shared" si="7"/>
        <v/>
      </c>
      <c r="AA48" s="706" t="str">
        <f t="shared" si="7"/>
        <v/>
      </c>
      <c r="AB48" s="710"/>
    </row>
    <row r="49" spans="1:28" s="9" customFormat="1" ht="18.75">
      <c r="A49" s="584">
        <v>34</v>
      </c>
      <c r="B49" s="633" t="s">
        <v>630</v>
      </c>
      <c r="C49" s="575">
        <f t="shared" si="8"/>
        <v>307</v>
      </c>
      <c r="D49" s="575"/>
      <c r="E49" s="575">
        <v>307</v>
      </c>
      <c r="F49" s="575">
        <v>0</v>
      </c>
      <c r="G49" s="575">
        <v>0</v>
      </c>
      <c r="H49" s="575">
        <f t="shared" si="2"/>
        <v>0</v>
      </c>
      <c r="I49" s="575"/>
      <c r="J49" s="705">
        <v>0</v>
      </c>
      <c r="K49" s="575">
        <f t="shared" si="10"/>
        <v>334.89400000000001</v>
      </c>
      <c r="L49" s="575"/>
      <c r="M49" s="575">
        <v>334.89400000000001</v>
      </c>
      <c r="N49" s="575">
        <v>0</v>
      </c>
      <c r="O49" s="575">
        <v>0</v>
      </c>
      <c r="P49" s="575">
        <f t="shared" si="4"/>
        <v>0</v>
      </c>
      <c r="Q49" s="575"/>
      <c r="R49" s="575">
        <f t="shared" si="9"/>
        <v>0</v>
      </c>
      <c r="S49" s="575">
        <v>0</v>
      </c>
      <c r="T49" s="706">
        <f t="shared" si="7"/>
        <v>109.08599348534203</v>
      </c>
      <c r="U49" s="706" t="str">
        <f t="shared" si="7"/>
        <v/>
      </c>
      <c r="V49" s="706">
        <f t="shared" si="7"/>
        <v>109.08599348534203</v>
      </c>
      <c r="W49" s="706" t="str">
        <f t="shared" si="7"/>
        <v/>
      </c>
      <c r="X49" s="706" t="str">
        <f t="shared" si="7"/>
        <v/>
      </c>
      <c r="Y49" s="706" t="str">
        <f t="shared" si="7"/>
        <v/>
      </c>
      <c r="Z49" s="706" t="str">
        <f t="shared" si="7"/>
        <v/>
      </c>
      <c r="AA49" s="706" t="str">
        <f t="shared" si="7"/>
        <v/>
      </c>
      <c r="AB49" s="710"/>
    </row>
    <row r="50" spans="1:28" s="9" customFormat="1" ht="18.75">
      <c r="A50" s="584">
        <v>35</v>
      </c>
      <c r="B50" s="633" t="s">
        <v>631</v>
      </c>
      <c r="C50" s="575">
        <f t="shared" si="8"/>
        <v>828</v>
      </c>
      <c r="D50" s="575"/>
      <c r="E50" s="575">
        <v>828</v>
      </c>
      <c r="F50" s="575">
        <v>0</v>
      </c>
      <c r="G50" s="575">
        <v>0</v>
      </c>
      <c r="H50" s="575">
        <f t="shared" si="2"/>
        <v>0</v>
      </c>
      <c r="I50" s="575"/>
      <c r="J50" s="705">
        <v>0</v>
      </c>
      <c r="K50" s="575">
        <f t="shared" si="10"/>
        <v>847.07577399999991</v>
      </c>
      <c r="L50" s="575"/>
      <c r="M50" s="575">
        <v>841.26897399999996</v>
      </c>
      <c r="N50" s="575">
        <v>0</v>
      </c>
      <c r="O50" s="575">
        <v>0</v>
      </c>
      <c r="P50" s="575">
        <f t="shared" si="4"/>
        <v>0</v>
      </c>
      <c r="Q50" s="575"/>
      <c r="R50" s="575">
        <f t="shared" si="9"/>
        <v>0</v>
      </c>
      <c r="S50" s="575">
        <v>5.8068</v>
      </c>
      <c r="T50" s="706">
        <f t="shared" si="7"/>
        <v>102.30383743961352</v>
      </c>
      <c r="U50" s="706" t="str">
        <f t="shared" si="7"/>
        <v/>
      </c>
      <c r="V50" s="706">
        <f t="shared" si="7"/>
        <v>101.60253309178744</v>
      </c>
      <c r="W50" s="706" t="str">
        <f t="shared" si="7"/>
        <v/>
      </c>
      <c r="X50" s="706" t="str">
        <f t="shared" si="7"/>
        <v/>
      </c>
      <c r="Y50" s="706" t="str">
        <f t="shared" si="7"/>
        <v/>
      </c>
      <c r="Z50" s="706" t="str">
        <f t="shared" si="7"/>
        <v/>
      </c>
      <c r="AA50" s="706" t="str">
        <f t="shared" si="7"/>
        <v/>
      </c>
      <c r="AB50" s="710"/>
    </row>
    <row r="51" spans="1:28" s="9" customFormat="1" ht="18.75">
      <c r="A51" s="584">
        <v>36</v>
      </c>
      <c r="B51" s="633" t="s">
        <v>632</v>
      </c>
      <c r="C51" s="575">
        <f t="shared" si="8"/>
        <v>803</v>
      </c>
      <c r="D51" s="575"/>
      <c r="E51" s="575">
        <v>803</v>
      </c>
      <c r="F51" s="575">
        <v>0</v>
      </c>
      <c r="G51" s="575">
        <v>0</v>
      </c>
      <c r="H51" s="575">
        <f t="shared" si="2"/>
        <v>0</v>
      </c>
      <c r="I51" s="575"/>
      <c r="J51" s="705">
        <v>0</v>
      </c>
      <c r="K51" s="575">
        <f t="shared" si="10"/>
        <v>751.03541499999994</v>
      </c>
      <c r="L51" s="575"/>
      <c r="M51" s="575">
        <v>751.03541499999994</v>
      </c>
      <c r="N51" s="575">
        <v>0</v>
      </c>
      <c r="O51" s="575">
        <v>0</v>
      </c>
      <c r="P51" s="575">
        <f t="shared" si="4"/>
        <v>0</v>
      </c>
      <c r="Q51" s="575"/>
      <c r="R51" s="575">
        <f t="shared" si="9"/>
        <v>0</v>
      </c>
      <c r="S51" s="575">
        <v>0</v>
      </c>
      <c r="T51" s="706">
        <f t="shared" si="7"/>
        <v>93.528694271481939</v>
      </c>
      <c r="U51" s="706" t="str">
        <f t="shared" si="7"/>
        <v/>
      </c>
      <c r="V51" s="706">
        <f t="shared" si="7"/>
        <v>93.528694271481939</v>
      </c>
      <c r="W51" s="706" t="str">
        <f t="shared" si="7"/>
        <v/>
      </c>
      <c r="X51" s="706" t="str">
        <f t="shared" si="7"/>
        <v/>
      </c>
      <c r="Y51" s="706" t="str">
        <f t="shared" si="7"/>
        <v/>
      </c>
      <c r="Z51" s="706" t="str">
        <f t="shared" si="7"/>
        <v/>
      </c>
      <c r="AA51" s="706" t="str">
        <f t="shared" si="7"/>
        <v/>
      </c>
      <c r="AB51" s="710"/>
    </row>
    <row r="52" spans="1:28" s="9" customFormat="1" ht="18.75">
      <c r="A52" s="584">
        <v>37</v>
      </c>
      <c r="B52" s="633" t="s">
        <v>634</v>
      </c>
      <c r="C52" s="575">
        <f t="shared" si="8"/>
        <v>810</v>
      </c>
      <c r="D52" s="575"/>
      <c r="E52" s="575">
        <v>810</v>
      </c>
      <c r="F52" s="575">
        <v>0</v>
      </c>
      <c r="G52" s="575">
        <v>0</v>
      </c>
      <c r="H52" s="575">
        <f t="shared" si="2"/>
        <v>0</v>
      </c>
      <c r="I52" s="575"/>
      <c r="J52" s="705">
        <v>0</v>
      </c>
      <c r="K52" s="575">
        <f t="shared" si="10"/>
        <v>854.36593500000004</v>
      </c>
      <c r="L52" s="575"/>
      <c r="M52" s="575">
        <v>854.36593500000004</v>
      </c>
      <c r="N52" s="575">
        <v>0</v>
      </c>
      <c r="O52" s="575">
        <v>0</v>
      </c>
      <c r="P52" s="575">
        <f t="shared" si="4"/>
        <v>0</v>
      </c>
      <c r="Q52" s="575"/>
      <c r="R52" s="575">
        <f t="shared" si="9"/>
        <v>0</v>
      </c>
      <c r="S52" s="575">
        <v>0</v>
      </c>
      <c r="T52" s="706">
        <f t="shared" si="7"/>
        <v>105.47727592592594</v>
      </c>
      <c r="U52" s="706" t="str">
        <f t="shared" si="7"/>
        <v/>
      </c>
      <c r="V52" s="706">
        <f t="shared" si="7"/>
        <v>105.47727592592594</v>
      </c>
      <c r="W52" s="706" t="str">
        <f t="shared" si="7"/>
        <v/>
      </c>
      <c r="X52" s="706" t="str">
        <f t="shared" si="7"/>
        <v/>
      </c>
      <c r="Y52" s="706" t="str">
        <f t="shared" si="7"/>
        <v/>
      </c>
      <c r="Z52" s="706" t="str">
        <f t="shared" si="7"/>
        <v/>
      </c>
      <c r="AA52" s="706" t="str">
        <f t="shared" si="7"/>
        <v/>
      </c>
      <c r="AB52" s="710"/>
    </row>
    <row r="53" spans="1:28" s="9" customFormat="1" ht="18.75">
      <c r="A53" s="584">
        <v>38</v>
      </c>
      <c r="B53" s="633" t="s">
        <v>633</v>
      </c>
      <c r="C53" s="575">
        <f t="shared" si="8"/>
        <v>252</v>
      </c>
      <c r="D53" s="575"/>
      <c r="E53" s="575">
        <v>252</v>
      </c>
      <c r="F53" s="575">
        <v>0</v>
      </c>
      <c r="G53" s="575">
        <v>0</v>
      </c>
      <c r="H53" s="575">
        <f t="shared" si="2"/>
        <v>0</v>
      </c>
      <c r="I53" s="575"/>
      <c r="J53" s="705">
        <v>0</v>
      </c>
      <c r="K53" s="575">
        <f t="shared" si="10"/>
        <v>257.83199999999999</v>
      </c>
      <c r="L53" s="575"/>
      <c r="M53" s="575">
        <v>257.83199999999999</v>
      </c>
      <c r="N53" s="575">
        <v>0</v>
      </c>
      <c r="O53" s="575">
        <v>0</v>
      </c>
      <c r="P53" s="575">
        <f t="shared" si="4"/>
        <v>0</v>
      </c>
      <c r="Q53" s="575"/>
      <c r="R53" s="575">
        <f t="shared" si="9"/>
        <v>0</v>
      </c>
      <c r="S53" s="575">
        <v>0</v>
      </c>
      <c r="T53" s="706">
        <f t="shared" si="7"/>
        <v>102.31428571428572</v>
      </c>
      <c r="U53" s="706" t="str">
        <f t="shared" si="7"/>
        <v/>
      </c>
      <c r="V53" s="706">
        <f t="shared" si="7"/>
        <v>102.31428571428572</v>
      </c>
      <c r="W53" s="706" t="str">
        <f t="shared" si="7"/>
        <v/>
      </c>
      <c r="X53" s="706" t="str">
        <f t="shared" si="7"/>
        <v/>
      </c>
      <c r="Y53" s="706" t="str">
        <f t="shared" si="7"/>
        <v/>
      </c>
      <c r="Z53" s="706" t="str">
        <f t="shared" si="7"/>
        <v/>
      </c>
      <c r="AA53" s="745" t="str">
        <f t="shared" si="7"/>
        <v/>
      </c>
      <c r="AB53" s="710"/>
    </row>
    <row r="54" spans="1:28" s="9" customFormat="1" ht="18.75">
      <c r="A54" s="584">
        <v>39</v>
      </c>
      <c r="B54" s="633" t="s">
        <v>635</v>
      </c>
      <c r="C54" s="575">
        <f t="shared" si="8"/>
        <v>465</v>
      </c>
      <c r="D54" s="575"/>
      <c r="E54" s="575">
        <v>465</v>
      </c>
      <c r="F54" s="575">
        <v>0</v>
      </c>
      <c r="G54" s="575">
        <v>0</v>
      </c>
      <c r="H54" s="575">
        <f t="shared" si="2"/>
        <v>0</v>
      </c>
      <c r="I54" s="575"/>
      <c r="J54" s="705">
        <v>0</v>
      </c>
      <c r="K54" s="575">
        <f t="shared" si="10"/>
        <v>429.09899999999999</v>
      </c>
      <c r="L54" s="575"/>
      <c r="M54" s="575">
        <v>429.09899999999999</v>
      </c>
      <c r="N54" s="575">
        <v>0</v>
      </c>
      <c r="O54" s="575">
        <v>0</v>
      </c>
      <c r="P54" s="575">
        <f t="shared" si="4"/>
        <v>0</v>
      </c>
      <c r="Q54" s="575"/>
      <c r="R54" s="575">
        <f t="shared" si="9"/>
        <v>0</v>
      </c>
      <c r="S54" s="575">
        <v>0</v>
      </c>
      <c r="T54" s="706">
        <f t="shared" si="7"/>
        <v>92.279354838709665</v>
      </c>
      <c r="U54" s="706" t="str">
        <f t="shared" si="7"/>
        <v/>
      </c>
      <c r="V54" s="706">
        <f t="shared" si="7"/>
        <v>92.279354838709665</v>
      </c>
      <c r="W54" s="706" t="str">
        <f t="shared" si="7"/>
        <v/>
      </c>
      <c r="X54" s="706" t="str">
        <f t="shared" si="7"/>
        <v/>
      </c>
      <c r="Y54" s="706" t="str">
        <f t="shared" si="7"/>
        <v/>
      </c>
      <c r="Z54" s="706" t="str">
        <f t="shared" si="7"/>
        <v/>
      </c>
      <c r="AA54" s="746" t="str">
        <f t="shared" si="7"/>
        <v/>
      </c>
      <c r="AB54" s="710"/>
    </row>
    <row r="55" spans="1:28" s="9" customFormat="1" ht="18.75">
      <c r="A55" s="584">
        <v>40</v>
      </c>
      <c r="B55" s="633" t="s">
        <v>636</v>
      </c>
      <c r="C55" s="575">
        <f t="shared" si="8"/>
        <v>2045</v>
      </c>
      <c r="D55" s="575"/>
      <c r="E55" s="575">
        <v>2045</v>
      </c>
      <c r="F55" s="575">
        <v>0</v>
      </c>
      <c r="G55" s="575">
        <v>0</v>
      </c>
      <c r="H55" s="575">
        <f>I55+J55</f>
        <v>0</v>
      </c>
      <c r="I55" s="575"/>
      <c r="J55" s="705">
        <v>0</v>
      </c>
      <c r="K55" s="575">
        <f>SUM(L55:P55)+S55</f>
        <v>4279.9203879999995</v>
      </c>
      <c r="L55" s="575"/>
      <c r="M55" s="575">
        <v>4279.9203879999995</v>
      </c>
      <c r="N55" s="575">
        <v>0</v>
      </c>
      <c r="O55" s="575">
        <v>0</v>
      </c>
      <c r="P55" s="575">
        <f t="shared" si="4"/>
        <v>0</v>
      </c>
      <c r="Q55" s="575"/>
      <c r="R55" s="575">
        <f t="shared" si="9"/>
        <v>0</v>
      </c>
      <c r="S55" s="575">
        <v>0</v>
      </c>
      <c r="T55" s="706">
        <f t="shared" si="7"/>
        <v>209.2870605378973</v>
      </c>
      <c r="U55" s="706" t="str">
        <f t="shared" si="7"/>
        <v/>
      </c>
      <c r="V55" s="706">
        <f t="shared" si="7"/>
        <v>209.2870605378973</v>
      </c>
      <c r="W55" s="706" t="str">
        <f t="shared" si="7"/>
        <v/>
      </c>
      <c r="X55" s="706" t="str">
        <f t="shared" si="7"/>
        <v/>
      </c>
      <c r="Y55" s="706" t="str">
        <f t="shared" si="7"/>
        <v/>
      </c>
      <c r="Z55" s="706" t="str">
        <f t="shared" si="7"/>
        <v/>
      </c>
      <c r="AA55" s="706" t="str">
        <f t="shared" si="7"/>
        <v/>
      </c>
      <c r="AB55" s="710"/>
    </row>
    <row r="56" spans="1:28" s="9" customFormat="1" ht="18.75">
      <c r="A56" s="584">
        <v>41</v>
      </c>
      <c r="B56" s="633" t="s">
        <v>637</v>
      </c>
      <c r="C56" s="575">
        <f t="shared" si="8"/>
        <v>1652</v>
      </c>
      <c r="D56" s="575"/>
      <c r="E56" s="575">
        <v>1652</v>
      </c>
      <c r="F56" s="575">
        <v>0</v>
      </c>
      <c r="G56" s="575">
        <v>0</v>
      </c>
      <c r="H56" s="575">
        <f t="shared" si="2"/>
        <v>0</v>
      </c>
      <c r="I56" s="575"/>
      <c r="J56" s="705">
        <v>0</v>
      </c>
      <c r="K56" s="575">
        <f t="shared" si="10"/>
        <v>2571.8099569999999</v>
      </c>
      <c r="L56" s="575"/>
      <c r="M56" s="575">
        <v>2571.8099569999999</v>
      </c>
      <c r="N56" s="575">
        <v>0</v>
      </c>
      <c r="O56" s="575">
        <v>0</v>
      </c>
      <c r="P56" s="575">
        <f t="shared" si="4"/>
        <v>0</v>
      </c>
      <c r="Q56" s="575"/>
      <c r="R56" s="575">
        <f t="shared" si="9"/>
        <v>0</v>
      </c>
      <c r="S56" s="575">
        <v>0</v>
      </c>
      <c r="T56" s="706">
        <f t="shared" si="7"/>
        <v>155.67856882566585</v>
      </c>
      <c r="U56" s="706" t="str">
        <f t="shared" si="7"/>
        <v/>
      </c>
      <c r="V56" s="706">
        <f t="shared" si="7"/>
        <v>155.67856882566585</v>
      </c>
      <c r="W56" s="706" t="str">
        <f t="shared" si="7"/>
        <v/>
      </c>
      <c r="X56" s="706" t="str">
        <f t="shared" si="7"/>
        <v/>
      </c>
      <c r="Y56" s="706" t="str">
        <f t="shared" si="7"/>
        <v/>
      </c>
      <c r="Z56" s="706" t="str">
        <f t="shared" si="7"/>
        <v/>
      </c>
      <c r="AA56" s="706" t="str">
        <f t="shared" si="7"/>
        <v/>
      </c>
      <c r="AB56" s="710"/>
    </row>
    <row r="57" spans="1:28" s="9" customFormat="1" ht="18.75">
      <c r="A57" s="584">
        <v>42</v>
      </c>
      <c r="B57" s="633" t="s">
        <v>638</v>
      </c>
      <c r="C57" s="575">
        <f t="shared" si="8"/>
        <v>342</v>
      </c>
      <c r="D57" s="575"/>
      <c r="E57" s="575">
        <v>342</v>
      </c>
      <c r="F57" s="575">
        <v>0</v>
      </c>
      <c r="G57" s="575">
        <v>0</v>
      </c>
      <c r="H57" s="575">
        <f t="shared" si="2"/>
        <v>0</v>
      </c>
      <c r="I57" s="575"/>
      <c r="J57" s="705">
        <v>0</v>
      </c>
      <c r="K57" s="575">
        <f t="shared" si="10"/>
        <v>347.83199999999999</v>
      </c>
      <c r="L57" s="575"/>
      <c r="M57" s="575">
        <v>347.83199999999999</v>
      </c>
      <c r="N57" s="575">
        <v>0</v>
      </c>
      <c r="O57" s="575">
        <v>0</v>
      </c>
      <c r="P57" s="575">
        <f t="shared" si="4"/>
        <v>0</v>
      </c>
      <c r="Q57" s="575"/>
      <c r="R57" s="575">
        <f t="shared" si="9"/>
        <v>0</v>
      </c>
      <c r="S57" s="575">
        <v>0</v>
      </c>
      <c r="T57" s="706">
        <f t="shared" si="7"/>
        <v>101.70526315789473</v>
      </c>
      <c r="U57" s="706" t="str">
        <f t="shared" si="7"/>
        <v/>
      </c>
      <c r="V57" s="706">
        <f t="shared" si="7"/>
        <v>101.70526315789473</v>
      </c>
      <c r="W57" s="706" t="str">
        <f t="shared" si="7"/>
        <v/>
      </c>
      <c r="X57" s="706" t="str">
        <f t="shared" si="7"/>
        <v/>
      </c>
      <c r="Y57" s="706" t="str">
        <f t="shared" si="7"/>
        <v/>
      </c>
      <c r="Z57" s="706" t="str">
        <f t="shared" si="7"/>
        <v/>
      </c>
      <c r="AA57" s="706" t="str">
        <f t="shared" si="7"/>
        <v/>
      </c>
      <c r="AB57" s="710"/>
    </row>
    <row r="58" spans="1:28" s="9" customFormat="1" ht="18.75">
      <c r="A58" s="584">
        <v>43</v>
      </c>
      <c r="B58" s="633" t="s">
        <v>639</v>
      </c>
      <c r="C58" s="575">
        <f t="shared" si="8"/>
        <v>174</v>
      </c>
      <c r="D58" s="575"/>
      <c r="E58" s="575">
        <v>174</v>
      </c>
      <c r="F58" s="575">
        <v>0</v>
      </c>
      <c r="G58" s="575">
        <v>0</v>
      </c>
      <c r="H58" s="575">
        <f t="shared" si="2"/>
        <v>0</v>
      </c>
      <c r="I58" s="575"/>
      <c r="J58" s="705">
        <v>0</v>
      </c>
      <c r="K58" s="575">
        <f t="shared" si="10"/>
        <v>178.58459999999999</v>
      </c>
      <c r="L58" s="575"/>
      <c r="M58" s="575">
        <v>178.58459999999999</v>
      </c>
      <c r="N58" s="575">
        <v>0</v>
      </c>
      <c r="O58" s="575">
        <v>0</v>
      </c>
      <c r="P58" s="575">
        <f t="shared" si="4"/>
        <v>0</v>
      </c>
      <c r="Q58" s="575"/>
      <c r="R58" s="575">
        <f t="shared" si="9"/>
        <v>0</v>
      </c>
      <c r="S58" s="575">
        <v>0</v>
      </c>
      <c r="T58" s="706">
        <f t="shared" si="7"/>
        <v>102.6348275862069</v>
      </c>
      <c r="U58" s="706" t="str">
        <f t="shared" si="7"/>
        <v/>
      </c>
      <c r="V58" s="706">
        <f t="shared" si="7"/>
        <v>102.6348275862069</v>
      </c>
      <c r="W58" s="706" t="str">
        <f t="shared" si="7"/>
        <v/>
      </c>
      <c r="X58" s="706" t="str">
        <f t="shared" si="7"/>
        <v/>
      </c>
      <c r="Y58" s="706" t="str">
        <f t="shared" si="7"/>
        <v/>
      </c>
      <c r="Z58" s="706" t="str">
        <f t="shared" si="7"/>
        <v/>
      </c>
      <c r="AA58" s="706" t="str">
        <f t="shared" si="7"/>
        <v/>
      </c>
      <c r="AB58" s="710"/>
    </row>
    <row r="59" spans="1:28" s="9" customFormat="1" ht="18.75">
      <c r="A59" s="584">
        <v>44</v>
      </c>
      <c r="B59" s="633" t="s">
        <v>640</v>
      </c>
      <c r="C59" s="575">
        <f t="shared" si="8"/>
        <v>243</v>
      </c>
      <c r="D59" s="575"/>
      <c r="E59" s="575">
        <v>243</v>
      </c>
      <c r="F59" s="575">
        <v>0</v>
      </c>
      <c r="G59" s="575">
        <v>0</v>
      </c>
      <c r="H59" s="575">
        <f t="shared" si="2"/>
        <v>0</v>
      </c>
      <c r="I59" s="575"/>
      <c r="J59" s="705">
        <v>0</v>
      </c>
      <c r="K59" s="575">
        <f t="shared" si="10"/>
        <v>254.25693000000001</v>
      </c>
      <c r="L59" s="575"/>
      <c r="M59" s="575">
        <v>251.27404000000001</v>
      </c>
      <c r="N59" s="575">
        <v>0</v>
      </c>
      <c r="O59" s="575">
        <v>0</v>
      </c>
      <c r="P59" s="575">
        <f t="shared" si="4"/>
        <v>0</v>
      </c>
      <c r="Q59" s="575"/>
      <c r="R59" s="575">
        <f t="shared" si="9"/>
        <v>0</v>
      </c>
      <c r="S59" s="575">
        <v>2.9828899999999998</v>
      </c>
      <c r="T59" s="706">
        <f t="shared" si="7"/>
        <v>104.63248148148148</v>
      </c>
      <c r="U59" s="706" t="str">
        <f t="shared" si="7"/>
        <v/>
      </c>
      <c r="V59" s="706">
        <f t="shared" si="7"/>
        <v>103.40495473251029</v>
      </c>
      <c r="W59" s="706" t="str">
        <f t="shared" si="7"/>
        <v/>
      </c>
      <c r="X59" s="706" t="str">
        <f t="shared" si="7"/>
        <v/>
      </c>
      <c r="Y59" s="706" t="str">
        <f t="shared" si="7"/>
        <v/>
      </c>
      <c r="Z59" s="706" t="str">
        <f t="shared" si="7"/>
        <v/>
      </c>
      <c r="AA59" s="706" t="str">
        <f t="shared" si="7"/>
        <v/>
      </c>
      <c r="AB59" s="710"/>
    </row>
    <row r="60" spans="1:28" s="9" customFormat="1" ht="18.75">
      <c r="A60" s="584">
        <v>45</v>
      </c>
      <c r="B60" s="633" t="s">
        <v>641</v>
      </c>
      <c r="C60" s="575">
        <f t="shared" si="8"/>
        <v>176</v>
      </c>
      <c r="D60" s="575"/>
      <c r="E60" s="575">
        <v>176</v>
      </c>
      <c r="F60" s="575">
        <v>0</v>
      </c>
      <c r="G60" s="575">
        <v>0</v>
      </c>
      <c r="H60" s="575">
        <f t="shared" si="2"/>
        <v>0</v>
      </c>
      <c r="I60" s="575"/>
      <c r="J60" s="705">
        <v>0</v>
      </c>
      <c r="K60" s="575">
        <f t="shared" si="10"/>
        <v>163.24290999999999</v>
      </c>
      <c r="L60" s="575"/>
      <c r="M60" s="575">
        <v>159.61391</v>
      </c>
      <c r="N60" s="575">
        <v>0</v>
      </c>
      <c r="O60" s="575">
        <v>0</v>
      </c>
      <c r="P60" s="575">
        <f t="shared" si="4"/>
        <v>0</v>
      </c>
      <c r="Q60" s="575"/>
      <c r="R60" s="575">
        <f t="shared" si="9"/>
        <v>0</v>
      </c>
      <c r="S60" s="575">
        <v>3.629</v>
      </c>
      <c r="T60" s="706">
        <f t="shared" si="7"/>
        <v>92.751653409090906</v>
      </c>
      <c r="U60" s="706" t="str">
        <f t="shared" ref="U60:AA90" si="11">IF(AND(D60&lt;&gt;0,L60&lt;&gt;0),L60/D60%,"")</f>
        <v/>
      </c>
      <c r="V60" s="706">
        <f t="shared" si="11"/>
        <v>90.689721590909087</v>
      </c>
      <c r="W60" s="706" t="str">
        <f t="shared" si="11"/>
        <v/>
      </c>
      <c r="X60" s="706" t="str">
        <f t="shared" si="11"/>
        <v/>
      </c>
      <c r="Y60" s="706" t="str">
        <f t="shared" si="11"/>
        <v/>
      </c>
      <c r="Z60" s="706" t="str">
        <f t="shared" si="11"/>
        <v/>
      </c>
      <c r="AA60" s="706" t="str">
        <f t="shared" si="11"/>
        <v/>
      </c>
      <c r="AB60" s="710"/>
    </row>
    <row r="61" spans="1:28" s="9" customFormat="1" ht="37.5">
      <c r="A61" s="584">
        <v>46</v>
      </c>
      <c r="B61" s="633" t="s">
        <v>644</v>
      </c>
      <c r="C61" s="575">
        <f>SUM(D61:H61)</f>
        <v>0</v>
      </c>
      <c r="D61" s="575"/>
      <c r="E61" s="575">
        <v>0</v>
      </c>
      <c r="F61" s="575">
        <v>0</v>
      </c>
      <c r="G61" s="575">
        <v>0</v>
      </c>
      <c r="H61" s="575">
        <f>I61+J61</f>
        <v>0</v>
      </c>
      <c r="I61" s="575"/>
      <c r="J61" s="705">
        <v>0</v>
      </c>
      <c r="K61" s="575">
        <f>SUM(L61:P61)+S61</f>
        <v>62.1</v>
      </c>
      <c r="L61" s="575"/>
      <c r="M61" s="575">
        <v>62.1</v>
      </c>
      <c r="N61" s="575">
        <v>0</v>
      </c>
      <c r="O61" s="575">
        <v>0</v>
      </c>
      <c r="P61" s="575">
        <f>Q61+R61</f>
        <v>0</v>
      </c>
      <c r="Q61" s="575"/>
      <c r="R61" s="575">
        <f t="shared" si="9"/>
        <v>0</v>
      </c>
      <c r="S61" s="575">
        <v>0</v>
      </c>
      <c r="T61" s="706" t="str">
        <f t="shared" ref="T61:AA75" si="12">IF(AND(C61&lt;&gt;0,K61&lt;&gt;0),K61/C61%,"")</f>
        <v/>
      </c>
      <c r="U61" s="706" t="str">
        <f t="shared" si="12"/>
        <v/>
      </c>
      <c r="V61" s="706" t="str">
        <f t="shared" si="12"/>
        <v/>
      </c>
      <c r="W61" s="706" t="str">
        <f t="shared" si="12"/>
        <v/>
      </c>
      <c r="X61" s="706" t="str">
        <f t="shared" si="12"/>
        <v/>
      </c>
      <c r="Y61" s="706" t="str">
        <f t="shared" si="12"/>
        <v/>
      </c>
      <c r="Z61" s="706" t="str">
        <f t="shared" si="12"/>
        <v/>
      </c>
      <c r="AA61" s="706" t="str">
        <f t="shared" si="12"/>
        <v/>
      </c>
      <c r="AB61" s="710"/>
    </row>
    <row r="62" spans="1:28" s="616" customFormat="1" ht="37.5">
      <c r="A62" s="584">
        <v>47</v>
      </c>
      <c r="B62" s="633" t="s">
        <v>642</v>
      </c>
      <c r="C62" s="575">
        <f t="shared" si="8"/>
        <v>0</v>
      </c>
      <c r="D62" s="575"/>
      <c r="E62" s="575"/>
      <c r="F62" s="575">
        <v>0</v>
      </c>
      <c r="G62" s="575">
        <v>0</v>
      </c>
      <c r="H62" s="575">
        <f t="shared" si="2"/>
        <v>0</v>
      </c>
      <c r="I62" s="575"/>
      <c r="J62" s="705">
        <v>0</v>
      </c>
      <c r="K62" s="575">
        <f t="shared" si="10"/>
        <v>14228.19623</v>
      </c>
      <c r="L62" s="575"/>
      <c r="M62" s="575">
        <v>14228.19623</v>
      </c>
      <c r="N62" s="575">
        <v>0</v>
      </c>
      <c r="O62" s="575">
        <v>0</v>
      </c>
      <c r="P62" s="575">
        <f t="shared" si="4"/>
        <v>0</v>
      </c>
      <c r="Q62" s="575"/>
      <c r="R62" s="575">
        <f t="shared" si="9"/>
        <v>0</v>
      </c>
      <c r="S62" s="575">
        <v>0</v>
      </c>
      <c r="T62" s="706" t="str">
        <f t="shared" si="12"/>
        <v/>
      </c>
      <c r="U62" s="706" t="str">
        <f t="shared" si="11"/>
        <v/>
      </c>
      <c r="V62" s="706" t="str">
        <f t="shared" si="11"/>
        <v/>
      </c>
      <c r="W62" s="706" t="str">
        <f t="shared" si="11"/>
        <v/>
      </c>
      <c r="X62" s="706" t="str">
        <f t="shared" si="11"/>
        <v/>
      </c>
      <c r="Y62" s="706" t="str">
        <f t="shared" si="11"/>
        <v/>
      </c>
      <c r="Z62" s="706" t="str">
        <f t="shared" si="11"/>
        <v/>
      </c>
      <c r="AA62" s="706" t="str">
        <f t="shared" si="11"/>
        <v/>
      </c>
      <c r="AB62" s="714"/>
    </row>
    <row r="63" spans="1:28" s="616" customFormat="1" ht="37.5">
      <c r="A63" s="584">
        <v>48</v>
      </c>
      <c r="B63" s="633" t="s">
        <v>643</v>
      </c>
      <c r="C63" s="575">
        <f t="shared" si="8"/>
        <v>48966</v>
      </c>
      <c r="D63" s="575">
        <v>48966</v>
      </c>
      <c r="E63" s="575"/>
      <c r="F63" s="575">
        <v>0</v>
      </c>
      <c r="G63" s="575">
        <v>0</v>
      </c>
      <c r="H63" s="575">
        <f>I63+J63</f>
        <v>0</v>
      </c>
      <c r="I63" s="575"/>
      <c r="J63" s="705">
        <v>0</v>
      </c>
      <c r="K63" s="575">
        <f t="shared" si="10"/>
        <v>129100.667632</v>
      </c>
      <c r="L63" s="575">
        <f>31133.689407+82555.531308</f>
        <v>113689.220715</v>
      </c>
      <c r="M63" s="575">
        <f>12776.413917</f>
        <v>12776.413917</v>
      </c>
      <c r="N63" s="575">
        <v>0</v>
      </c>
      <c r="O63" s="575">
        <v>0</v>
      </c>
      <c r="P63" s="575">
        <f t="shared" si="4"/>
        <v>0</v>
      </c>
      <c r="Q63" s="575"/>
      <c r="R63" s="575">
        <f t="shared" si="9"/>
        <v>0</v>
      </c>
      <c r="S63" s="575">
        <v>2635.0329999999999</v>
      </c>
      <c r="T63" s="706">
        <f t="shared" si="12"/>
        <v>263.65369364865415</v>
      </c>
      <c r="U63" s="706">
        <f t="shared" si="11"/>
        <v>232.17992222154146</v>
      </c>
      <c r="V63" s="706" t="str">
        <f t="shared" si="11"/>
        <v/>
      </c>
      <c r="W63" s="706" t="str">
        <f t="shared" si="11"/>
        <v/>
      </c>
      <c r="X63" s="706" t="str">
        <f t="shared" si="11"/>
        <v/>
      </c>
      <c r="Y63" s="706" t="str">
        <f t="shared" si="11"/>
        <v/>
      </c>
      <c r="Z63" s="706" t="str">
        <f t="shared" si="11"/>
        <v/>
      </c>
      <c r="AA63" s="706" t="str">
        <f t="shared" si="11"/>
        <v/>
      </c>
      <c r="AB63" s="714"/>
    </row>
    <row r="64" spans="1:28" s="9" customFormat="1" ht="37.5">
      <c r="A64" s="584">
        <v>49</v>
      </c>
      <c r="B64" s="633" t="s">
        <v>645</v>
      </c>
      <c r="C64" s="575">
        <f t="shared" si="8"/>
        <v>369267.30699999997</v>
      </c>
      <c r="D64" s="575">
        <v>369267.30699999997</v>
      </c>
      <c r="E64" s="575"/>
      <c r="F64" s="575">
        <v>0</v>
      </c>
      <c r="G64" s="575">
        <v>0</v>
      </c>
      <c r="H64" s="575">
        <f t="shared" si="2"/>
        <v>0</v>
      </c>
      <c r="I64" s="575"/>
      <c r="J64" s="705">
        <v>0</v>
      </c>
      <c r="K64" s="575">
        <f t="shared" si="10"/>
        <v>471377.98116899998</v>
      </c>
      <c r="L64" s="575">
        <v>409186.19338299998</v>
      </c>
      <c r="M64" s="575">
        <v>36729.095169</v>
      </c>
      <c r="N64" s="575">
        <v>0</v>
      </c>
      <c r="O64" s="575">
        <v>0</v>
      </c>
      <c r="P64" s="575">
        <f t="shared" si="4"/>
        <v>0</v>
      </c>
      <c r="Q64" s="575"/>
      <c r="R64" s="575">
        <f t="shared" si="9"/>
        <v>0</v>
      </c>
      <c r="S64" s="575">
        <v>25462.692617000001</v>
      </c>
      <c r="T64" s="706">
        <f t="shared" si="12"/>
        <v>127.65223788657792</v>
      </c>
      <c r="U64" s="706">
        <f t="shared" si="11"/>
        <v>110.81029531352473</v>
      </c>
      <c r="V64" s="706" t="str">
        <f t="shared" si="11"/>
        <v/>
      </c>
      <c r="W64" s="706" t="str">
        <f t="shared" si="11"/>
        <v/>
      </c>
      <c r="X64" s="706" t="str">
        <f t="shared" si="11"/>
        <v/>
      </c>
      <c r="Y64" s="706" t="str">
        <f t="shared" si="11"/>
        <v/>
      </c>
      <c r="Z64" s="706" t="str">
        <f t="shared" si="11"/>
        <v/>
      </c>
      <c r="AA64" s="706" t="str">
        <f t="shared" si="11"/>
        <v/>
      </c>
      <c r="AB64" s="710"/>
    </row>
    <row r="65" spans="1:28" s="9" customFormat="1" ht="18.75">
      <c r="A65" s="584">
        <v>50</v>
      </c>
      <c r="B65" s="633" t="s">
        <v>654</v>
      </c>
      <c r="C65" s="575">
        <f t="shared" si="8"/>
        <v>117567.5</v>
      </c>
      <c r="D65" s="575">
        <v>117567.5</v>
      </c>
      <c r="E65" s="575"/>
      <c r="F65" s="575"/>
      <c r="G65" s="575"/>
      <c r="H65" s="575"/>
      <c r="I65" s="575"/>
      <c r="J65" s="705"/>
      <c r="K65" s="575">
        <f t="shared" si="10"/>
        <v>185280.28591199999</v>
      </c>
      <c r="L65" s="575">
        <f>116780.616412+68499.6695</f>
        <v>185280.28591199999</v>
      </c>
      <c r="M65" s="575"/>
      <c r="N65" s="575"/>
      <c r="O65" s="575"/>
      <c r="P65" s="575"/>
      <c r="Q65" s="575"/>
      <c r="R65" s="575"/>
      <c r="S65" s="575"/>
      <c r="T65" s="706"/>
      <c r="U65" s="706"/>
      <c r="V65" s="706"/>
      <c r="W65" s="706"/>
      <c r="X65" s="706"/>
      <c r="Y65" s="706"/>
      <c r="Z65" s="706"/>
      <c r="AA65" s="706"/>
      <c r="AB65" s="710"/>
    </row>
    <row r="66" spans="1:28" s="9" customFormat="1" ht="37.5">
      <c r="A66" s="584">
        <v>51</v>
      </c>
      <c r="B66" s="633" t="s">
        <v>655</v>
      </c>
      <c r="C66" s="575">
        <f t="shared" si="8"/>
        <v>204270.1</v>
      </c>
      <c r="D66" s="575">
        <v>204270.1</v>
      </c>
      <c r="E66" s="575"/>
      <c r="F66" s="575"/>
      <c r="G66" s="575"/>
      <c r="H66" s="575"/>
      <c r="I66" s="575"/>
      <c r="J66" s="705"/>
      <c r="K66" s="575">
        <f t="shared" si="10"/>
        <v>17447.937973</v>
      </c>
      <c r="L66" s="575">
        <v>17447.937973</v>
      </c>
      <c r="M66" s="575"/>
      <c r="N66" s="575"/>
      <c r="O66" s="575"/>
      <c r="P66" s="575"/>
      <c r="Q66" s="575"/>
      <c r="R66" s="575"/>
      <c r="S66" s="575"/>
      <c r="T66" s="706"/>
      <c r="U66" s="706"/>
      <c r="V66" s="706"/>
      <c r="W66" s="706"/>
      <c r="X66" s="706"/>
      <c r="Y66" s="706"/>
      <c r="Z66" s="706"/>
      <c r="AA66" s="706"/>
      <c r="AB66" s="710"/>
    </row>
    <row r="67" spans="1:28" s="9" customFormat="1" ht="18.75">
      <c r="A67" s="584">
        <v>52</v>
      </c>
      <c r="B67" s="633" t="s">
        <v>647</v>
      </c>
      <c r="C67" s="575">
        <f t="shared" si="8"/>
        <v>45623</v>
      </c>
      <c r="D67" s="575">
        <v>15754</v>
      </c>
      <c r="E67" s="575">
        <v>29869</v>
      </c>
      <c r="F67" s="575"/>
      <c r="G67" s="575"/>
      <c r="H67" s="575">
        <f t="shared" si="2"/>
        <v>0</v>
      </c>
      <c r="I67" s="575"/>
      <c r="J67" s="575"/>
      <c r="K67" s="575">
        <f t="shared" si="10"/>
        <v>65591.709199999998</v>
      </c>
      <c r="L67" s="575">
        <v>26062.235199999999</v>
      </c>
      <c r="M67" s="575">
        <v>39529.474000000002</v>
      </c>
      <c r="N67" s="575"/>
      <c r="O67" s="575"/>
      <c r="P67" s="575">
        <f t="shared" si="4"/>
        <v>0</v>
      </c>
      <c r="Q67" s="575"/>
      <c r="R67" s="575">
        <f t="shared" si="9"/>
        <v>0</v>
      </c>
      <c r="S67" s="575"/>
      <c r="T67" s="706">
        <f t="shared" si="12"/>
        <v>143.76895250202747</v>
      </c>
      <c r="U67" s="706">
        <f t="shared" si="11"/>
        <v>165.43249460454487</v>
      </c>
      <c r="V67" s="706">
        <f t="shared" si="11"/>
        <v>132.34281027151897</v>
      </c>
      <c r="W67" s="706" t="str">
        <f t="shared" si="11"/>
        <v/>
      </c>
      <c r="X67" s="706" t="str">
        <f t="shared" si="11"/>
        <v/>
      </c>
      <c r="Y67" s="706" t="str">
        <f t="shared" si="11"/>
        <v/>
      </c>
      <c r="Z67" s="706" t="str">
        <f t="shared" si="11"/>
        <v/>
      </c>
      <c r="AA67" s="706" t="str">
        <f t="shared" si="11"/>
        <v/>
      </c>
      <c r="AB67" s="710"/>
    </row>
    <row r="68" spans="1:28" s="9" customFormat="1" ht="18.75">
      <c r="A68" s="584">
        <v>53</v>
      </c>
      <c r="B68" s="633" t="s">
        <v>648</v>
      </c>
      <c r="C68" s="575">
        <f t="shared" si="8"/>
        <v>15800</v>
      </c>
      <c r="D68" s="575">
        <v>12300</v>
      </c>
      <c r="E68" s="575">
        <v>3500</v>
      </c>
      <c r="F68" s="575"/>
      <c r="G68" s="575"/>
      <c r="H68" s="575">
        <f t="shared" si="2"/>
        <v>0</v>
      </c>
      <c r="I68" s="575"/>
      <c r="J68" s="575"/>
      <c r="K68" s="575">
        <f t="shared" si="10"/>
        <v>18961.374448000002</v>
      </c>
      <c r="L68" s="575">
        <v>13333.178448000001</v>
      </c>
      <c r="M68" s="575">
        <v>5628.1959999999999</v>
      </c>
      <c r="N68" s="575"/>
      <c r="O68" s="575"/>
      <c r="P68" s="575">
        <f t="shared" si="4"/>
        <v>0</v>
      </c>
      <c r="Q68" s="575"/>
      <c r="R68" s="575">
        <f t="shared" si="9"/>
        <v>0</v>
      </c>
      <c r="S68" s="575"/>
      <c r="T68" s="706">
        <f t="shared" si="12"/>
        <v>120.00869903797469</v>
      </c>
      <c r="U68" s="706">
        <f t="shared" si="11"/>
        <v>108.3998247804878</v>
      </c>
      <c r="V68" s="706">
        <f t="shared" si="11"/>
        <v>160.8056</v>
      </c>
      <c r="W68" s="706" t="str">
        <f t="shared" si="11"/>
        <v/>
      </c>
      <c r="X68" s="706" t="str">
        <f t="shared" si="11"/>
        <v/>
      </c>
      <c r="Y68" s="706" t="str">
        <f t="shared" si="11"/>
        <v/>
      </c>
      <c r="Z68" s="706" t="str">
        <f t="shared" si="11"/>
        <v/>
      </c>
      <c r="AA68" s="706" t="str">
        <f t="shared" si="11"/>
        <v/>
      </c>
      <c r="AB68" s="710"/>
    </row>
    <row r="69" spans="1:28" s="9" customFormat="1" ht="18.75">
      <c r="A69" s="584">
        <v>54</v>
      </c>
      <c r="B69" s="633" t="s">
        <v>646</v>
      </c>
      <c r="C69" s="575">
        <f t="shared" si="8"/>
        <v>9546</v>
      </c>
      <c r="D69" s="575">
        <v>4039</v>
      </c>
      <c r="E69" s="575">
        <f>5507</f>
        <v>5507</v>
      </c>
      <c r="F69" s="575">
        <v>0</v>
      </c>
      <c r="G69" s="575">
        <v>0</v>
      </c>
      <c r="H69" s="575">
        <f t="shared" si="2"/>
        <v>0</v>
      </c>
      <c r="I69" s="575"/>
      <c r="J69" s="575">
        <v>0</v>
      </c>
      <c r="K69" s="575">
        <f t="shared" si="10"/>
        <v>37614.645467000002</v>
      </c>
      <c r="L69" s="575">
        <v>6471.316793</v>
      </c>
      <c r="M69" s="575">
        <f>31143.328674</f>
        <v>31143.328674</v>
      </c>
      <c r="N69" s="575"/>
      <c r="O69" s="575"/>
      <c r="P69" s="575">
        <f t="shared" si="4"/>
        <v>0</v>
      </c>
      <c r="Q69" s="575"/>
      <c r="R69" s="575">
        <f t="shared" si="9"/>
        <v>0</v>
      </c>
      <c r="S69" s="575"/>
      <c r="T69" s="706">
        <f t="shared" si="12"/>
        <v>394.03567428242201</v>
      </c>
      <c r="U69" s="706">
        <f t="shared" si="11"/>
        <v>160.22076734340183</v>
      </c>
      <c r="V69" s="706">
        <f t="shared" si="11"/>
        <v>565.52258351189391</v>
      </c>
      <c r="W69" s="706" t="str">
        <f t="shared" si="11"/>
        <v/>
      </c>
      <c r="X69" s="706" t="str">
        <f t="shared" si="11"/>
        <v/>
      </c>
      <c r="Y69" s="706" t="str">
        <f t="shared" si="11"/>
        <v/>
      </c>
      <c r="Z69" s="706" t="str">
        <f t="shared" si="11"/>
        <v/>
      </c>
      <c r="AA69" s="706" t="str">
        <f t="shared" si="11"/>
        <v/>
      </c>
      <c r="AB69" s="710"/>
    </row>
    <row r="70" spans="1:28" s="9" customFormat="1" ht="18.75">
      <c r="A70" s="584">
        <v>55</v>
      </c>
      <c r="B70" s="633" t="s">
        <v>651</v>
      </c>
      <c r="C70" s="575">
        <f t="shared" si="8"/>
        <v>0</v>
      </c>
      <c r="D70" s="575"/>
      <c r="E70" s="575"/>
      <c r="F70" s="575"/>
      <c r="G70" s="575"/>
      <c r="H70" s="575">
        <f t="shared" si="2"/>
        <v>0</v>
      </c>
      <c r="I70" s="575"/>
      <c r="J70" s="575"/>
      <c r="K70" s="575">
        <f t="shared" si="10"/>
        <v>553260.21114000003</v>
      </c>
      <c r="L70" s="575"/>
      <c r="M70" s="575">
        <f>517678.789885+35581.421255</f>
        <v>553260.21114000003</v>
      </c>
      <c r="N70" s="575"/>
      <c r="O70" s="575"/>
      <c r="P70" s="575">
        <f t="shared" si="4"/>
        <v>0</v>
      </c>
      <c r="Q70" s="575"/>
      <c r="R70" s="575">
        <f t="shared" si="9"/>
        <v>0</v>
      </c>
      <c r="S70" s="575"/>
      <c r="T70" s="706" t="str">
        <f t="shared" si="12"/>
        <v/>
      </c>
      <c r="U70" s="706" t="str">
        <f t="shared" si="11"/>
        <v/>
      </c>
      <c r="V70" s="706" t="str">
        <f t="shared" si="11"/>
        <v/>
      </c>
      <c r="W70" s="706" t="str">
        <f t="shared" si="11"/>
        <v/>
      </c>
      <c r="X70" s="706" t="str">
        <f t="shared" si="11"/>
        <v/>
      </c>
      <c r="Y70" s="706" t="str">
        <f t="shared" si="11"/>
        <v/>
      </c>
      <c r="Z70" s="706" t="str">
        <f t="shared" si="11"/>
        <v/>
      </c>
      <c r="AA70" s="706" t="str">
        <f t="shared" si="11"/>
        <v/>
      </c>
      <c r="AB70" s="710"/>
    </row>
    <row r="71" spans="1:28" s="9" customFormat="1" ht="18.75">
      <c r="A71" s="584">
        <v>56</v>
      </c>
      <c r="B71" s="633" t="s">
        <v>653</v>
      </c>
      <c r="C71" s="575">
        <f t="shared" si="8"/>
        <v>0</v>
      </c>
      <c r="D71" s="575"/>
      <c r="E71" s="575"/>
      <c r="F71" s="575"/>
      <c r="G71" s="575"/>
      <c r="H71" s="575">
        <f t="shared" si="2"/>
        <v>0</v>
      </c>
      <c r="I71" s="575"/>
      <c r="J71" s="575"/>
      <c r="K71" s="575">
        <f t="shared" si="10"/>
        <v>28300</v>
      </c>
      <c r="L71" s="575"/>
      <c r="M71" s="575">
        <v>28300</v>
      </c>
      <c r="N71" s="575"/>
      <c r="O71" s="575"/>
      <c r="P71" s="575">
        <f t="shared" si="4"/>
        <v>0</v>
      </c>
      <c r="Q71" s="575"/>
      <c r="R71" s="575">
        <f t="shared" si="9"/>
        <v>0</v>
      </c>
      <c r="S71" s="575"/>
      <c r="T71" s="706" t="str">
        <f t="shared" si="12"/>
        <v/>
      </c>
      <c r="U71" s="706" t="str">
        <f t="shared" si="11"/>
        <v/>
      </c>
      <c r="V71" s="706" t="str">
        <f t="shared" si="11"/>
        <v/>
      </c>
      <c r="W71" s="706" t="str">
        <f t="shared" si="11"/>
        <v/>
      </c>
      <c r="X71" s="706" t="str">
        <f t="shared" si="11"/>
        <v/>
      </c>
      <c r="Y71" s="706" t="str">
        <f t="shared" si="11"/>
        <v/>
      </c>
      <c r="Z71" s="706" t="str">
        <f t="shared" si="11"/>
        <v/>
      </c>
      <c r="AA71" s="706" t="str">
        <f t="shared" si="11"/>
        <v/>
      </c>
      <c r="AB71" s="710"/>
    </row>
    <row r="72" spans="1:28" s="9" customFormat="1" ht="18.75">
      <c r="A72" s="584">
        <v>57</v>
      </c>
      <c r="B72" s="633" t="s">
        <v>656</v>
      </c>
      <c r="C72" s="575">
        <f t="shared" si="8"/>
        <v>0</v>
      </c>
      <c r="D72" s="575"/>
      <c r="E72" s="575"/>
      <c r="F72" s="575"/>
      <c r="G72" s="575"/>
      <c r="H72" s="575">
        <f t="shared" si="2"/>
        <v>0</v>
      </c>
      <c r="I72" s="575"/>
      <c r="J72" s="575"/>
      <c r="K72" s="575">
        <f t="shared" si="10"/>
        <v>10000</v>
      </c>
      <c r="L72" s="575">
        <v>10000</v>
      </c>
      <c r="M72" s="575"/>
      <c r="N72" s="575"/>
      <c r="O72" s="575"/>
      <c r="P72" s="575">
        <f t="shared" si="4"/>
        <v>0</v>
      </c>
      <c r="Q72" s="575"/>
      <c r="R72" s="575">
        <f t="shared" si="9"/>
        <v>0</v>
      </c>
      <c r="S72" s="575"/>
      <c r="T72" s="706" t="str">
        <f t="shared" si="12"/>
        <v/>
      </c>
      <c r="U72" s="706" t="str">
        <f t="shared" si="11"/>
        <v/>
      </c>
      <c r="V72" s="706" t="str">
        <f t="shared" si="11"/>
        <v/>
      </c>
      <c r="W72" s="706" t="str">
        <f t="shared" si="11"/>
        <v/>
      </c>
      <c r="X72" s="706" t="str">
        <f t="shared" si="11"/>
        <v/>
      </c>
      <c r="Y72" s="706" t="str">
        <f t="shared" si="11"/>
        <v/>
      </c>
      <c r="Z72" s="706" t="str">
        <f t="shared" si="11"/>
        <v/>
      </c>
      <c r="AA72" s="706" t="str">
        <f t="shared" si="11"/>
        <v/>
      </c>
      <c r="AB72" s="710"/>
    </row>
    <row r="73" spans="1:28" s="9" customFormat="1" ht="37.5">
      <c r="A73" s="584">
        <v>58</v>
      </c>
      <c r="B73" s="633" t="s">
        <v>657</v>
      </c>
      <c r="C73" s="575">
        <f t="shared" si="8"/>
        <v>0</v>
      </c>
      <c r="D73" s="575"/>
      <c r="E73" s="575"/>
      <c r="F73" s="575"/>
      <c r="G73" s="575"/>
      <c r="H73" s="575">
        <f t="shared" si="2"/>
        <v>0</v>
      </c>
      <c r="I73" s="575"/>
      <c r="J73" s="575"/>
      <c r="K73" s="575">
        <f t="shared" si="10"/>
        <v>8100</v>
      </c>
      <c r="L73" s="575"/>
      <c r="M73" s="575">
        <v>8100</v>
      </c>
      <c r="N73" s="575"/>
      <c r="O73" s="575"/>
      <c r="P73" s="575">
        <f t="shared" si="4"/>
        <v>0</v>
      </c>
      <c r="Q73" s="575"/>
      <c r="R73" s="575">
        <f t="shared" si="9"/>
        <v>0</v>
      </c>
      <c r="S73" s="575"/>
      <c r="T73" s="706" t="str">
        <f t="shared" si="12"/>
        <v/>
      </c>
      <c r="U73" s="706" t="str">
        <f t="shared" si="11"/>
        <v/>
      </c>
      <c r="V73" s="706" t="str">
        <f t="shared" si="11"/>
        <v/>
      </c>
      <c r="W73" s="706" t="str">
        <f t="shared" si="11"/>
        <v/>
      </c>
      <c r="X73" s="706" t="str">
        <f t="shared" si="11"/>
        <v/>
      </c>
      <c r="Y73" s="706" t="str">
        <f t="shared" si="11"/>
        <v/>
      </c>
      <c r="Z73" s="706" t="str">
        <f t="shared" si="11"/>
        <v/>
      </c>
      <c r="AA73" s="706" t="str">
        <f t="shared" si="11"/>
        <v/>
      </c>
      <c r="AB73" s="710"/>
    </row>
    <row r="74" spans="1:28" s="9" customFormat="1" ht="37.5">
      <c r="A74" s="584">
        <v>59</v>
      </c>
      <c r="B74" s="633" t="s">
        <v>658</v>
      </c>
      <c r="C74" s="575"/>
      <c r="D74" s="575"/>
      <c r="E74" s="575"/>
      <c r="F74" s="575"/>
      <c r="G74" s="575"/>
      <c r="H74" s="575"/>
      <c r="I74" s="575"/>
      <c r="J74" s="705"/>
      <c r="K74" s="575">
        <f t="shared" si="10"/>
        <v>69677.850000000006</v>
      </c>
      <c r="L74" s="575"/>
      <c r="M74" s="575">
        <f>56293.85+13384</f>
        <v>69677.850000000006</v>
      </c>
      <c r="N74" s="575"/>
      <c r="O74" s="575"/>
      <c r="P74" s="575"/>
      <c r="Q74" s="575"/>
      <c r="R74" s="575"/>
      <c r="S74" s="575"/>
      <c r="T74" s="706"/>
      <c r="U74" s="706"/>
      <c r="V74" s="706" t="str">
        <f t="shared" si="11"/>
        <v/>
      </c>
      <c r="W74" s="706"/>
      <c r="X74" s="706"/>
      <c r="Y74" s="706"/>
      <c r="Z74" s="706"/>
      <c r="AA74" s="706"/>
      <c r="AB74" s="710"/>
    </row>
    <row r="75" spans="1:28" s="9" customFormat="1" ht="18.75">
      <c r="A75" s="584">
        <v>60</v>
      </c>
      <c r="B75" s="737" t="s">
        <v>556</v>
      </c>
      <c r="C75" s="575">
        <f t="shared" si="8"/>
        <v>113698</v>
      </c>
      <c r="D75" s="575">
        <v>110163</v>
      </c>
      <c r="E75" s="575"/>
      <c r="F75" s="575"/>
      <c r="G75" s="575"/>
      <c r="H75" s="575">
        <f t="shared" si="2"/>
        <v>3535</v>
      </c>
      <c r="I75" s="575">
        <f>'PL61'!D27</f>
        <v>3535</v>
      </c>
      <c r="J75" s="575">
        <f>'PL61'!E27</f>
        <v>0</v>
      </c>
      <c r="K75" s="575">
        <f t="shared" si="10"/>
        <v>117584.83061599999</v>
      </c>
      <c r="L75" s="575">
        <f>113281.7214+4303.109216-Q75</f>
        <v>114545.72139999999</v>
      </c>
      <c r="M75" s="575"/>
      <c r="N75" s="575"/>
      <c r="O75" s="575"/>
      <c r="P75" s="575">
        <f t="shared" si="4"/>
        <v>3039.1092159999998</v>
      </c>
      <c r="Q75" s="575">
        <f>'PL61'!U27</f>
        <v>3039.1092159999998</v>
      </c>
      <c r="R75" s="575">
        <f>'PL61'!V27</f>
        <v>0</v>
      </c>
      <c r="S75" s="575"/>
      <c r="T75" s="706">
        <f t="shared" si="12"/>
        <v>103.41855671691674</v>
      </c>
      <c r="U75" s="706">
        <f t="shared" si="11"/>
        <v>103.97839692092624</v>
      </c>
      <c r="V75" s="706" t="str">
        <f t="shared" si="11"/>
        <v/>
      </c>
      <c r="W75" s="706" t="str">
        <f t="shared" si="11"/>
        <v/>
      </c>
      <c r="X75" s="706" t="str">
        <f t="shared" si="11"/>
        <v/>
      </c>
      <c r="Y75" s="706">
        <f t="shared" si="11"/>
        <v>85.971972164073549</v>
      </c>
      <c r="Z75" s="706">
        <f t="shared" si="11"/>
        <v>85.971972164073549</v>
      </c>
      <c r="AA75" s="706" t="str">
        <f t="shared" si="11"/>
        <v/>
      </c>
      <c r="AB75" s="710"/>
    </row>
    <row r="76" spans="1:28" s="9" customFormat="1" ht="18.75">
      <c r="A76" s="584">
        <v>61</v>
      </c>
      <c r="B76" s="737" t="s">
        <v>557</v>
      </c>
      <c r="C76" s="575">
        <f t="shared" si="8"/>
        <v>138487.514</v>
      </c>
      <c r="D76" s="575">
        <v>125302.514</v>
      </c>
      <c r="E76" s="575"/>
      <c r="F76" s="575"/>
      <c r="G76" s="575"/>
      <c r="H76" s="575">
        <f t="shared" si="2"/>
        <v>13185</v>
      </c>
      <c r="I76" s="575">
        <f>'PL61'!D28</f>
        <v>13185</v>
      </c>
      <c r="J76" s="575">
        <f>'PL61'!E28</f>
        <v>0</v>
      </c>
      <c r="K76" s="575">
        <f t="shared" si="10"/>
        <v>130403.95078400002</v>
      </c>
      <c r="L76" s="575">
        <f>89681.568167+40722.382617-Q76</f>
        <v>111828.99214600002</v>
      </c>
      <c r="M76" s="575"/>
      <c r="N76" s="575"/>
      <c r="O76" s="575"/>
      <c r="P76" s="575">
        <f t="shared" si="4"/>
        <v>18574.958638</v>
      </c>
      <c r="Q76" s="575">
        <f>'PL61'!U28</f>
        <v>18574.958638</v>
      </c>
      <c r="R76" s="575">
        <f>'PL61'!V28</f>
        <v>0</v>
      </c>
      <c r="S76" s="575"/>
      <c r="T76" s="706"/>
      <c r="U76" s="706"/>
      <c r="V76" s="706"/>
      <c r="W76" s="706"/>
      <c r="X76" s="706"/>
      <c r="Y76" s="706"/>
      <c r="Z76" s="706"/>
      <c r="AA76" s="706"/>
      <c r="AB76" s="710"/>
    </row>
    <row r="77" spans="1:28" s="9" customFormat="1" ht="18.75">
      <c r="A77" s="584">
        <v>62</v>
      </c>
      <c r="B77" s="737" t="s">
        <v>558</v>
      </c>
      <c r="C77" s="575">
        <f t="shared" si="8"/>
        <v>78302.16399999999</v>
      </c>
      <c r="D77" s="575">
        <v>62512.163999999997</v>
      </c>
      <c r="E77" s="575"/>
      <c r="F77" s="575"/>
      <c r="G77" s="575"/>
      <c r="H77" s="575">
        <f t="shared" si="2"/>
        <v>15790</v>
      </c>
      <c r="I77" s="575">
        <f>'PL61'!D29</f>
        <v>15790</v>
      </c>
      <c r="J77" s="575">
        <f>'PL61'!E29</f>
        <v>0</v>
      </c>
      <c r="K77" s="575">
        <f t="shared" si="10"/>
        <v>93162.197658999998</v>
      </c>
      <c r="L77" s="575">
        <f>57022.081659+36140.116-Q77</f>
        <v>78949.534658999997</v>
      </c>
      <c r="M77" s="575"/>
      <c r="N77" s="575"/>
      <c r="O77" s="575"/>
      <c r="P77" s="575">
        <f t="shared" si="4"/>
        <v>14212.663</v>
      </c>
      <c r="Q77" s="575">
        <f>'PL61'!U29</f>
        <v>14212.663</v>
      </c>
      <c r="R77" s="575">
        <f>'PL61'!V29</f>
        <v>0</v>
      </c>
      <c r="S77" s="575"/>
      <c r="T77" s="706"/>
      <c r="U77" s="706"/>
      <c r="V77" s="706"/>
      <c r="W77" s="706"/>
      <c r="X77" s="706"/>
      <c r="Y77" s="706"/>
      <c r="Z77" s="706"/>
      <c r="AA77" s="706"/>
      <c r="AB77" s="710"/>
    </row>
    <row r="78" spans="1:28" s="9" customFormat="1" ht="18.75">
      <c r="A78" s="584">
        <v>63</v>
      </c>
      <c r="B78" s="737" t="s">
        <v>559</v>
      </c>
      <c r="C78" s="575">
        <f t="shared" si="8"/>
        <v>91309.959000000003</v>
      </c>
      <c r="D78" s="575">
        <v>75684.959000000003</v>
      </c>
      <c r="E78" s="575"/>
      <c r="F78" s="575"/>
      <c r="G78" s="575"/>
      <c r="H78" s="575">
        <f t="shared" ref="H78:H91" si="13">I78+J78</f>
        <v>15625</v>
      </c>
      <c r="I78" s="575">
        <f>'PL61'!D30</f>
        <v>15625</v>
      </c>
      <c r="J78" s="575">
        <f>'PL61'!E30</f>
        <v>0</v>
      </c>
      <c r="K78" s="575">
        <f t="shared" si="10"/>
        <v>93783.702665999997</v>
      </c>
      <c r="L78" s="575">
        <f>60419.138132+33364.564534-Q78</f>
        <v>77685.138131999993</v>
      </c>
      <c r="M78" s="575"/>
      <c r="N78" s="575"/>
      <c r="O78" s="575"/>
      <c r="P78" s="575">
        <f t="shared" ref="P78:P91" si="14">Q78+R78</f>
        <v>16098.564533999999</v>
      </c>
      <c r="Q78" s="575">
        <f>'PL61'!U30</f>
        <v>16098.564533999999</v>
      </c>
      <c r="R78" s="575">
        <f>'PL61'!V30</f>
        <v>0</v>
      </c>
      <c r="S78" s="575"/>
      <c r="T78" s="706"/>
      <c r="U78" s="706"/>
      <c r="V78" s="706"/>
      <c r="W78" s="706"/>
      <c r="X78" s="706"/>
      <c r="Y78" s="706"/>
      <c r="Z78" s="706"/>
      <c r="AA78" s="706"/>
      <c r="AB78" s="710"/>
    </row>
    <row r="79" spans="1:28" s="9" customFormat="1" ht="18.75">
      <c r="A79" s="584">
        <v>64</v>
      </c>
      <c r="B79" s="737" t="s">
        <v>560</v>
      </c>
      <c r="C79" s="575">
        <f t="shared" si="8"/>
        <v>76395.399999999994</v>
      </c>
      <c r="D79" s="575">
        <f>48+69782.4</f>
        <v>69830.399999999994</v>
      </c>
      <c r="E79" s="575"/>
      <c r="F79" s="575"/>
      <c r="G79" s="575"/>
      <c r="H79" s="575">
        <f t="shared" si="13"/>
        <v>6565</v>
      </c>
      <c r="I79" s="575">
        <f>'PL61'!D31</f>
        <v>6565</v>
      </c>
      <c r="J79" s="575">
        <f>'PL61'!E31</f>
        <v>0</v>
      </c>
      <c r="K79" s="575">
        <f t="shared" si="10"/>
        <v>98179.157214000006</v>
      </c>
      <c r="L79" s="575">
        <f>47.515+75190.039562+22941.602652-Q79</f>
        <v>89176.532214000006</v>
      </c>
      <c r="M79" s="575"/>
      <c r="N79" s="575"/>
      <c r="O79" s="575"/>
      <c r="P79" s="575">
        <f t="shared" si="14"/>
        <v>9002.625</v>
      </c>
      <c r="Q79" s="575">
        <f>'PL61'!U31</f>
        <v>9002.625</v>
      </c>
      <c r="R79" s="575">
        <f>'PL61'!V31</f>
        <v>0</v>
      </c>
      <c r="S79" s="575"/>
      <c r="T79" s="706"/>
      <c r="U79" s="706"/>
      <c r="V79" s="706"/>
      <c r="W79" s="706"/>
      <c r="X79" s="706"/>
      <c r="Y79" s="706"/>
      <c r="Z79" s="706"/>
      <c r="AA79" s="706"/>
      <c r="AB79" s="710"/>
    </row>
    <row r="80" spans="1:28" s="9" customFormat="1" ht="18.75">
      <c r="A80" s="584">
        <v>65</v>
      </c>
      <c r="B80" s="633" t="s">
        <v>561</v>
      </c>
      <c r="C80" s="575">
        <f t="shared" si="8"/>
        <v>130916.7605</v>
      </c>
      <c r="D80" s="575">
        <v>125846.7605</v>
      </c>
      <c r="E80" s="575"/>
      <c r="F80" s="575"/>
      <c r="G80" s="575"/>
      <c r="H80" s="575">
        <f t="shared" si="13"/>
        <v>5070</v>
      </c>
      <c r="I80" s="575">
        <f>'PL61'!D32</f>
        <v>5070</v>
      </c>
      <c r="J80" s="575">
        <f>'PL61'!E32</f>
        <v>0</v>
      </c>
      <c r="K80" s="575">
        <f t="shared" si="10"/>
        <v>125888.61685999999</v>
      </c>
      <c r="L80" s="575">
        <f>117616.4125+377.298+7894.90636-Q80</f>
        <v>120873.7105</v>
      </c>
      <c r="M80" s="575"/>
      <c r="N80" s="575"/>
      <c r="O80" s="575"/>
      <c r="P80" s="575">
        <f t="shared" si="14"/>
        <v>5014.9063599999999</v>
      </c>
      <c r="Q80" s="575">
        <f>'PL61'!U32</f>
        <v>5014.9063599999999</v>
      </c>
      <c r="R80" s="575">
        <f>'PL61'!V32</f>
        <v>0</v>
      </c>
      <c r="S80" s="575"/>
      <c r="T80" s="706"/>
      <c r="U80" s="706"/>
      <c r="V80" s="706"/>
      <c r="W80" s="706"/>
      <c r="X80" s="706"/>
      <c r="Y80" s="706"/>
      <c r="Z80" s="706"/>
      <c r="AA80" s="706"/>
      <c r="AB80" s="710"/>
    </row>
    <row r="81" spans="1:28" s="9" customFormat="1" ht="18.75">
      <c r="A81" s="584">
        <v>66</v>
      </c>
      <c r="B81" s="633" t="s">
        <v>562</v>
      </c>
      <c r="C81" s="575">
        <f t="shared" si="8"/>
        <v>140880.54889999999</v>
      </c>
      <c r="D81" s="575">
        <v>109660.54889999999</v>
      </c>
      <c r="E81" s="575"/>
      <c r="F81" s="575"/>
      <c r="G81" s="575"/>
      <c r="H81" s="575">
        <f t="shared" si="13"/>
        <v>31220</v>
      </c>
      <c r="I81" s="575">
        <f>'PL61'!D33</f>
        <v>31220</v>
      </c>
      <c r="J81" s="575">
        <f>'PL61'!E33</f>
        <v>0</v>
      </c>
      <c r="K81" s="575">
        <f t="shared" si="10"/>
        <v>154397.474907</v>
      </c>
      <c r="L81" s="575">
        <f>80520.2478+4364.3+69512.927107-Q81</f>
        <v>129598.6312</v>
      </c>
      <c r="M81" s="575"/>
      <c r="N81" s="575"/>
      <c r="O81" s="575"/>
      <c r="P81" s="575">
        <f t="shared" si="14"/>
        <v>24798.843707</v>
      </c>
      <c r="Q81" s="575">
        <f>'PL61'!U33</f>
        <v>24798.843707</v>
      </c>
      <c r="R81" s="575">
        <f>'PL61'!V33</f>
        <v>0</v>
      </c>
      <c r="S81" s="575"/>
      <c r="T81" s="706"/>
      <c r="U81" s="706"/>
      <c r="V81" s="706"/>
      <c r="W81" s="706"/>
      <c r="X81" s="706"/>
      <c r="Y81" s="706"/>
      <c r="Z81" s="706"/>
      <c r="AA81" s="706"/>
      <c r="AB81" s="710"/>
    </row>
    <row r="82" spans="1:28" s="9" customFormat="1" ht="18.75">
      <c r="A82" s="584">
        <v>67</v>
      </c>
      <c r="B82" s="633" t="s">
        <v>563</v>
      </c>
      <c r="C82" s="575">
        <f t="shared" si="8"/>
        <v>177435.70600000001</v>
      </c>
      <c r="D82" s="575">
        <f>26741.106+116289.6</f>
        <v>143030.70600000001</v>
      </c>
      <c r="E82" s="575"/>
      <c r="F82" s="575"/>
      <c r="G82" s="575"/>
      <c r="H82" s="575">
        <f t="shared" si="13"/>
        <v>34405</v>
      </c>
      <c r="I82" s="575">
        <f>'PL61'!D34</f>
        <v>34405</v>
      </c>
      <c r="J82" s="575">
        <f>'PL61'!E34</f>
        <v>0</v>
      </c>
      <c r="K82" s="575">
        <f t="shared" si="10"/>
        <v>141216.54913200001</v>
      </c>
      <c r="L82" s="575">
        <f>30854.6252+94735.274386+201.387+15425.262546-Q82</f>
        <v>132891.286586</v>
      </c>
      <c r="M82" s="575"/>
      <c r="N82" s="575"/>
      <c r="O82" s="575"/>
      <c r="P82" s="575">
        <f t="shared" si="14"/>
        <v>8325.2625459999999</v>
      </c>
      <c r="Q82" s="575">
        <f>'PL61'!U34</f>
        <v>8325.2625459999999</v>
      </c>
      <c r="R82" s="575">
        <f>'PL61'!V34</f>
        <v>0</v>
      </c>
      <c r="S82" s="575"/>
      <c r="T82" s="706"/>
      <c r="U82" s="706"/>
      <c r="V82" s="706"/>
      <c r="W82" s="706"/>
      <c r="X82" s="706"/>
      <c r="Y82" s="706"/>
      <c r="Z82" s="706"/>
      <c r="AA82" s="706"/>
      <c r="AB82" s="710"/>
    </row>
    <row r="83" spans="1:28" s="9" customFormat="1" ht="18.75">
      <c r="A83" s="584">
        <v>68</v>
      </c>
      <c r="B83" s="633" t="s">
        <v>564</v>
      </c>
      <c r="C83" s="575">
        <f t="shared" si="8"/>
        <v>118244.197</v>
      </c>
      <c r="D83" s="575">
        <f>3210.697+90258.5</f>
        <v>93469.197</v>
      </c>
      <c r="E83" s="575"/>
      <c r="F83" s="575"/>
      <c r="G83" s="575"/>
      <c r="H83" s="575">
        <f t="shared" si="13"/>
        <v>24775</v>
      </c>
      <c r="I83" s="575">
        <f>'PL61'!D35</f>
        <v>24775</v>
      </c>
      <c r="J83" s="575">
        <f>'PL61'!E35</f>
        <v>0</v>
      </c>
      <c r="K83" s="575">
        <f t="shared" si="10"/>
        <v>88749.503843000013</v>
      </c>
      <c r="L83" s="575">
        <f>3690.0158+54367.331609+494.427+1381.243+28816.486434-Q83</f>
        <v>62028.017409000015</v>
      </c>
      <c r="M83" s="575"/>
      <c r="N83" s="575"/>
      <c r="O83" s="575"/>
      <c r="P83" s="575">
        <f t="shared" si="14"/>
        <v>26721.486433999999</v>
      </c>
      <c r="Q83" s="575">
        <f>'PL61'!U35</f>
        <v>26721.486433999999</v>
      </c>
      <c r="R83" s="575">
        <f>'PL61'!V35</f>
        <v>0</v>
      </c>
      <c r="S83" s="575"/>
      <c r="T83" s="706"/>
      <c r="U83" s="706"/>
      <c r="V83" s="706"/>
      <c r="W83" s="706"/>
      <c r="X83" s="706"/>
      <c r="Y83" s="706"/>
      <c r="Z83" s="706"/>
      <c r="AA83" s="706"/>
      <c r="AB83" s="710"/>
    </row>
    <row r="84" spans="1:28" s="9" customFormat="1" ht="18.75">
      <c r="A84" s="584">
        <v>69</v>
      </c>
      <c r="B84" s="633" t="s">
        <v>661</v>
      </c>
      <c r="C84" s="575">
        <f>SUM(D84:H84)</f>
        <v>805892.8200999999</v>
      </c>
      <c r="D84" s="575">
        <v>299424.8200999999</v>
      </c>
      <c r="E84" s="575">
        <v>506468</v>
      </c>
      <c r="F84" s="575"/>
      <c r="G84" s="575"/>
      <c r="H84" s="575">
        <f>I84+J84</f>
        <v>0</v>
      </c>
      <c r="I84" s="575"/>
      <c r="J84" s="752"/>
      <c r="K84" s="575">
        <f t="shared" si="10"/>
        <v>127598.16940400054</v>
      </c>
      <c r="L84" s="575">
        <f>2022606.888555-SUM(L16:L83)-Q15</f>
        <v>115461.17720500042</v>
      </c>
      <c r="M84" s="575">
        <f>1914173.749397-R15-SUM(M16:M83)</f>
        <v>9197.6007990001235</v>
      </c>
      <c r="N84" s="575"/>
      <c r="O84" s="575"/>
      <c r="P84" s="575">
        <f>Q84+R84</f>
        <v>2939.3914</v>
      </c>
      <c r="Q84" s="575">
        <f>'PL61'!U36</f>
        <v>0</v>
      </c>
      <c r="R84" s="575">
        <f>'PL61'!V36</f>
        <v>2939.3914</v>
      </c>
      <c r="S84" s="575"/>
      <c r="T84" s="706">
        <f t="shared" ref="T84:AA91" si="15">IF(AND(C84&lt;&gt;0,K84&lt;&gt;0),K84/C84%,"")</f>
        <v>15.83314384016567</v>
      </c>
      <c r="U84" s="706">
        <f t="shared" si="15"/>
        <v>38.56099075769319</v>
      </c>
      <c r="V84" s="706">
        <f t="shared" si="15"/>
        <v>1.8160280213162772</v>
      </c>
      <c r="W84" s="706" t="str">
        <f t="shared" si="15"/>
        <v/>
      </c>
      <c r="X84" s="706" t="str">
        <f t="shared" si="15"/>
        <v/>
      </c>
      <c r="Y84" s="706" t="str">
        <f t="shared" si="15"/>
        <v/>
      </c>
      <c r="Z84" s="706" t="str">
        <f t="shared" si="15"/>
        <v/>
      </c>
      <c r="AA84" s="706" t="str">
        <f t="shared" si="15"/>
        <v/>
      </c>
      <c r="AB84" s="710">
        <v>2939.3914</v>
      </c>
    </row>
    <row r="85" spans="1:28" s="9" customFormat="1" ht="18.75" hidden="1">
      <c r="A85" s="584">
        <v>71</v>
      </c>
      <c r="B85" s="566"/>
      <c r="C85" s="575">
        <f>SUM(D85:H85)</f>
        <v>0</v>
      </c>
      <c r="D85" s="575"/>
      <c r="E85" s="575"/>
      <c r="F85" s="575"/>
      <c r="G85" s="575"/>
      <c r="H85" s="575">
        <f t="shared" si="13"/>
        <v>0</v>
      </c>
      <c r="I85" s="575"/>
      <c r="J85" s="705"/>
      <c r="K85" s="575">
        <f t="shared" si="10"/>
        <v>0</v>
      </c>
      <c r="L85" s="575"/>
      <c r="M85" s="575"/>
      <c r="N85" s="575"/>
      <c r="O85" s="575"/>
      <c r="P85" s="575">
        <f t="shared" si="14"/>
        <v>0</v>
      </c>
      <c r="Q85" s="575"/>
      <c r="R85" s="575">
        <f t="shared" si="9"/>
        <v>0</v>
      </c>
      <c r="S85" s="575"/>
      <c r="T85" s="706" t="str">
        <f t="shared" si="15"/>
        <v/>
      </c>
      <c r="U85" s="706" t="str">
        <f t="shared" si="11"/>
        <v/>
      </c>
      <c r="V85" s="706" t="str">
        <f t="shared" si="11"/>
        <v/>
      </c>
      <c r="W85" s="706" t="str">
        <f t="shared" si="11"/>
        <v/>
      </c>
      <c r="X85" s="706" t="str">
        <f t="shared" si="11"/>
        <v/>
      </c>
      <c r="Y85" s="706" t="str">
        <f t="shared" si="11"/>
        <v/>
      </c>
      <c r="Z85" s="706" t="str">
        <f t="shared" si="11"/>
        <v/>
      </c>
      <c r="AA85" s="706" t="str">
        <f t="shared" si="11"/>
        <v/>
      </c>
      <c r="AB85" s="710"/>
    </row>
    <row r="86" spans="1:28" s="32" customFormat="1" ht="37.5">
      <c r="A86" s="561" t="s">
        <v>33</v>
      </c>
      <c r="B86" s="562" t="s">
        <v>539</v>
      </c>
      <c r="C86" s="574">
        <f t="shared" si="8"/>
        <v>800</v>
      </c>
      <c r="D86" s="574"/>
      <c r="E86" s="574"/>
      <c r="F86" s="574">
        <v>800</v>
      </c>
      <c r="G86" s="574"/>
      <c r="H86" s="574">
        <f t="shared" si="13"/>
        <v>0</v>
      </c>
      <c r="I86" s="574"/>
      <c r="J86" s="574"/>
      <c r="K86" s="574">
        <f t="shared" ref="K86:K91" si="16">SUM(L86:P86)+S86</f>
        <v>0</v>
      </c>
      <c r="L86" s="574">
        <v>0</v>
      </c>
      <c r="M86" s="574">
        <v>0</v>
      </c>
      <c r="N86" s="574">
        <v>0</v>
      </c>
      <c r="O86" s="574">
        <v>0</v>
      </c>
      <c r="P86" s="574">
        <f t="shared" si="14"/>
        <v>0</v>
      </c>
      <c r="Q86" s="574">
        <v>0</v>
      </c>
      <c r="R86" s="574">
        <v>0</v>
      </c>
      <c r="S86" s="574">
        <v>0</v>
      </c>
      <c r="T86" s="743" t="str">
        <f t="shared" si="15"/>
        <v/>
      </c>
      <c r="U86" s="743" t="str">
        <f t="shared" si="11"/>
        <v/>
      </c>
      <c r="V86" s="743" t="str">
        <f t="shared" si="11"/>
        <v/>
      </c>
      <c r="W86" s="743" t="str">
        <f t="shared" si="11"/>
        <v/>
      </c>
      <c r="X86" s="743" t="str">
        <f t="shared" si="11"/>
        <v/>
      </c>
      <c r="Y86" s="743" t="str">
        <f t="shared" si="11"/>
        <v/>
      </c>
      <c r="Z86" s="743" t="str">
        <f t="shared" si="11"/>
        <v/>
      </c>
      <c r="AA86" s="743" t="str">
        <f t="shared" si="11"/>
        <v/>
      </c>
      <c r="AB86" s="715"/>
    </row>
    <row r="87" spans="1:28" s="32" customFormat="1" ht="37.5">
      <c r="A87" s="561" t="s">
        <v>34</v>
      </c>
      <c r="B87" s="562" t="s">
        <v>650</v>
      </c>
      <c r="C87" s="574">
        <f t="shared" si="8"/>
        <v>1000</v>
      </c>
      <c r="D87" s="574"/>
      <c r="E87" s="574"/>
      <c r="F87" s="574"/>
      <c r="G87" s="574">
        <v>1000</v>
      </c>
      <c r="H87" s="574">
        <f t="shared" si="13"/>
        <v>0</v>
      </c>
      <c r="I87" s="574"/>
      <c r="J87" s="574"/>
      <c r="K87" s="574">
        <f t="shared" si="16"/>
        <v>1000</v>
      </c>
      <c r="L87" s="574">
        <v>0</v>
      </c>
      <c r="M87" s="574">
        <v>0</v>
      </c>
      <c r="N87" s="574">
        <v>0</v>
      </c>
      <c r="O87" s="574">
        <v>1000</v>
      </c>
      <c r="P87" s="574">
        <f t="shared" si="14"/>
        <v>0</v>
      </c>
      <c r="Q87" s="574">
        <v>0</v>
      </c>
      <c r="R87" s="574">
        <v>0</v>
      </c>
      <c r="S87" s="574">
        <v>0</v>
      </c>
      <c r="T87" s="743">
        <f t="shared" si="15"/>
        <v>100</v>
      </c>
      <c r="U87" s="743" t="str">
        <f t="shared" si="11"/>
        <v/>
      </c>
      <c r="V87" s="743" t="str">
        <f t="shared" si="11"/>
        <v/>
      </c>
      <c r="W87" s="743" t="str">
        <f t="shared" si="11"/>
        <v/>
      </c>
      <c r="X87" s="743">
        <f t="shared" si="11"/>
        <v>100</v>
      </c>
      <c r="Y87" s="743" t="str">
        <f t="shared" si="11"/>
        <v/>
      </c>
      <c r="Z87" s="743" t="str">
        <f t="shared" si="11"/>
        <v/>
      </c>
      <c r="AA87" s="743" t="str">
        <f t="shared" si="11"/>
        <v/>
      </c>
      <c r="AB87" s="715"/>
    </row>
    <row r="88" spans="1:28" s="32" customFormat="1" ht="18.75">
      <c r="A88" s="561" t="s">
        <v>35</v>
      </c>
      <c r="B88" s="562" t="s">
        <v>354</v>
      </c>
      <c r="C88" s="574">
        <f t="shared" si="8"/>
        <v>77387</v>
      </c>
      <c r="D88" s="574"/>
      <c r="E88" s="574">
        <v>77387</v>
      </c>
      <c r="F88" s="574"/>
      <c r="G88" s="574"/>
      <c r="H88" s="574">
        <f t="shared" si="13"/>
        <v>0</v>
      </c>
      <c r="I88" s="574"/>
      <c r="J88" s="574"/>
      <c r="K88" s="574">
        <f t="shared" si="16"/>
        <v>0</v>
      </c>
      <c r="L88" s="574"/>
      <c r="M88" s="574"/>
      <c r="N88" s="574"/>
      <c r="O88" s="574"/>
      <c r="P88" s="574">
        <f t="shared" si="14"/>
        <v>0</v>
      </c>
      <c r="Q88" s="574"/>
      <c r="R88" s="574"/>
      <c r="S88" s="574"/>
      <c r="T88" s="743" t="str">
        <f t="shared" si="15"/>
        <v/>
      </c>
      <c r="U88" s="743" t="str">
        <f t="shared" si="11"/>
        <v/>
      </c>
      <c r="V88" s="743" t="str">
        <f t="shared" si="11"/>
        <v/>
      </c>
      <c r="W88" s="743" t="str">
        <f t="shared" si="11"/>
        <v/>
      </c>
      <c r="X88" s="743" t="str">
        <f t="shared" si="11"/>
        <v/>
      </c>
      <c r="Y88" s="743" t="str">
        <f t="shared" si="11"/>
        <v/>
      </c>
      <c r="Z88" s="743" t="str">
        <f t="shared" si="11"/>
        <v/>
      </c>
      <c r="AA88" s="743" t="str">
        <f t="shared" si="11"/>
        <v/>
      </c>
      <c r="AB88" s="715"/>
    </row>
    <row r="89" spans="1:28" s="32" customFormat="1" ht="37.5">
      <c r="A89" s="561" t="s">
        <v>36</v>
      </c>
      <c r="B89" s="562" t="s">
        <v>347</v>
      </c>
      <c r="C89" s="574">
        <f t="shared" si="8"/>
        <v>34050</v>
      </c>
      <c r="D89" s="574"/>
      <c r="E89" s="574">
        <v>34050</v>
      </c>
      <c r="F89" s="574"/>
      <c r="G89" s="574"/>
      <c r="H89" s="574">
        <f t="shared" si="13"/>
        <v>0</v>
      </c>
      <c r="I89" s="574"/>
      <c r="J89" s="574"/>
      <c r="K89" s="574">
        <f t="shared" si="16"/>
        <v>0</v>
      </c>
      <c r="L89" s="574"/>
      <c r="M89" s="574"/>
      <c r="N89" s="574"/>
      <c r="O89" s="574"/>
      <c r="P89" s="574">
        <f t="shared" si="14"/>
        <v>0</v>
      </c>
      <c r="Q89" s="574"/>
      <c r="R89" s="574"/>
      <c r="S89" s="574"/>
      <c r="T89" s="743" t="str">
        <f t="shared" si="15"/>
        <v/>
      </c>
      <c r="U89" s="743" t="str">
        <f t="shared" si="11"/>
        <v/>
      </c>
      <c r="V89" s="743" t="str">
        <f t="shared" si="11"/>
        <v/>
      </c>
      <c r="W89" s="743" t="str">
        <f t="shared" si="11"/>
        <v/>
      </c>
      <c r="X89" s="743" t="str">
        <f t="shared" si="11"/>
        <v/>
      </c>
      <c r="Y89" s="743" t="str">
        <f t="shared" si="11"/>
        <v/>
      </c>
      <c r="Z89" s="743" t="str">
        <f t="shared" si="11"/>
        <v/>
      </c>
      <c r="AA89" s="743" t="str">
        <f t="shared" si="11"/>
        <v/>
      </c>
      <c r="AB89" s="715"/>
    </row>
    <row r="90" spans="1:28" s="9" customFormat="1" ht="37.5">
      <c r="A90" s="561" t="s">
        <v>61</v>
      </c>
      <c r="B90" s="562" t="s">
        <v>538</v>
      </c>
      <c r="C90" s="574">
        <f t="shared" si="8"/>
        <v>3036472</v>
      </c>
      <c r="D90" s="574"/>
      <c r="E90" s="574">
        <v>3036472</v>
      </c>
      <c r="F90" s="574"/>
      <c r="G90" s="574"/>
      <c r="H90" s="574">
        <f t="shared" si="13"/>
        <v>0</v>
      </c>
      <c r="I90" s="574"/>
      <c r="J90" s="574"/>
      <c r="K90" s="574">
        <f t="shared" si="16"/>
        <v>3326248.9021000001</v>
      </c>
      <c r="L90" s="574"/>
      <c r="M90" s="574">
        <v>3326248.9021000001</v>
      </c>
      <c r="N90" s="574"/>
      <c r="O90" s="574"/>
      <c r="P90" s="574">
        <f t="shared" si="14"/>
        <v>0</v>
      </c>
      <c r="Q90" s="574"/>
      <c r="R90" s="574"/>
      <c r="S90" s="574"/>
      <c r="T90" s="743">
        <f t="shared" si="15"/>
        <v>109.54321008393951</v>
      </c>
      <c r="U90" s="743" t="str">
        <f t="shared" si="11"/>
        <v/>
      </c>
      <c r="V90" s="743">
        <f t="shared" si="11"/>
        <v>109.54321008393951</v>
      </c>
      <c r="W90" s="743" t="str">
        <f t="shared" si="11"/>
        <v/>
      </c>
      <c r="X90" s="743" t="str">
        <f t="shared" si="11"/>
        <v/>
      </c>
      <c r="Y90" s="743" t="str">
        <f t="shared" si="11"/>
        <v/>
      </c>
      <c r="Z90" s="743" t="str">
        <f t="shared" si="11"/>
        <v/>
      </c>
      <c r="AA90" s="743" t="str">
        <f t="shared" si="11"/>
        <v/>
      </c>
      <c r="AB90" s="710"/>
    </row>
    <row r="91" spans="1:28" s="9" customFormat="1" ht="37.5">
      <c r="A91" s="610" t="s">
        <v>290</v>
      </c>
      <c r="B91" s="767" t="s">
        <v>345</v>
      </c>
      <c r="C91" s="630">
        <f t="shared" si="8"/>
        <v>0</v>
      </c>
      <c r="D91" s="630"/>
      <c r="E91" s="630"/>
      <c r="F91" s="630"/>
      <c r="G91" s="630"/>
      <c r="H91" s="630">
        <f t="shared" si="13"/>
        <v>0</v>
      </c>
      <c r="I91" s="630"/>
      <c r="J91" s="630"/>
      <c r="K91" s="630">
        <f t="shared" si="16"/>
        <v>3002874.775618</v>
      </c>
      <c r="L91" s="630"/>
      <c r="M91" s="630"/>
      <c r="N91" s="630"/>
      <c r="O91" s="630"/>
      <c r="P91" s="630">
        <f t="shared" si="14"/>
        <v>0</v>
      </c>
      <c r="Q91" s="630"/>
      <c r="R91" s="630"/>
      <c r="S91" s="630">
        <v>3002874.775618</v>
      </c>
      <c r="T91" s="747" t="str">
        <f t="shared" si="15"/>
        <v/>
      </c>
      <c r="U91" s="747" t="str">
        <f t="shared" si="15"/>
        <v/>
      </c>
      <c r="V91" s="747" t="str">
        <f t="shared" si="15"/>
        <v/>
      </c>
      <c r="W91" s="747" t="str">
        <f t="shared" si="15"/>
        <v/>
      </c>
      <c r="X91" s="747" t="str">
        <f t="shared" si="15"/>
        <v/>
      </c>
      <c r="Y91" s="747" t="str">
        <f t="shared" si="15"/>
        <v/>
      </c>
      <c r="Z91" s="747" t="str">
        <f t="shared" si="15"/>
        <v/>
      </c>
      <c r="AA91" s="747" t="str">
        <f t="shared" si="15"/>
        <v/>
      </c>
      <c r="AB91" s="710"/>
    </row>
    <row r="92" spans="1:28" ht="18.75">
      <c r="A92" s="9"/>
      <c r="B92" s="9"/>
      <c r="C92" s="9"/>
      <c r="D92" s="9"/>
      <c r="E92" s="9"/>
      <c r="F92" s="9"/>
      <c r="G92" s="9"/>
      <c r="H92" s="9"/>
      <c r="I92" s="9"/>
      <c r="J92" s="9"/>
      <c r="K92" s="9"/>
      <c r="L92" s="9"/>
      <c r="M92" s="9"/>
      <c r="N92" s="9"/>
      <c r="O92" s="9"/>
      <c r="P92" s="9"/>
      <c r="Q92" s="9"/>
      <c r="R92" s="9"/>
      <c r="S92" s="9"/>
      <c r="T92" s="9"/>
      <c r="U92" s="9"/>
      <c r="V92" s="9"/>
      <c r="W92" s="9"/>
      <c r="X92" s="9"/>
      <c r="Y92" s="9"/>
      <c r="Z92" s="9"/>
      <c r="AA92" s="9"/>
    </row>
    <row r="93" spans="1:28" ht="18.75">
      <c r="A93" s="9"/>
      <c r="B93" s="9"/>
      <c r="C93" s="9"/>
      <c r="D93" s="9"/>
      <c r="E93" s="9"/>
      <c r="F93" s="9"/>
      <c r="G93" s="9"/>
      <c r="H93" s="9"/>
      <c r="I93" s="9"/>
      <c r="J93" s="9"/>
      <c r="K93" s="9"/>
      <c r="L93" s="9"/>
      <c r="M93" s="9"/>
      <c r="N93" s="9"/>
      <c r="O93" s="9"/>
      <c r="P93" s="9"/>
      <c r="Q93" s="9"/>
      <c r="R93" s="9"/>
      <c r="S93" s="9"/>
      <c r="T93" s="9"/>
      <c r="U93" s="9"/>
      <c r="V93" s="9"/>
      <c r="W93" s="9"/>
      <c r="X93" s="9"/>
      <c r="Y93" s="9"/>
      <c r="Z93" s="9"/>
      <c r="AA93" s="9"/>
    </row>
    <row r="94" spans="1:28" ht="22.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row>
    <row r="95" spans="1:28" ht="18.75">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6" spans="1:28" ht="18.75">
      <c r="A96" s="9"/>
      <c r="B96" s="9"/>
      <c r="C96" s="9"/>
      <c r="D96" s="9"/>
      <c r="E96" s="9"/>
      <c r="F96" s="9"/>
      <c r="G96" s="9"/>
      <c r="H96" s="9"/>
      <c r="I96" s="9"/>
      <c r="J96" s="9"/>
      <c r="K96" s="9"/>
      <c r="L96" s="9"/>
      <c r="M96" s="9"/>
      <c r="N96" s="9"/>
      <c r="O96" s="9"/>
      <c r="P96" s="9"/>
      <c r="Q96" s="9"/>
      <c r="R96" s="9"/>
      <c r="S96" s="9"/>
      <c r="T96" s="9"/>
      <c r="U96" s="9"/>
      <c r="V96" s="9"/>
      <c r="W96" s="9"/>
      <c r="X96" s="9"/>
      <c r="Y96" s="9"/>
      <c r="Z96" s="9"/>
      <c r="AA96" s="9"/>
    </row>
    <row r="97" spans="1:27" ht="18.75">
      <c r="A97" s="9"/>
      <c r="B97" s="9"/>
      <c r="C97" s="9"/>
      <c r="D97" s="9"/>
      <c r="E97" s="9"/>
      <c r="F97" s="9"/>
      <c r="G97" s="9"/>
      <c r="H97" s="9"/>
      <c r="I97" s="9"/>
      <c r="J97" s="9"/>
      <c r="K97" s="9"/>
      <c r="L97" s="9"/>
      <c r="M97" s="9"/>
      <c r="N97" s="9"/>
      <c r="O97" s="9"/>
      <c r="P97" s="9"/>
      <c r="Q97" s="9"/>
      <c r="R97" s="9"/>
      <c r="S97" s="9"/>
      <c r="T97" s="9"/>
      <c r="U97" s="9"/>
      <c r="V97" s="9"/>
      <c r="W97" s="9"/>
      <c r="X97" s="9"/>
      <c r="Y97" s="9"/>
      <c r="Z97" s="9"/>
      <c r="AA97" s="9"/>
    </row>
    <row r="98" spans="1:27" ht="18.75">
      <c r="A98" s="9"/>
      <c r="B98" s="9"/>
      <c r="C98" s="9"/>
      <c r="D98" s="9"/>
      <c r="E98" s="9"/>
      <c r="F98" s="9"/>
      <c r="G98" s="9"/>
      <c r="H98" s="9"/>
      <c r="I98" s="9"/>
      <c r="J98" s="9"/>
      <c r="K98" s="9"/>
      <c r="L98" s="9"/>
      <c r="M98" s="9"/>
      <c r="N98" s="9"/>
      <c r="O98" s="9"/>
      <c r="P98" s="9"/>
      <c r="Q98" s="9"/>
      <c r="R98" s="9"/>
      <c r="S98" s="9"/>
      <c r="T98" s="9"/>
      <c r="U98" s="9"/>
      <c r="V98" s="9"/>
      <c r="W98" s="9"/>
      <c r="X98" s="9"/>
      <c r="Y98" s="9"/>
      <c r="Z98" s="9"/>
      <c r="AA98" s="9"/>
    </row>
  </sheetData>
  <mergeCells count="34">
    <mergeCell ref="S9:S12"/>
    <mergeCell ref="T9:T12"/>
    <mergeCell ref="U9:U12"/>
    <mergeCell ref="V9:V12"/>
    <mergeCell ref="A3:AA3"/>
    <mergeCell ref="A4:AA4"/>
    <mergeCell ref="A8:A12"/>
    <mergeCell ref="C8:J8"/>
    <mergeCell ref="K8:S8"/>
    <mergeCell ref="T8:AA8"/>
    <mergeCell ref="C9:C12"/>
    <mergeCell ref="D9:D12"/>
    <mergeCell ref="E9:E12"/>
    <mergeCell ref="F9:F12"/>
    <mergeCell ref="G9:G12"/>
    <mergeCell ref="H9:J9"/>
    <mergeCell ref="H10:H12"/>
    <mergeCell ref="I10:I12"/>
    <mergeCell ref="J10:J12"/>
    <mergeCell ref="P10:P12"/>
    <mergeCell ref="Q10:Q12"/>
    <mergeCell ref="N9:N12"/>
    <mergeCell ref="O9:O12"/>
    <mergeCell ref="P9:R9"/>
    <mergeCell ref="K9:K12"/>
    <mergeCell ref="L9:L12"/>
    <mergeCell ref="M9:M12"/>
    <mergeCell ref="R10:R12"/>
    <mergeCell ref="Z10:Z12"/>
    <mergeCell ref="AA10:AA12"/>
    <mergeCell ref="W9:W12"/>
    <mergeCell ref="X9:X12"/>
    <mergeCell ref="Y9:AA9"/>
    <mergeCell ref="Y10:Y12"/>
  </mergeCells>
  <printOptions horizontalCentered="1"/>
  <pageMargins left="0.24" right="0.23" top="0.44" bottom="0.23" header="0.28000000000000003" footer="0.17"/>
  <pageSetup paperSize="8" scale="57" fitToHeight="5" orientation="landscape" r:id="rId1"/>
  <headerFooter alignWithMargins="0">
    <oddHeader xml:space="preserve">&amp;C&amp;"Times New Roman,Regular"            &amp;".VnTime,Regular"                                                                                                                 </oddHeader>
    <oddFooter>&amp;C&amp;".VnTime,Italic"&amp;8</oddFooter>
  </headerFooter>
  <drawing r:id="rId2"/>
</worksheet>
</file>

<file path=xl/worksheets/sheet2.xml><?xml version="1.0" encoding="utf-8"?>
<worksheet xmlns="http://schemas.openxmlformats.org/spreadsheetml/2006/main" xmlns:r="http://schemas.openxmlformats.org/officeDocument/2006/relationships">
  <sheetPr>
    <tabColor rgb="FF00B0F0"/>
    <pageSetUpPr fitToPage="1"/>
  </sheetPr>
  <dimension ref="A1:M90"/>
  <sheetViews>
    <sheetView zoomScale="70" zoomScaleNormal="70" workbookViewId="0">
      <pane xSplit="2" ySplit="12" topLeftCell="C28" activePane="bottomRight" state="frozen"/>
      <selection activeCell="P16" sqref="P16"/>
      <selection pane="topRight" activeCell="P16" sqref="P16"/>
      <selection pane="bottomLeft" activeCell="P16" sqref="P16"/>
      <selection pane="bottomRight" activeCell="C11" sqref="C11"/>
    </sheetView>
  </sheetViews>
  <sheetFormatPr defaultColWidth="9" defaultRowHeight="15.75"/>
  <cols>
    <col min="1" max="1" width="5.125" style="4" customWidth="1"/>
    <col min="2" max="2" width="66.875" style="4" customWidth="1"/>
    <col min="3" max="3" width="9.75" style="4" customWidth="1"/>
    <col min="4" max="5" width="11" style="4" customWidth="1"/>
    <col min="6" max="6" width="11.375" style="4" customWidth="1"/>
    <col min="7" max="7" width="10.75" style="4" customWidth="1"/>
    <col min="8" max="8" width="10.625" style="4" customWidth="1"/>
    <col min="9" max="9" width="11.375" style="4" customWidth="1"/>
    <col min="10" max="10" width="13.625" style="4" customWidth="1"/>
    <col min="11" max="16384" width="9" style="4"/>
  </cols>
  <sheetData>
    <row r="1" spans="1:12" ht="24.75" customHeight="1">
      <c r="A1" s="1"/>
      <c r="B1" s="1"/>
      <c r="C1" s="320"/>
      <c r="D1" s="320">
        <v>6</v>
      </c>
      <c r="E1" s="89"/>
      <c r="F1" s="89"/>
      <c r="G1" s="89"/>
      <c r="H1" s="89"/>
      <c r="I1" s="89"/>
      <c r="J1" s="39"/>
    </row>
    <row r="2" spans="1:12" ht="12.75" hidden="1" customHeight="1">
      <c r="A2" s="5"/>
      <c r="B2" s="5"/>
      <c r="C2" s="2"/>
      <c r="D2" s="2"/>
      <c r="E2" s="2"/>
      <c r="F2" s="2"/>
      <c r="G2" s="2"/>
      <c r="H2" s="2"/>
      <c r="I2" s="2"/>
      <c r="J2" s="2"/>
    </row>
    <row r="3" spans="1:12" ht="27.75" customHeight="1">
      <c r="A3" s="5"/>
      <c r="B3" s="5"/>
      <c r="C3" s="2"/>
      <c r="D3" s="2"/>
      <c r="E3" s="2"/>
      <c r="F3" s="2"/>
      <c r="G3" s="2"/>
      <c r="H3" s="819" t="s">
        <v>163</v>
      </c>
      <c r="I3" s="819"/>
      <c r="J3" s="819"/>
    </row>
    <row r="4" spans="1:12" ht="21" customHeight="1">
      <c r="A4" s="3" t="s">
        <v>372</v>
      </c>
      <c r="B4" s="3"/>
      <c r="C4" s="6"/>
      <c r="D4" s="6"/>
      <c r="E4" s="6"/>
      <c r="F4" s="6"/>
      <c r="G4" s="6"/>
      <c r="H4" s="6"/>
      <c r="I4" s="6"/>
      <c r="J4" s="6"/>
    </row>
    <row r="5" spans="1:12" ht="21" customHeight="1">
      <c r="A5" s="3" t="s">
        <v>435</v>
      </c>
      <c r="B5" s="3"/>
      <c r="C5" s="2"/>
      <c r="D5" s="2"/>
      <c r="E5" s="2"/>
      <c r="F5" s="2"/>
      <c r="G5" s="2"/>
      <c r="H5" s="2"/>
      <c r="I5" s="2"/>
      <c r="J5" s="2"/>
    </row>
    <row r="6" spans="1:12" ht="19.5" customHeight="1" thickBot="1">
      <c r="A6" s="8"/>
      <c r="B6" s="8"/>
      <c r="C6" s="9"/>
      <c r="D6" s="9"/>
      <c r="E6" s="8"/>
      <c r="F6" s="8"/>
      <c r="G6" s="8"/>
      <c r="H6" s="8"/>
      <c r="I6" s="818" t="s">
        <v>187</v>
      </c>
      <c r="J6" s="818"/>
    </row>
    <row r="7" spans="1:12" s="10" customFormat="1" ht="23.25" customHeight="1">
      <c r="A7" s="28"/>
      <c r="B7" s="64"/>
      <c r="C7" s="90" t="s">
        <v>182</v>
      </c>
      <c r="D7" s="806" t="s">
        <v>127</v>
      </c>
      <c r="E7" s="807"/>
      <c r="F7" s="807"/>
      <c r="G7" s="807"/>
      <c r="H7" s="807"/>
      <c r="I7" s="808"/>
      <c r="J7" s="809" t="s">
        <v>381</v>
      </c>
    </row>
    <row r="8" spans="1:12" s="10" customFormat="1" ht="23.25" customHeight="1">
      <c r="A8" s="108" t="s">
        <v>13</v>
      </c>
      <c r="B8" s="105"/>
      <c r="C8" s="12" t="s">
        <v>69</v>
      </c>
      <c r="D8" s="12" t="s">
        <v>51</v>
      </c>
      <c r="E8" s="12" t="s">
        <v>97</v>
      </c>
      <c r="F8" s="12" t="s">
        <v>97</v>
      </c>
      <c r="G8" s="12" t="s">
        <v>97</v>
      </c>
      <c r="H8" s="12" t="s">
        <v>97</v>
      </c>
      <c r="I8" s="12" t="s">
        <v>97</v>
      </c>
      <c r="J8" s="810"/>
    </row>
    <row r="9" spans="1:12" s="10" customFormat="1" ht="23.25" customHeight="1">
      <c r="A9" s="108" t="s">
        <v>14</v>
      </c>
      <c r="B9" s="105" t="s">
        <v>11</v>
      </c>
      <c r="C9" s="12" t="s">
        <v>95</v>
      </c>
      <c r="D9" s="12" t="s">
        <v>95</v>
      </c>
      <c r="E9" s="12" t="s">
        <v>98</v>
      </c>
      <c r="F9" s="12" t="s">
        <v>98</v>
      </c>
      <c r="G9" s="12" t="s">
        <v>98</v>
      </c>
      <c r="H9" s="12" t="s">
        <v>98</v>
      </c>
      <c r="I9" s="12" t="s">
        <v>98</v>
      </c>
      <c r="J9" s="810"/>
      <c r="L9" s="12" t="s">
        <v>12</v>
      </c>
    </row>
    <row r="10" spans="1:12" s="10" customFormat="1" ht="23.25" customHeight="1">
      <c r="A10" s="108" t="s">
        <v>14</v>
      </c>
      <c r="B10" s="105"/>
      <c r="C10" s="12" t="s">
        <v>96</v>
      </c>
      <c r="D10" s="12" t="s">
        <v>96</v>
      </c>
      <c r="E10" s="12" t="s">
        <v>99</v>
      </c>
      <c r="F10" s="12" t="s">
        <v>100</v>
      </c>
      <c r="G10" s="12" t="s">
        <v>101</v>
      </c>
      <c r="H10" s="12" t="s">
        <v>58</v>
      </c>
      <c r="I10" s="12" t="s">
        <v>71</v>
      </c>
      <c r="J10" s="810"/>
      <c r="L10" s="82"/>
    </row>
    <row r="11" spans="1:12" s="10" customFormat="1" ht="23.25" customHeight="1">
      <c r="A11" s="29"/>
      <c r="B11" s="65"/>
      <c r="C11" s="13" t="s">
        <v>57</v>
      </c>
      <c r="D11" s="13"/>
      <c r="E11" s="13"/>
      <c r="F11" s="13"/>
      <c r="G11" s="13"/>
      <c r="H11" s="13"/>
      <c r="I11" s="13"/>
      <c r="J11" s="811"/>
    </row>
    <row r="12" spans="1:12" s="36" customFormat="1" ht="15" customHeight="1">
      <c r="A12" s="33" t="s">
        <v>15</v>
      </c>
      <c r="B12" s="66" t="s">
        <v>16</v>
      </c>
      <c r="C12" s="34">
        <v>1</v>
      </c>
      <c r="D12" s="34">
        <f t="shared" ref="D12:J12" si="0">C12+1</f>
        <v>2</v>
      </c>
      <c r="E12" s="34">
        <f t="shared" si="0"/>
        <v>3</v>
      </c>
      <c r="F12" s="34">
        <f t="shared" si="0"/>
        <v>4</v>
      </c>
      <c r="G12" s="34">
        <f t="shared" si="0"/>
        <v>5</v>
      </c>
      <c r="H12" s="34">
        <f t="shared" si="0"/>
        <v>6</v>
      </c>
      <c r="I12" s="34">
        <f t="shared" si="0"/>
        <v>7</v>
      </c>
      <c r="J12" s="94">
        <f t="shared" si="0"/>
        <v>8</v>
      </c>
    </row>
    <row r="13" spans="1:12" s="9" customFormat="1" ht="22.5" customHeight="1">
      <c r="A13" s="11" t="s">
        <v>15</v>
      </c>
      <c r="B13" s="72" t="s">
        <v>154</v>
      </c>
      <c r="C13" s="15"/>
      <c r="D13" s="15"/>
      <c r="E13" s="15"/>
      <c r="F13" s="15"/>
      <c r="G13" s="15"/>
      <c r="H13" s="15"/>
      <c r="I13" s="15"/>
      <c r="J13" s="97"/>
    </row>
    <row r="14" spans="1:12" s="9" customFormat="1" ht="22.5" customHeight="1">
      <c r="A14" s="11" t="s">
        <v>16</v>
      </c>
      <c r="B14" s="72" t="s">
        <v>259</v>
      </c>
      <c r="C14" s="15"/>
      <c r="D14" s="15"/>
      <c r="E14" s="15"/>
      <c r="F14" s="15"/>
      <c r="G14" s="15"/>
      <c r="H14" s="15"/>
      <c r="I14" s="15"/>
      <c r="J14" s="97"/>
    </row>
    <row r="15" spans="1:12" s="9" customFormat="1" ht="22.5" customHeight="1">
      <c r="A15" s="11"/>
      <c r="B15" s="71" t="s">
        <v>361</v>
      </c>
      <c r="C15" s="15"/>
      <c r="D15" s="15"/>
      <c r="E15" s="15"/>
      <c r="F15" s="15"/>
      <c r="G15" s="15"/>
      <c r="H15" s="15"/>
      <c r="I15" s="15"/>
      <c r="J15" s="97"/>
    </row>
    <row r="16" spans="1:12" s="9" customFormat="1" ht="22.5" customHeight="1">
      <c r="A16" s="11"/>
      <c r="B16" s="71" t="s">
        <v>306</v>
      </c>
      <c r="C16" s="15"/>
      <c r="D16" s="15"/>
      <c r="E16" s="15"/>
      <c r="F16" s="15"/>
      <c r="G16" s="15"/>
      <c r="H16" s="15"/>
      <c r="I16" s="15"/>
      <c r="J16" s="97"/>
    </row>
    <row r="17" spans="1:13" s="9" customFormat="1" ht="22.5" customHeight="1">
      <c r="A17" s="11"/>
      <c r="B17" s="71" t="s">
        <v>307</v>
      </c>
      <c r="C17" s="15"/>
      <c r="D17" s="15"/>
      <c r="E17" s="15"/>
      <c r="F17" s="15"/>
      <c r="G17" s="15"/>
      <c r="H17" s="15"/>
      <c r="I17" s="15"/>
      <c r="J17" s="97"/>
    </row>
    <row r="18" spans="1:13" s="32" customFormat="1" ht="22.5" customHeight="1">
      <c r="A18" s="11" t="s">
        <v>32</v>
      </c>
      <c r="B18" s="72" t="s">
        <v>122</v>
      </c>
      <c r="C18" s="16"/>
      <c r="D18" s="16"/>
      <c r="E18" s="16"/>
      <c r="F18" s="16"/>
      <c r="G18" s="16"/>
      <c r="H18" s="16"/>
      <c r="I18" s="16"/>
      <c r="J18" s="98"/>
    </row>
    <row r="19" spans="1:13" s="9" customFormat="1" ht="22.5" customHeight="1">
      <c r="A19" s="11"/>
      <c r="B19" s="71" t="s">
        <v>362</v>
      </c>
      <c r="C19" s="15"/>
      <c r="D19" s="15"/>
      <c r="E19" s="15"/>
      <c r="F19" s="15"/>
      <c r="G19" s="15"/>
      <c r="H19" s="15"/>
      <c r="I19" s="15"/>
      <c r="J19" s="97"/>
    </row>
    <row r="20" spans="1:13" s="9" customFormat="1" ht="22.5" customHeight="1">
      <c r="A20" s="11"/>
      <c r="B20" s="71" t="s">
        <v>363</v>
      </c>
      <c r="C20" s="15"/>
      <c r="D20" s="15"/>
      <c r="E20" s="15"/>
      <c r="F20" s="15"/>
      <c r="G20" s="15"/>
      <c r="H20" s="15"/>
      <c r="I20" s="15"/>
      <c r="J20" s="97"/>
    </row>
    <row r="21" spans="1:13" s="9" customFormat="1" ht="22.5" customHeight="1">
      <c r="A21" s="11"/>
      <c r="B21" s="71" t="s">
        <v>209</v>
      </c>
      <c r="C21" s="15"/>
      <c r="D21" s="15"/>
      <c r="E21" s="15"/>
      <c r="F21" s="15"/>
      <c r="G21" s="15"/>
      <c r="H21" s="15"/>
      <c r="I21" s="15"/>
      <c r="J21" s="97"/>
    </row>
    <row r="22" spans="1:13" s="9" customFormat="1" ht="22.5" customHeight="1">
      <c r="A22" s="11"/>
      <c r="B22" s="71" t="s">
        <v>210</v>
      </c>
      <c r="C22" s="15"/>
      <c r="D22" s="15"/>
      <c r="E22" s="15"/>
      <c r="F22" s="15"/>
      <c r="G22" s="15"/>
      <c r="H22" s="15"/>
      <c r="I22" s="15"/>
      <c r="J22" s="97"/>
    </row>
    <row r="23" spans="1:13" s="32" customFormat="1" ht="22.5" customHeight="1">
      <c r="A23" s="11" t="s">
        <v>33</v>
      </c>
      <c r="B23" s="72" t="s">
        <v>123</v>
      </c>
      <c r="C23" s="37"/>
      <c r="D23" s="37"/>
      <c r="E23" s="37"/>
      <c r="F23" s="37"/>
      <c r="G23" s="37"/>
      <c r="H23" s="37"/>
      <c r="I23" s="37"/>
      <c r="J23" s="99"/>
    </row>
    <row r="24" spans="1:13" s="9" customFormat="1" ht="22.5" customHeight="1">
      <c r="A24" s="11"/>
      <c r="B24" s="71" t="s">
        <v>362</v>
      </c>
      <c r="C24" s="15"/>
      <c r="D24" s="15"/>
      <c r="E24" s="15"/>
      <c r="F24" s="15"/>
      <c r="G24" s="15"/>
      <c r="H24" s="15"/>
      <c r="I24" s="15"/>
      <c r="J24" s="97"/>
    </row>
    <row r="25" spans="1:13" s="9" customFormat="1" ht="22.5" customHeight="1">
      <c r="A25" s="11"/>
      <c r="B25" s="71" t="s">
        <v>363</v>
      </c>
      <c r="C25" s="15"/>
      <c r="D25" s="15"/>
      <c r="E25" s="15"/>
      <c r="F25" s="15"/>
      <c r="G25" s="15"/>
      <c r="H25" s="15"/>
      <c r="I25" s="15"/>
      <c r="J25" s="97"/>
    </row>
    <row r="26" spans="1:13" s="32" customFormat="1" ht="22.5" customHeight="1">
      <c r="A26" s="11" t="s">
        <v>34</v>
      </c>
      <c r="B26" s="72" t="s">
        <v>211</v>
      </c>
      <c r="C26" s="37"/>
      <c r="D26" s="37"/>
      <c r="E26" s="37"/>
      <c r="F26" s="37"/>
      <c r="G26" s="37"/>
      <c r="H26" s="37"/>
      <c r="I26" s="37"/>
      <c r="J26" s="99"/>
      <c r="M26" s="14" t="s">
        <v>85</v>
      </c>
    </row>
    <row r="27" spans="1:13" s="9" customFormat="1" ht="22.5" customHeight="1">
      <c r="A27" s="11"/>
      <c r="B27" s="71" t="s">
        <v>362</v>
      </c>
      <c r="C27" s="15"/>
      <c r="D27" s="15"/>
      <c r="E27" s="15"/>
      <c r="F27" s="15"/>
      <c r="G27" s="15"/>
      <c r="H27" s="15"/>
      <c r="I27" s="15"/>
      <c r="J27" s="97"/>
    </row>
    <row r="28" spans="1:13" s="9" customFormat="1" ht="22.5" customHeight="1">
      <c r="A28" s="11"/>
      <c r="B28" s="71" t="s">
        <v>363</v>
      </c>
      <c r="C28" s="15"/>
      <c r="D28" s="15"/>
      <c r="E28" s="15"/>
      <c r="F28" s="15"/>
      <c r="G28" s="15"/>
      <c r="H28" s="15"/>
      <c r="I28" s="15"/>
      <c r="J28" s="97"/>
    </row>
    <row r="29" spans="1:13" s="32" customFormat="1" ht="22.5" customHeight="1">
      <c r="A29" s="11" t="s">
        <v>35</v>
      </c>
      <c r="B29" s="72" t="s">
        <v>394</v>
      </c>
      <c r="C29" s="37"/>
      <c r="D29" s="37"/>
      <c r="E29" s="37"/>
      <c r="F29" s="37"/>
      <c r="G29" s="37"/>
      <c r="H29" s="37"/>
      <c r="I29" s="37"/>
      <c r="J29" s="99"/>
      <c r="M29" s="14" t="s">
        <v>85</v>
      </c>
    </row>
    <row r="30" spans="1:13" s="9" customFormat="1" ht="22.5" customHeight="1">
      <c r="A30" s="11"/>
      <c r="B30" s="71" t="s">
        <v>362</v>
      </c>
      <c r="C30" s="15"/>
      <c r="D30" s="15"/>
      <c r="E30" s="15"/>
      <c r="F30" s="15"/>
      <c r="G30" s="15"/>
      <c r="H30" s="15"/>
      <c r="I30" s="15"/>
      <c r="J30" s="97"/>
    </row>
    <row r="31" spans="1:13" s="9" customFormat="1" ht="22.5" customHeight="1">
      <c r="A31" s="11"/>
      <c r="B31" s="71" t="s">
        <v>363</v>
      </c>
      <c r="C31" s="15"/>
      <c r="D31" s="15"/>
      <c r="E31" s="15"/>
      <c r="F31" s="15"/>
      <c r="G31" s="15"/>
      <c r="H31" s="15"/>
      <c r="I31" s="15"/>
      <c r="J31" s="97"/>
    </row>
    <row r="32" spans="1:13" s="9" customFormat="1" ht="22.5" customHeight="1">
      <c r="A32" s="11" t="s">
        <v>37</v>
      </c>
      <c r="B32" s="72" t="s">
        <v>260</v>
      </c>
      <c r="C32" s="15"/>
      <c r="D32" s="15"/>
      <c r="E32" s="15"/>
      <c r="F32" s="15"/>
      <c r="G32" s="15"/>
      <c r="H32" s="15"/>
      <c r="I32" s="15"/>
      <c r="J32" s="97"/>
    </row>
    <row r="33" spans="1:10" s="9" customFormat="1" ht="22.5" customHeight="1">
      <c r="A33" s="11"/>
      <c r="B33" s="71" t="s">
        <v>364</v>
      </c>
      <c r="C33" s="15"/>
      <c r="D33" s="15"/>
      <c r="E33" s="15"/>
      <c r="F33" s="15"/>
      <c r="G33" s="15"/>
      <c r="H33" s="15"/>
      <c r="I33" s="15"/>
      <c r="J33" s="97"/>
    </row>
    <row r="34" spans="1:10" s="9" customFormat="1" ht="22.5" customHeight="1">
      <c r="A34" s="11"/>
      <c r="B34" s="71" t="s">
        <v>365</v>
      </c>
      <c r="C34" s="15"/>
      <c r="D34" s="15"/>
      <c r="E34" s="15"/>
      <c r="F34" s="15"/>
      <c r="G34" s="15"/>
      <c r="H34" s="15"/>
      <c r="I34" s="15"/>
      <c r="J34" s="97"/>
    </row>
    <row r="35" spans="1:10" s="32" customFormat="1" ht="22.5" customHeight="1">
      <c r="A35" s="11" t="s">
        <v>32</v>
      </c>
      <c r="B35" s="72" t="s">
        <v>91</v>
      </c>
      <c r="C35" s="16"/>
      <c r="D35" s="16"/>
      <c r="E35" s="16"/>
      <c r="F35" s="16"/>
      <c r="G35" s="16"/>
      <c r="H35" s="16"/>
      <c r="I35" s="16"/>
      <c r="J35" s="98"/>
    </row>
    <row r="36" spans="1:10" s="9" customFormat="1" ht="22.5" customHeight="1">
      <c r="A36" s="30"/>
      <c r="B36" s="71" t="s">
        <v>366</v>
      </c>
      <c r="C36" s="16"/>
      <c r="D36" s="16"/>
      <c r="E36" s="16"/>
      <c r="F36" s="16"/>
      <c r="G36" s="16"/>
      <c r="H36" s="16"/>
      <c r="I36" s="16"/>
      <c r="J36" s="98"/>
    </row>
    <row r="37" spans="1:10" s="9" customFormat="1" ht="22.5" customHeight="1">
      <c r="A37" s="30"/>
      <c r="B37" s="71" t="s">
        <v>367</v>
      </c>
      <c r="C37" s="16"/>
      <c r="D37" s="16"/>
      <c r="E37" s="16"/>
      <c r="F37" s="16"/>
      <c r="G37" s="16"/>
      <c r="H37" s="16"/>
      <c r="I37" s="16"/>
      <c r="J37" s="98"/>
    </row>
    <row r="38" spans="1:10" s="32" customFormat="1" ht="22.5" customHeight="1">
      <c r="A38" s="11" t="s">
        <v>33</v>
      </c>
      <c r="B38" s="72" t="s">
        <v>68</v>
      </c>
      <c r="C38" s="37"/>
      <c r="D38" s="37"/>
      <c r="E38" s="37"/>
      <c r="F38" s="37"/>
      <c r="G38" s="37"/>
      <c r="H38" s="37"/>
      <c r="I38" s="37"/>
      <c r="J38" s="99"/>
    </row>
    <row r="39" spans="1:10" s="9" customFormat="1" ht="22.5" customHeight="1">
      <c r="A39" s="30"/>
      <c r="B39" s="71" t="s">
        <v>366</v>
      </c>
      <c r="C39" s="15"/>
      <c r="D39" s="15"/>
      <c r="E39" s="15"/>
      <c r="F39" s="15"/>
      <c r="G39" s="15"/>
      <c r="H39" s="15"/>
      <c r="I39" s="15"/>
      <c r="J39" s="97"/>
    </row>
    <row r="40" spans="1:10" s="9" customFormat="1" ht="22.5" customHeight="1">
      <c r="A40" s="30"/>
      <c r="B40" s="71" t="s">
        <v>367</v>
      </c>
      <c r="C40" s="15"/>
      <c r="D40" s="15"/>
      <c r="E40" s="15"/>
      <c r="F40" s="15"/>
      <c r="G40" s="15"/>
      <c r="H40" s="15"/>
      <c r="I40" s="15"/>
      <c r="J40" s="97"/>
    </row>
    <row r="41" spans="1:10" s="9" customFormat="1" ht="22.5" customHeight="1">
      <c r="A41" s="78" t="s">
        <v>24</v>
      </c>
      <c r="B41" s="70" t="s">
        <v>177</v>
      </c>
      <c r="C41" s="15"/>
      <c r="D41" s="15"/>
      <c r="E41" s="15"/>
      <c r="F41" s="15"/>
      <c r="G41" s="15"/>
      <c r="H41" s="15"/>
      <c r="I41" s="15"/>
      <c r="J41" s="97"/>
    </row>
    <row r="42" spans="1:10" s="9" customFormat="1" ht="22.5" customHeight="1">
      <c r="A42" s="78" t="s">
        <v>24</v>
      </c>
      <c r="B42" s="70" t="s">
        <v>184</v>
      </c>
      <c r="C42" s="15"/>
      <c r="D42" s="15"/>
      <c r="E42" s="15"/>
      <c r="F42" s="15"/>
      <c r="G42" s="15"/>
      <c r="H42" s="15"/>
      <c r="I42" s="15"/>
      <c r="J42" s="97"/>
    </row>
    <row r="43" spans="1:10" s="9" customFormat="1" ht="22.5" customHeight="1">
      <c r="A43" s="11" t="s">
        <v>63</v>
      </c>
      <c r="B43" s="72" t="s">
        <v>261</v>
      </c>
      <c r="C43" s="15"/>
      <c r="D43" s="15"/>
      <c r="E43" s="15"/>
      <c r="F43" s="15"/>
      <c r="G43" s="15"/>
      <c r="H43" s="15"/>
      <c r="I43" s="15"/>
      <c r="J43" s="97"/>
    </row>
    <row r="44" spans="1:10" s="9" customFormat="1" ht="22.5" customHeight="1">
      <c r="A44" s="11"/>
      <c r="B44" s="71" t="s">
        <v>364</v>
      </c>
      <c r="C44" s="15"/>
      <c r="D44" s="15"/>
      <c r="E44" s="15"/>
      <c r="F44" s="15"/>
      <c r="G44" s="15"/>
      <c r="H44" s="15"/>
      <c r="I44" s="15"/>
      <c r="J44" s="97"/>
    </row>
    <row r="45" spans="1:10" s="9" customFormat="1" ht="22.5" customHeight="1">
      <c r="A45" s="11"/>
      <c r="B45" s="71" t="s">
        <v>368</v>
      </c>
      <c r="C45" s="15"/>
      <c r="D45" s="15"/>
      <c r="E45" s="15"/>
      <c r="F45" s="15"/>
      <c r="G45" s="15"/>
      <c r="H45" s="15"/>
      <c r="I45" s="15"/>
      <c r="J45" s="97"/>
    </row>
    <row r="46" spans="1:10" s="32" customFormat="1" ht="22.5" customHeight="1">
      <c r="A46" s="11" t="s">
        <v>32</v>
      </c>
      <c r="B46" s="72" t="s">
        <v>380</v>
      </c>
      <c r="C46" s="16"/>
      <c r="D46" s="16"/>
      <c r="E46" s="16"/>
      <c r="F46" s="16"/>
      <c r="G46" s="16"/>
      <c r="H46" s="16"/>
      <c r="I46" s="16"/>
      <c r="J46" s="98"/>
    </row>
    <row r="47" spans="1:10" s="9" customFormat="1" ht="22.5" customHeight="1">
      <c r="A47" s="30"/>
      <c r="B47" s="71" t="s">
        <v>366</v>
      </c>
      <c r="C47" s="16"/>
      <c r="D47" s="16"/>
      <c r="E47" s="16"/>
      <c r="F47" s="16"/>
      <c r="G47" s="16"/>
      <c r="H47" s="16"/>
      <c r="I47" s="16"/>
      <c r="J47" s="98"/>
    </row>
    <row r="48" spans="1:10" s="9" customFormat="1" ht="22.5" customHeight="1">
      <c r="A48" s="30"/>
      <c r="B48" s="71" t="s">
        <v>369</v>
      </c>
      <c r="C48" s="16"/>
      <c r="D48" s="16"/>
      <c r="E48" s="16"/>
      <c r="F48" s="16"/>
      <c r="G48" s="16"/>
      <c r="H48" s="16"/>
      <c r="I48" s="16"/>
      <c r="J48" s="98"/>
    </row>
    <row r="49" spans="1:13" s="32" customFormat="1" ht="22.5" customHeight="1">
      <c r="A49" s="11" t="s">
        <v>33</v>
      </c>
      <c r="B49" s="72" t="s">
        <v>42</v>
      </c>
      <c r="C49" s="37"/>
      <c r="D49" s="37"/>
      <c r="E49" s="37"/>
      <c r="F49" s="37"/>
      <c r="G49" s="37"/>
      <c r="H49" s="37"/>
      <c r="I49" s="37"/>
      <c r="J49" s="99"/>
    </row>
    <row r="50" spans="1:13" s="9" customFormat="1" ht="22.5" customHeight="1">
      <c r="A50" s="30"/>
      <c r="B50" s="71" t="s">
        <v>366</v>
      </c>
      <c r="C50" s="15"/>
      <c r="D50" s="15"/>
      <c r="E50" s="15"/>
      <c r="F50" s="15"/>
      <c r="G50" s="15"/>
      <c r="H50" s="15"/>
      <c r="I50" s="15"/>
      <c r="J50" s="97"/>
    </row>
    <row r="51" spans="1:13" s="9" customFormat="1" ht="22.5" customHeight="1">
      <c r="A51" s="30"/>
      <c r="B51" s="71" t="s">
        <v>369</v>
      </c>
      <c r="C51" s="15"/>
      <c r="D51" s="15"/>
      <c r="E51" s="15"/>
      <c r="F51" s="15"/>
      <c r="G51" s="15"/>
      <c r="H51" s="15"/>
      <c r="I51" s="15"/>
      <c r="J51" s="97"/>
    </row>
    <row r="52" spans="1:13" s="32" customFormat="1" ht="22.5" customHeight="1">
      <c r="A52" s="11" t="s">
        <v>34</v>
      </c>
      <c r="B52" s="72" t="s">
        <v>157</v>
      </c>
      <c r="C52" s="37"/>
      <c r="D52" s="37"/>
      <c r="E52" s="37"/>
      <c r="F52" s="37"/>
      <c r="G52" s="37"/>
      <c r="H52" s="37"/>
      <c r="I52" s="37"/>
      <c r="J52" s="99"/>
      <c r="M52" s="14" t="s">
        <v>85</v>
      </c>
    </row>
    <row r="53" spans="1:13" s="9" customFormat="1" ht="22.5" customHeight="1">
      <c r="A53" s="30"/>
      <c r="B53" s="71" t="s">
        <v>366</v>
      </c>
      <c r="C53" s="15"/>
      <c r="D53" s="15"/>
      <c r="E53" s="15"/>
      <c r="F53" s="15"/>
      <c r="G53" s="15"/>
      <c r="H53" s="15"/>
      <c r="I53" s="15"/>
      <c r="J53" s="97"/>
      <c r="M53" s="77"/>
    </row>
    <row r="54" spans="1:13" s="9" customFormat="1" ht="22.5" customHeight="1">
      <c r="A54" s="30"/>
      <c r="B54" s="71" t="s">
        <v>369</v>
      </c>
      <c r="C54" s="15"/>
      <c r="D54" s="15"/>
      <c r="E54" s="15"/>
      <c r="F54" s="15"/>
      <c r="G54" s="15"/>
      <c r="H54" s="15"/>
      <c r="I54" s="15"/>
      <c r="J54" s="97"/>
      <c r="M54" s="77"/>
    </row>
    <row r="55" spans="1:13" s="32" customFormat="1" ht="22.5" customHeight="1">
      <c r="A55" s="11" t="s">
        <v>35</v>
      </c>
      <c r="B55" s="72" t="s">
        <v>160</v>
      </c>
      <c r="C55" s="37"/>
      <c r="D55" s="37"/>
      <c r="E55" s="37"/>
      <c r="F55" s="37"/>
      <c r="G55" s="37"/>
      <c r="H55" s="37"/>
      <c r="I55" s="37"/>
      <c r="J55" s="99"/>
      <c r="M55" s="14" t="s">
        <v>85</v>
      </c>
    </row>
    <row r="56" spans="1:13" s="9" customFormat="1" ht="22.5" customHeight="1">
      <c r="A56" s="11" t="s">
        <v>172</v>
      </c>
      <c r="B56" s="72" t="s">
        <v>262</v>
      </c>
      <c r="C56" s="15"/>
      <c r="D56" s="15"/>
      <c r="E56" s="76"/>
      <c r="F56" s="15"/>
      <c r="G56" s="76"/>
      <c r="H56" s="15"/>
      <c r="I56" s="15"/>
      <c r="J56" s="97"/>
    </row>
    <row r="57" spans="1:13" s="9" customFormat="1" ht="22.5" customHeight="1">
      <c r="A57" s="11" t="s">
        <v>441</v>
      </c>
      <c r="B57" s="72" t="s">
        <v>323</v>
      </c>
      <c r="C57" s="15"/>
      <c r="D57" s="15"/>
      <c r="E57" s="15"/>
      <c r="F57" s="15"/>
      <c r="G57" s="15"/>
      <c r="H57" s="15"/>
      <c r="I57" s="15"/>
      <c r="J57" s="97"/>
    </row>
    <row r="58" spans="1:13" s="32" customFormat="1" ht="22.5" customHeight="1">
      <c r="A58" s="11" t="s">
        <v>32</v>
      </c>
      <c r="B58" s="72" t="s">
        <v>124</v>
      </c>
      <c r="C58" s="16"/>
      <c r="D58" s="16"/>
      <c r="E58" s="16"/>
      <c r="F58" s="16"/>
      <c r="G58" s="16"/>
      <c r="H58" s="16"/>
      <c r="I58" s="16"/>
      <c r="J58" s="98"/>
    </row>
    <row r="59" spans="1:13" s="32" customFormat="1" ht="22.5" customHeight="1">
      <c r="A59" s="11" t="s">
        <v>33</v>
      </c>
      <c r="B59" s="72" t="s">
        <v>191</v>
      </c>
      <c r="C59" s="16"/>
      <c r="D59" s="16"/>
      <c r="E59" s="16"/>
      <c r="F59" s="16"/>
      <c r="G59" s="16"/>
      <c r="H59" s="16"/>
      <c r="I59" s="16"/>
      <c r="J59" s="98"/>
    </row>
    <row r="60" spans="1:13" s="9" customFormat="1" ht="22.5" customHeight="1">
      <c r="A60" s="11"/>
      <c r="B60" s="71" t="s">
        <v>370</v>
      </c>
      <c r="C60" s="15"/>
      <c r="D60" s="15"/>
      <c r="E60" s="15"/>
      <c r="F60" s="15"/>
      <c r="G60" s="15"/>
      <c r="H60" s="15"/>
      <c r="I60" s="15"/>
      <c r="J60" s="97"/>
      <c r="M60" s="14"/>
    </row>
    <row r="61" spans="1:13" s="9" customFormat="1" ht="22.5" customHeight="1">
      <c r="A61" s="11"/>
      <c r="B61" s="71" t="s">
        <v>451</v>
      </c>
      <c r="C61" s="15"/>
      <c r="D61" s="15"/>
      <c r="E61" s="15"/>
      <c r="F61" s="15"/>
      <c r="G61" s="15"/>
      <c r="H61" s="15"/>
      <c r="I61" s="15"/>
      <c r="J61" s="97"/>
      <c r="M61" s="77"/>
    </row>
    <row r="62" spans="1:13" s="32" customFormat="1" ht="22.5" customHeight="1">
      <c r="A62" s="11" t="s">
        <v>34</v>
      </c>
      <c r="B62" s="72" t="s">
        <v>193</v>
      </c>
      <c r="C62" s="37"/>
      <c r="D62" s="37"/>
      <c r="E62" s="37"/>
      <c r="F62" s="37"/>
      <c r="G62" s="37"/>
      <c r="H62" s="37"/>
      <c r="I62" s="37"/>
      <c r="J62" s="99"/>
    </row>
    <row r="63" spans="1:13" s="9" customFormat="1" ht="22.5" customHeight="1">
      <c r="A63" s="27" t="s">
        <v>24</v>
      </c>
      <c r="B63" s="70" t="s">
        <v>258</v>
      </c>
      <c r="C63" s="15"/>
      <c r="D63" s="15"/>
      <c r="E63" s="15"/>
      <c r="F63" s="15"/>
      <c r="G63" s="15"/>
      <c r="H63" s="15"/>
      <c r="I63" s="15"/>
      <c r="J63" s="97"/>
    </row>
    <row r="64" spans="1:13" s="9" customFormat="1" ht="22.5" customHeight="1">
      <c r="A64" s="27" t="s">
        <v>24</v>
      </c>
      <c r="B64" s="70" t="s">
        <v>264</v>
      </c>
      <c r="C64" s="15"/>
      <c r="D64" s="15"/>
      <c r="E64" s="15"/>
      <c r="F64" s="15"/>
      <c r="G64" s="15"/>
      <c r="H64" s="15"/>
      <c r="I64" s="15"/>
      <c r="J64" s="97"/>
    </row>
    <row r="65" spans="1:13" s="32" customFormat="1" ht="22.5" customHeight="1">
      <c r="A65" s="11" t="s">
        <v>35</v>
      </c>
      <c r="B65" s="72" t="s">
        <v>192</v>
      </c>
      <c r="C65" s="37"/>
      <c r="D65" s="37"/>
      <c r="E65" s="37"/>
      <c r="F65" s="37"/>
      <c r="G65" s="37"/>
      <c r="H65" s="37"/>
      <c r="I65" s="37"/>
      <c r="J65" s="99"/>
    </row>
    <row r="66" spans="1:13" s="32" customFormat="1" ht="22.5" customHeight="1">
      <c r="A66" s="27" t="s">
        <v>24</v>
      </c>
      <c r="B66" s="70" t="s">
        <v>227</v>
      </c>
      <c r="C66" s="37"/>
      <c r="D66" s="37"/>
      <c r="E66" s="37"/>
      <c r="F66" s="37"/>
      <c r="G66" s="37"/>
      <c r="H66" s="37"/>
      <c r="I66" s="37"/>
      <c r="J66" s="99"/>
    </row>
    <row r="67" spans="1:13" s="32" customFormat="1" ht="22.5" customHeight="1">
      <c r="A67" s="27" t="s">
        <v>24</v>
      </c>
      <c r="B67" s="70" t="s">
        <v>228</v>
      </c>
      <c r="C67" s="37"/>
      <c r="D67" s="37"/>
      <c r="E67" s="37"/>
      <c r="F67" s="37"/>
      <c r="G67" s="37"/>
      <c r="H67" s="37"/>
      <c r="I67" s="37"/>
      <c r="J67" s="99"/>
    </row>
    <row r="68" spans="1:13" s="32" customFormat="1" ht="22.5" customHeight="1">
      <c r="A68" s="11" t="s">
        <v>36</v>
      </c>
      <c r="B68" s="72" t="s">
        <v>194</v>
      </c>
      <c r="C68" s="16"/>
      <c r="D68" s="16"/>
      <c r="E68" s="16"/>
      <c r="F68" s="16"/>
      <c r="G68" s="16"/>
      <c r="H68" s="16"/>
      <c r="I68" s="16"/>
      <c r="J68" s="98"/>
    </row>
    <row r="69" spans="1:13" s="9" customFormat="1" ht="22.5" customHeight="1">
      <c r="A69" s="11"/>
      <c r="B69" s="71" t="s">
        <v>371</v>
      </c>
      <c r="C69" s="15"/>
      <c r="D69" s="15"/>
      <c r="E69" s="15"/>
      <c r="F69" s="15"/>
      <c r="G69" s="15"/>
      <c r="H69" s="15"/>
      <c r="I69" s="15"/>
      <c r="J69" s="97"/>
      <c r="M69" s="14"/>
    </row>
    <row r="70" spans="1:13" s="9" customFormat="1" ht="22.5" customHeight="1">
      <c r="A70" s="11"/>
      <c r="B70" s="71" t="s">
        <v>452</v>
      </c>
      <c r="C70" s="15"/>
      <c r="D70" s="15"/>
      <c r="E70" s="15"/>
      <c r="F70" s="15"/>
      <c r="G70" s="15"/>
      <c r="H70" s="15"/>
      <c r="I70" s="15"/>
      <c r="J70" s="97"/>
      <c r="M70" s="77"/>
    </row>
    <row r="71" spans="1:13" ht="15.95" customHeight="1" thickBot="1">
      <c r="A71" s="17"/>
      <c r="B71" s="73"/>
      <c r="C71" s="18"/>
      <c r="D71" s="18"/>
      <c r="E71" s="18"/>
      <c r="F71" s="18"/>
      <c r="G71" s="18"/>
      <c r="H71" s="18"/>
      <c r="I71" s="18"/>
      <c r="J71" s="96"/>
    </row>
    <row r="72" spans="1:13" s="549" customFormat="1" ht="24" customHeight="1">
      <c r="A72" s="820" t="s">
        <v>442</v>
      </c>
      <c r="B72" s="820"/>
      <c r="C72" s="820"/>
      <c r="D72" s="820"/>
      <c r="E72" s="820"/>
      <c r="F72" s="820"/>
      <c r="G72" s="820"/>
      <c r="H72" s="820"/>
      <c r="I72" s="820"/>
      <c r="J72" s="820"/>
    </row>
    <row r="73" spans="1:13" s="549" customFormat="1" ht="18" customHeight="1">
      <c r="A73" s="550"/>
      <c r="B73" s="817" t="s">
        <v>444</v>
      </c>
      <c r="C73" s="817"/>
      <c r="D73" s="817"/>
      <c r="E73" s="817"/>
      <c r="F73" s="817"/>
      <c r="G73" s="817"/>
      <c r="H73" s="817"/>
      <c r="I73" s="817"/>
      <c r="J73" s="817"/>
    </row>
    <row r="74" spans="1:13" ht="15" customHeight="1">
      <c r="A74" s="527"/>
      <c r="B74" s="103" t="s">
        <v>443</v>
      </c>
      <c r="C74" s="9"/>
      <c r="D74" s="9"/>
      <c r="E74" s="9"/>
      <c r="F74" s="9"/>
      <c r="G74" s="9"/>
      <c r="H74" s="9"/>
      <c r="I74" s="9"/>
      <c r="J74" s="9"/>
    </row>
    <row r="75" spans="1:13" ht="18.75">
      <c r="A75" s="26"/>
      <c r="B75" s="9"/>
      <c r="C75" s="26"/>
      <c r="D75" s="26"/>
      <c r="E75" s="26"/>
      <c r="F75" s="26"/>
      <c r="G75" s="26"/>
      <c r="H75" s="26"/>
      <c r="I75" s="26"/>
      <c r="J75" s="26"/>
    </row>
    <row r="76" spans="1:13" ht="18.75">
      <c r="A76" s="9"/>
      <c r="B76" s="9"/>
      <c r="C76" s="9"/>
      <c r="D76" s="9"/>
      <c r="E76" s="9"/>
      <c r="F76" s="9"/>
      <c r="G76" s="9"/>
      <c r="H76" s="9"/>
      <c r="I76" s="9"/>
      <c r="J76" s="9"/>
    </row>
    <row r="77" spans="1:13" ht="18.75">
      <c r="A77" s="9"/>
      <c r="B77" s="9"/>
      <c r="C77" s="9"/>
      <c r="D77" s="9"/>
      <c r="E77" s="9"/>
      <c r="F77" s="9"/>
      <c r="G77" s="9"/>
      <c r="H77" s="9"/>
      <c r="I77" s="9"/>
      <c r="J77" s="9"/>
    </row>
    <row r="78" spans="1:13" ht="18.75">
      <c r="A78" s="9"/>
      <c r="B78" s="9"/>
      <c r="C78" s="9"/>
      <c r="D78" s="9"/>
      <c r="E78" s="9"/>
      <c r="F78" s="9"/>
      <c r="G78" s="9"/>
      <c r="H78" s="9"/>
      <c r="I78" s="9"/>
      <c r="J78" s="9"/>
    </row>
    <row r="79" spans="1:13" ht="18.75">
      <c r="A79" s="9"/>
      <c r="B79" s="9"/>
      <c r="C79" s="9"/>
      <c r="D79" s="9"/>
      <c r="E79" s="9"/>
      <c r="F79" s="9"/>
      <c r="G79" s="9"/>
      <c r="H79" s="9"/>
      <c r="I79" s="9"/>
      <c r="J79" s="9"/>
    </row>
    <row r="80" spans="1:13" ht="18.75">
      <c r="A80" s="9"/>
      <c r="B80" s="9"/>
      <c r="C80" s="9"/>
      <c r="D80" s="9"/>
      <c r="E80" s="9"/>
      <c r="F80" s="9"/>
      <c r="G80" s="9"/>
      <c r="H80" s="9"/>
      <c r="I80" s="9"/>
      <c r="J80" s="9"/>
    </row>
    <row r="81" spans="1:10" ht="18.75">
      <c r="A81" s="9"/>
      <c r="B81" s="9"/>
      <c r="C81" s="9"/>
      <c r="D81" s="9"/>
      <c r="E81" s="9"/>
      <c r="F81" s="9"/>
      <c r="G81" s="9"/>
      <c r="H81" s="9"/>
      <c r="I81" s="9"/>
      <c r="J81" s="9"/>
    </row>
    <row r="82" spans="1:10" ht="18.75">
      <c r="A82" s="9"/>
      <c r="B82" s="9"/>
      <c r="C82" s="9"/>
      <c r="D82" s="9"/>
      <c r="E82" s="9"/>
      <c r="F82" s="9"/>
      <c r="G82" s="9"/>
      <c r="H82" s="9"/>
      <c r="I82" s="9"/>
      <c r="J82" s="9"/>
    </row>
    <row r="83" spans="1:10" ht="18.75">
      <c r="A83" s="9"/>
      <c r="B83" s="9"/>
      <c r="C83" s="9"/>
      <c r="D83" s="9"/>
      <c r="E83" s="9"/>
      <c r="F83" s="9"/>
      <c r="G83" s="9"/>
      <c r="H83" s="9"/>
      <c r="I83" s="9"/>
      <c r="J83" s="9"/>
    </row>
    <row r="84" spans="1:10" ht="18.75">
      <c r="A84" s="9"/>
      <c r="B84" s="9"/>
      <c r="C84" s="9"/>
      <c r="D84" s="9"/>
      <c r="E84" s="9"/>
      <c r="F84" s="9"/>
      <c r="G84" s="9"/>
      <c r="H84" s="9"/>
      <c r="I84" s="9"/>
      <c r="J84" s="9"/>
    </row>
    <row r="85" spans="1:10" ht="18.75">
      <c r="A85" s="9"/>
      <c r="B85" s="9"/>
      <c r="C85" s="9"/>
      <c r="D85" s="9"/>
      <c r="E85" s="9"/>
      <c r="F85" s="9"/>
      <c r="G85" s="9"/>
      <c r="H85" s="9"/>
      <c r="I85" s="9"/>
      <c r="J85" s="9"/>
    </row>
    <row r="86" spans="1:10" ht="22.5" customHeight="1">
      <c r="A86" s="9"/>
      <c r="B86" s="9" t="s">
        <v>379</v>
      </c>
      <c r="C86" s="9"/>
      <c r="D86" s="9"/>
      <c r="E86" s="9"/>
      <c r="F86" s="9"/>
      <c r="G86" s="9"/>
      <c r="H86" s="9"/>
      <c r="I86" s="9"/>
      <c r="J86" s="9"/>
    </row>
    <row r="87" spans="1:10" ht="18.75">
      <c r="A87" s="9"/>
      <c r="B87" s="9"/>
      <c r="C87" s="9"/>
      <c r="D87" s="9"/>
      <c r="E87" s="9"/>
      <c r="F87" s="9"/>
      <c r="G87" s="9"/>
      <c r="H87" s="9"/>
      <c r="I87" s="9"/>
      <c r="J87" s="9"/>
    </row>
    <row r="88" spans="1:10" ht="18.75">
      <c r="A88" s="9"/>
      <c r="B88" s="9"/>
      <c r="C88" s="9"/>
      <c r="D88" s="9"/>
      <c r="E88" s="9"/>
      <c r="F88" s="9"/>
      <c r="G88" s="9"/>
      <c r="H88" s="9"/>
      <c r="I88" s="9"/>
      <c r="J88" s="9"/>
    </row>
    <row r="89" spans="1:10" ht="18.75">
      <c r="A89" s="103" t="s">
        <v>378</v>
      </c>
      <c r="B89" s="9"/>
      <c r="C89" s="9"/>
      <c r="D89" s="9"/>
      <c r="E89" s="9"/>
      <c r="F89" s="9"/>
      <c r="G89" s="9"/>
      <c r="H89" s="9"/>
      <c r="I89" s="9"/>
      <c r="J89" s="9"/>
    </row>
    <row r="90" spans="1:10" ht="18.75">
      <c r="A90" s="9"/>
      <c r="B90" s="9"/>
      <c r="C90" s="9"/>
      <c r="D90" s="9"/>
      <c r="E90" s="9"/>
      <c r="F90" s="9"/>
      <c r="G90" s="9"/>
      <c r="H90" s="9"/>
      <c r="I90" s="9"/>
      <c r="J90" s="9"/>
    </row>
  </sheetData>
  <mergeCells count="6">
    <mergeCell ref="B73:J73"/>
    <mergeCell ref="D7:I7"/>
    <mergeCell ref="J7:J11"/>
    <mergeCell ref="I6:J6"/>
    <mergeCell ref="H3:J3"/>
    <mergeCell ref="A72:J72"/>
  </mergeCells>
  <printOptions horizontalCentered="1"/>
  <pageMargins left="0.31" right="0.35" top="0.34" bottom="0.2" header="0.23" footer="0.16"/>
  <pageSetup paperSize="9" scale="56" fitToHeight="5" orientation="portrait" r:id="rId1"/>
  <headerFooter alignWithMargins="0">
    <oddHeader xml:space="preserve">&amp;C                                                                                                                                  </oddHeader>
    <oddFooter>&amp;C&amp;".VnTime,Italic"&amp;8</oddFooter>
  </headerFooter>
</worksheet>
</file>

<file path=xl/worksheets/sheet20.xml><?xml version="1.0" encoding="utf-8"?>
<worksheet xmlns="http://schemas.openxmlformats.org/spreadsheetml/2006/main" xmlns:r="http://schemas.openxmlformats.org/officeDocument/2006/relationships">
  <sheetPr>
    <tabColor rgb="FF00B0F0"/>
  </sheetPr>
  <dimension ref="A1:AI52"/>
  <sheetViews>
    <sheetView topLeftCell="G1" zoomScale="85" zoomScaleNormal="85" workbookViewId="0">
      <selection activeCell="A4" sqref="A4:BA4"/>
    </sheetView>
  </sheetViews>
  <sheetFormatPr defaultColWidth="9" defaultRowHeight="15.75"/>
  <cols>
    <col min="1" max="1" width="5.625" style="4" customWidth="1"/>
    <col min="2" max="2" width="30.875" style="4" customWidth="1"/>
    <col min="3" max="3" width="13.25" style="4" customWidth="1"/>
    <col min="4" max="4" width="11.25" style="4" customWidth="1"/>
    <col min="5" max="5" width="9.875" style="4" customWidth="1"/>
    <col min="6" max="6" width="8.875" style="4" customWidth="1"/>
    <col min="7" max="7" width="13.75" style="4" customWidth="1"/>
    <col min="8" max="8" width="13.125" style="4" customWidth="1"/>
    <col min="9" max="9" width="9.375" style="4" customWidth="1"/>
    <col min="10" max="10" width="10.5" style="4" customWidth="1"/>
    <col min="11" max="11" width="9.375" style="4" customWidth="1"/>
    <col min="12" max="12" width="10.75" style="4" customWidth="1"/>
    <col min="13" max="13" width="9" style="4" customWidth="1"/>
    <col min="14" max="14" width="14.25" style="4" customWidth="1"/>
    <col min="15" max="15" width="11.125" style="4" customWidth="1"/>
    <col min="16" max="16" width="10.125" style="4" customWidth="1"/>
    <col min="17" max="17" width="9" style="4" customWidth="1"/>
    <col min="18" max="18" width="12.75" style="4" customWidth="1"/>
    <col min="19" max="19" width="13.625" style="4" customWidth="1"/>
    <col min="20" max="21" width="10.25" style="4" customWidth="1"/>
    <col min="22" max="22" width="9" style="4" customWidth="1"/>
    <col min="23" max="23" width="10.375" style="4" customWidth="1"/>
    <col min="24" max="24" width="11.25" style="4" customWidth="1"/>
    <col min="25" max="25" width="9.25" style="4" customWidth="1"/>
    <col min="26" max="26" width="9.5" style="4" customWidth="1"/>
    <col min="27" max="27" width="12.125" style="4" customWidth="1"/>
    <col min="28" max="28" width="8.375" style="4" customWidth="1"/>
    <col min="29" max="30" width="10" style="4" customWidth="1"/>
    <col min="31" max="31" width="10.125" style="4" customWidth="1"/>
    <col min="32" max="32" width="10" style="4" customWidth="1"/>
    <col min="33" max="33" width="8.25" style="4" customWidth="1"/>
    <col min="34" max="34" width="10.25" style="4" customWidth="1"/>
    <col min="35" max="35" width="9.25" style="4" customWidth="1"/>
    <col min="36" max="16384" width="9" style="4"/>
  </cols>
  <sheetData>
    <row r="1" spans="1:35" ht="21" customHeight="1">
      <c r="A1" s="950" t="s">
        <v>672</v>
      </c>
      <c r="B1" s="950"/>
      <c r="C1" s="950"/>
      <c r="D1" s="950"/>
      <c r="E1" s="950"/>
      <c r="F1" s="950"/>
      <c r="G1" s="950"/>
      <c r="H1" s="950"/>
      <c r="I1" s="950"/>
      <c r="J1" s="950"/>
      <c r="K1" s="950"/>
      <c r="L1" s="950"/>
      <c r="M1" s="950"/>
      <c r="N1" s="950"/>
      <c r="O1" s="950"/>
      <c r="P1" s="950"/>
      <c r="Q1" s="950"/>
      <c r="R1" s="950"/>
      <c r="S1" s="950"/>
      <c r="T1" s="950"/>
      <c r="U1" s="950"/>
      <c r="V1" s="950"/>
      <c r="W1" s="950"/>
      <c r="X1" s="950"/>
      <c r="Y1" s="950"/>
      <c r="Z1" s="950"/>
      <c r="AA1" s="950"/>
      <c r="AB1" s="950"/>
      <c r="AC1" s="950"/>
      <c r="AD1" s="950"/>
      <c r="AE1" s="950"/>
      <c r="AF1" s="950"/>
      <c r="AG1" s="950"/>
      <c r="AH1" s="950"/>
      <c r="AI1" s="950"/>
    </row>
    <row r="2" spans="1:35" ht="21" customHeight="1">
      <c r="A2" s="970" t="s">
        <v>680</v>
      </c>
      <c r="B2" s="970"/>
      <c r="C2" s="970"/>
      <c r="D2" s="970"/>
      <c r="E2" s="970"/>
      <c r="F2" s="970"/>
      <c r="G2" s="970"/>
      <c r="H2" s="970"/>
      <c r="I2" s="970"/>
      <c r="J2" s="970"/>
      <c r="K2" s="970"/>
      <c r="L2" s="970"/>
      <c r="M2" s="970"/>
      <c r="N2" s="970"/>
      <c r="O2" s="970"/>
      <c r="P2" s="970"/>
      <c r="Q2" s="970"/>
      <c r="R2" s="970"/>
      <c r="S2" s="970"/>
      <c r="T2" s="970"/>
      <c r="U2" s="970"/>
      <c r="V2" s="970"/>
      <c r="W2" s="970"/>
      <c r="X2" s="970"/>
      <c r="Y2" s="970"/>
      <c r="Z2" s="970"/>
      <c r="AA2" s="970"/>
      <c r="AB2" s="970"/>
      <c r="AC2" s="970"/>
      <c r="AD2" s="970"/>
      <c r="AE2" s="970"/>
      <c r="AF2" s="970"/>
      <c r="AG2" s="970"/>
      <c r="AH2" s="970"/>
      <c r="AI2" s="970"/>
    </row>
    <row r="3" spans="1:35" ht="20.25">
      <c r="A3" s="950" t="s">
        <v>540</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950"/>
      <c r="AB3" s="950"/>
      <c r="AC3" s="950"/>
      <c r="AD3" s="950"/>
      <c r="AE3" s="950"/>
      <c r="AF3" s="950"/>
      <c r="AG3" s="950"/>
      <c r="AH3" s="950"/>
      <c r="AI3" s="950"/>
    </row>
    <row r="4" spans="1:35" ht="21" customHeight="1">
      <c r="A4" s="970" t="s">
        <v>682</v>
      </c>
      <c r="B4" s="970"/>
      <c r="C4" s="970"/>
      <c r="D4" s="970"/>
      <c r="E4" s="970"/>
      <c r="F4" s="970"/>
      <c r="G4" s="970"/>
      <c r="H4" s="970"/>
      <c r="I4" s="970"/>
      <c r="J4" s="970"/>
      <c r="K4" s="970"/>
      <c r="L4" s="970"/>
      <c r="M4" s="970"/>
      <c r="N4" s="970"/>
      <c r="O4" s="970"/>
      <c r="P4" s="970"/>
      <c r="Q4" s="970"/>
      <c r="R4" s="970"/>
      <c r="S4" s="970"/>
      <c r="T4" s="970"/>
      <c r="U4" s="970"/>
      <c r="V4" s="970"/>
      <c r="W4" s="970"/>
      <c r="X4" s="970"/>
      <c r="Y4" s="970"/>
      <c r="Z4" s="970"/>
      <c r="AA4" s="970"/>
      <c r="AB4" s="970"/>
      <c r="AC4" s="970"/>
      <c r="AD4" s="970"/>
      <c r="AE4" s="970"/>
      <c r="AF4" s="970"/>
      <c r="AG4" s="970"/>
      <c r="AH4" s="970"/>
      <c r="AI4" s="970"/>
    </row>
    <row r="5" spans="1:35" ht="12.75" hidden="1" customHeight="1">
      <c r="A5" s="3"/>
      <c r="B5" s="7"/>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ht="14.25" hidden="1" customHeight="1">
      <c r="A6" s="7"/>
      <c r="B6" s="7"/>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ht="14.25" customHeight="1">
      <c r="A7" s="7"/>
      <c r="B7" s="7"/>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ht="19.5" customHeight="1" thickBot="1">
      <c r="A8" s="8"/>
      <c r="B8" s="8"/>
      <c r="C8" s="9"/>
      <c r="D8" s="9"/>
      <c r="E8" s="9"/>
      <c r="F8" s="88"/>
      <c r="G8" s="9"/>
      <c r="H8" s="973"/>
      <c r="I8" s="973"/>
      <c r="J8" s="9"/>
      <c r="K8" s="9"/>
      <c r="L8" s="9"/>
      <c r="M8" s="9"/>
      <c r="N8" s="9"/>
      <c r="O8" s="9"/>
      <c r="P8" s="9"/>
      <c r="Q8" s="88"/>
      <c r="R8" s="9"/>
      <c r="S8" s="973"/>
      <c r="T8" s="973"/>
      <c r="W8" s="51"/>
      <c r="X8" s="51"/>
      <c r="Y8" s="51"/>
      <c r="Z8" s="51"/>
      <c r="AA8" s="51"/>
      <c r="AB8" s="51"/>
      <c r="AC8" s="51"/>
      <c r="AD8" s="51"/>
      <c r="AE8" s="51"/>
      <c r="AF8" s="51"/>
      <c r="AG8" s="51"/>
      <c r="AH8" s="51"/>
      <c r="AI8" s="758" t="s">
        <v>187</v>
      </c>
    </row>
    <row r="9" spans="1:35" s="10" customFormat="1" ht="21" customHeight="1">
      <c r="A9" s="894" t="s">
        <v>110</v>
      </c>
      <c r="B9" s="980" t="s">
        <v>50</v>
      </c>
      <c r="C9" s="953" t="s">
        <v>456</v>
      </c>
      <c r="D9" s="969"/>
      <c r="E9" s="969"/>
      <c r="F9" s="969"/>
      <c r="G9" s="969"/>
      <c r="H9" s="969"/>
      <c r="I9" s="969"/>
      <c r="J9" s="969"/>
      <c r="K9" s="969"/>
      <c r="L9" s="969"/>
      <c r="M9" s="969"/>
      <c r="N9" s="953" t="s">
        <v>457</v>
      </c>
      <c r="O9" s="969"/>
      <c r="P9" s="969"/>
      <c r="Q9" s="969"/>
      <c r="R9" s="969"/>
      <c r="S9" s="969"/>
      <c r="T9" s="969"/>
      <c r="U9" s="969"/>
      <c r="V9" s="969"/>
      <c r="W9" s="969"/>
      <c r="X9" s="972"/>
      <c r="Y9" s="969" t="s">
        <v>200</v>
      </c>
      <c r="Z9" s="969"/>
      <c r="AA9" s="969"/>
      <c r="AB9" s="969"/>
      <c r="AC9" s="969"/>
      <c r="AD9" s="969"/>
      <c r="AE9" s="969"/>
      <c r="AF9" s="969"/>
      <c r="AG9" s="969"/>
      <c r="AH9" s="969"/>
      <c r="AI9" s="969"/>
    </row>
    <row r="10" spans="1:35" s="10" customFormat="1" ht="21" customHeight="1">
      <c r="A10" s="895"/>
      <c r="B10" s="981"/>
      <c r="C10" s="906" t="s">
        <v>542</v>
      </c>
      <c r="D10" s="974" t="s">
        <v>38</v>
      </c>
      <c r="E10" s="975"/>
      <c r="F10" s="976"/>
      <c r="G10" s="974" t="s">
        <v>42</v>
      </c>
      <c r="H10" s="975"/>
      <c r="I10" s="976"/>
      <c r="J10" s="977" t="s">
        <v>179</v>
      </c>
      <c r="K10" s="978"/>
      <c r="L10" s="979"/>
      <c r="M10" s="906" t="s">
        <v>119</v>
      </c>
      <c r="N10" s="906" t="s">
        <v>542</v>
      </c>
      <c r="O10" s="974" t="s">
        <v>38</v>
      </c>
      <c r="P10" s="975"/>
      <c r="Q10" s="976"/>
      <c r="R10" s="974" t="s">
        <v>42</v>
      </c>
      <c r="S10" s="975"/>
      <c r="T10" s="976"/>
      <c r="U10" s="977" t="s">
        <v>179</v>
      </c>
      <c r="V10" s="978"/>
      <c r="W10" s="979"/>
      <c r="X10" s="906" t="s">
        <v>119</v>
      </c>
      <c r="Y10" s="906" t="s">
        <v>542</v>
      </c>
      <c r="Z10" s="974" t="s">
        <v>38</v>
      </c>
      <c r="AA10" s="975"/>
      <c r="AB10" s="976"/>
      <c r="AC10" s="974" t="s">
        <v>42</v>
      </c>
      <c r="AD10" s="975"/>
      <c r="AE10" s="976"/>
      <c r="AF10" s="977" t="s">
        <v>179</v>
      </c>
      <c r="AG10" s="978"/>
      <c r="AH10" s="979"/>
      <c r="AI10" s="906" t="s">
        <v>119</v>
      </c>
    </row>
    <row r="11" spans="1:35" s="10" customFormat="1" ht="21" customHeight="1">
      <c r="A11" s="895"/>
      <c r="B11" s="981"/>
      <c r="C11" s="813"/>
      <c r="D11" s="906" t="s">
        <v>180</v>
      </c>
      <c r="E11" s="977" t="s">
        <v>56</v>
      </c>
      <c r="F11" s="979"/>
      <c r="G11" s="554"/>
      <c r="H11" s="977" t="s">
        <v>56</v>
      </c>
      <c r="I11" s="979"/>
      <c r="J11" s="906" t="s">
        <v>180</v>
      </c>
      <c r="K11" s="977" t="s">
        <v>56</v>
      </c>
      <c r="L11" s="979"/>
      <c r="M11" s="813"/>
      <c r="N11" s="813"/>
      <c r="O11" s="906" t="s">
        <v>180</v>
      </c>
      <c r="P11" s="977" t="s">
        <v>56</v>
      </c>
      <c r="Q11" s="979"/>
      <c r="R11" s="554"/>
      <c r="S11" s="977" t="s">
        <v>56</v>
      </c>
      <c r="T11" s="979"/>
      <c r="U11" s="906" t="s">
        <v>180</v>
      </c>
      <c r="V11" s="977" t="s">
        <v>56</v>
      </c>
      <c r="W11" s="979"/>
      <c r="X11" s="813"/>
      <c r="Y11" s="813"/>
      <c r="Z11" s="906" t="s">
        <v>180</v>
      </c>
      <c r="AA11" s="977" t="s">
        <v>56</v>
      </c>
      <c r="AB11" s="979"/>
      <c r="AC11" s="554"/>
      <c r="AD11" s="977" t="s">
        <v>56</v>
      </c>
      <c r="AE11" s="979"/>
      <c r="AF11" s="906" t="s">
        <v>180</v>
      </c>
      <c r="AG11" s="977" t="s">
        <v>56</v>
      </c>
      <c r="AH11" s="979"/>
      <c r="AI11" s="813"/>
    </row>
    <row r="12" spans="1:35" s="10" customFormat="1" ht="94.5" customHeight="1">
      <c r="A12" s="896"/>
      <c r="B12" s="982"/>
      <c r="C12" s="814"/>
      <c r="D12" s="814"/>
      <c r="E12" s="653" t="s">
        <v>541</v>
      </c>
      <c r="F12" s="653" t="s">
        <v>183</v>
      </c>
      <c r="G12" s="31" t="s">
        <v>180</v>
      </c>
      <c r="H12" s="653" t="s">
        <v>541</v>
      </c>
      <c r="I12" s="653" t="s">
        <v>183</v>
      </c>
      <c r="J12" s="814"/>
      <c r="K12" s="654" t="s">
        <v>38</v>
      </c>
      <c r="L12" s="654" t="s">
        <v>42</v>
      </c>
      <c r="M12" s="814"/>
      <c r="N12" s="814"/>
      <c r="O12" s="814"/>
      <c r="P12" s="653" t="s">
        <v>541</v>
      </c>
      <c r="Q12" s="653" t="s">
        <v>183</v>
      </c>
      <c r="R12" s="31" t="s">
        <v>180</v>
      </c>
      <c r="S12" s="653" t="s">
        <v>541</v>
      </c>
      <c r="T12" s="653" t="s">
        <v>183</v>
      </c>
      <c r="U12" s="814"/>
      <c r="V12" s="654" t="s">
        <v>38</v>
      </c>
      <c r="W12" s="654" t="s">
        <v>42</v>
      </c>
      <c r="X12" s="814"/>
      <c r="Y12" s="814"/>
      <c r="Z12" s="814"/>
      <c r="AA12" s="653" t="s">
        <v>541</v>
      </c>
      <c r="AB12" s="653" t="s">
        <v>183</v>
      </c>
      <c r="AC12" s="31" t="s">
        <v>180</v>
      </c>
      <c r="AD12" s="653" t="s">
        <v>541</v>
      </c>
      <c r="AE12" s="653" t="s">
        <v>183</v>
      </c>
      <c r="AF12" s="814"/>
      <c r="AG12" s="654" t="s">
        <v>38</v>
      </c>
      <c r="AH12" s="654" t="s">
        <v>42</v>
      </c>
      <c r="AI12" s="814"/>
    </row>
    <row r="13" spans="1:35" s="36" customFormat="1" ht="17.25" customHeight="1">
      <c r="A13" s="33" t="s">
        <v>15</v>
      </c>
      <c r="B13" s="66" t="s">
        <v>16</v>
      </c>
      <c r="C13" s="646" t="s">
        <v>543</v>
      </c>
      <c r="D13" s="34">
        <v>2</v>
      </c>
      <c r="E13" s="34">
        <f t="shared" ref="E13:M13" si="0">D13+1</f>
        <v>3</v>
      </c>
      <c r="F13" s="34">
        <f t="shared" si="0"/>
        <v>4</v>
      </c>
      <c r="G13" s="34">
        <f t="shared" si="0"/>
        <v>5</v>
      </c>
      <c r="H13" s="34">
        <f t="shared" si="0"/>
        <v>6</v>
      </c>
      <c r="I13" s="34">
        <f t="shared" si="0"/>
        <v>7</v>
      </c>
      <c r="J13" s="34">
        <f t="shared" si="0"/>
        <v>8</v>
      </c>
      <c r="K13" s="34">
        <f t="shared" si="0"/>
        <v>9</v>
      </c>
      <c r="L13" s="34">
        <f t="shared" si="0"/>
        <v>10</v>
      </c>
      <c r="M13" s="34">
        <f t="shared" si="0"/>
        <v>11</v>
      </c>
      <c r="N13" s="34" t="s">
        <v>544</v>
      </c>
      <c r="O13" s="34">
        <v>13</v>
      </c>
      <c r="P13" s="34">
        <f t="shared" ref="P13:W13" si="1">O13+1</f>
        <v>14</v>
      </c>
      <c r="Q13" s="34">
        <f t="shared" si="1"/>
        <v>15</v>
      </c>
      <c r="R13" s="34">
        <f t="shared" si="1"/>
        <v>16</v>
      </c>
      <c r="S13" s="34">
        <f t="shared" si="1"/>
        <v>17</v>
      </c>
      <c r="T13" s="34">
        <f t="shared" si="1"/>
        <v>18</v>
      </c>
      <c r="U13" s="34">
        <f t="shared" si="1"/>
        <v>19</v>
      </c>
      <c r="V13" s="34">
        <f t="shared" si="1"/>
        <v>20</v>
      </c>
      <c r="W13" s="34">
        <f t="shared" si="1"/>
        <v>21</v>
      </c>
      <c r="X13" s="34">
        <f>W13+1</f>
        <v>22</v>
      </c>
      <c r="Y13" s="34" t="s">
        <v>545</v>
      </c>
      <c r="Z13" s="34" t="s">
        <v>546</v>
      </c>
      <c r="AA13" s="34" t="s">
        <v>547</v>
      </c>
      <c r="AB13" s="34" t="s">
        <v>548</v>
      </c>
      <c r="AC13" s="34" t="s">
        <v>549</v>
      </c>
      <c r="AD13" s="34" t="s">
        <v>550</v>
      </c>
      <c r="AE13" s="34" t="s">
        <v>551</v>
      </c>
      <c r="AF13" s="34" t="s">
        <v>552</v>
      </c>
      <c r="AG13" s="34" t="s">
        <v>553</v>
      </c>
      <c r="AH13" s="34" t="s">
        <v>554</v>
      </c>
      <c r="AI13" s="34" t="s">
        <v>555</v>
      </c>
    </row>
    <row r="14" spans="1:35" s="9" customFormat="1" ht="24" customHeight="1">
      <c r="A14" s="580"/>
      <c r="B14" s="655" t="s">
        <v>45</v>
      </c>
      <c r="C14" s="639">
        <f>D14+G14+J14+M14</f>
        <v>3873330</v>
      </c>
      <c r="D14" s="639">
        <f>SUM(D15:D23)</f>
        <v>208646.546</v>
      </c>
      <c r="E14" s="639">
        <f t="shared" ref="E14:M14" si="2">SUM(E15:E23)</f>
        <v>345.93799999999999</v>
      </c>
      <c r="F14" s="639">
        <f t="shared" si="2"/>
        <v>0</v>
      </c>
      <c r="G14" s="639">
        <f t="shared" si="2"/>
        <v>3632804.4539999999</v>
      </c>
      <c r="H14" s="639">
        <f t="shared" si="2"/>
        <v>1954669.09</v>
      </c>
      <c r="I14" s="639">
        <f t="shared" si="2"/>
        <v>23</v>
      </c>
      <c r="J14" s="639">
        <f t="shared" si="2"/>
        <v>31879</v>
      </c>
      <c r="K14" s="639">
        <f t="shared" si="2"/>
        <v>0</v>
      </c>
      <c r="L14" s="733">
        <f>SUM(L15:L23)</f>
        <v>31879</v>
      </c>
      <c r="M14" s="639">
        <f t="shared" si="2"/>
        <v>0</v>
      </c>
      <c r="N14" s="639">
        <f>O14+R14+U14+X14</f>
        <v>4494246.4838190991</v>
      </c>
      <c r="O14" s="639">
        <f t="shared" ref="O14:X14" si="3">SUM(O15:O23)</f>
        <v>357464.08216410002</v>
      </c>
      <c r="P14" s="639">
        <f t="shared" si="3"/>
        <v>7376.2855529999997</v>
      </c>
      <c r="Q14" s="639">
        <f t="shared" si="3"/>
        <v>0</v>
      </c>
      <c r="R14" s="639">
        <f t="shared" si="3"/>
        <v>3718710.7027249997</v>
      </c>
      <c r="S14" s="639">
        <f t="shared" si="3"/>
        <v>1869381.1453269999</v>
      </c>
      <c r="T14" s="639">
        <f t="shared" si="3"/>
        <v>154.95299999999997</v>
      </c>
      <c r="U14" s="639">
        <f t="shared" si="3"/>
        <v>30940.008637000003</v>
      </c>
      <c r="V14" s="639">
        <f t="shared" si="3"/>
        <v>0</v>
      </c>
      <c r="W14" s="639">
        <f t="shared" si="3"/>
        <v>30940.008637000003</v>
      </c>
      <c r="X14" s="639">
        <f t="shared" si="3"/>
        <v>387131.69029300002</v>
      </c>
      <c r="Y14" s="698">
        <f t="shared" ref="Y14:Y23" si="4">IF(AND(N14&lt;&gt;0,C14&lt;&gt;0),N14/C14%,"")</f>
        <v>116.03055984951189</v>
      </c>
      <c r="Z14" s="698">
        <f t="shared" ref="Z14:AI14" si="5">IF(AND(O14&lt;&gt;0,D14&lt;&gt;0),O14/D14%,"")</f>
        <v>171.32518559118637</v>
      </c>
      <c r="AA14" s="698">
        <f t="shared" si="5"/>
        <v>2132.2565179309586</v>
      </c>
      <c r="AB14" s="698" t="str">
        <f t="shared" si="5"/>
        <v/>
      </c>
      <c r="AC14" s="698">
        <f t="shared" si="5"/>
        <v>102.36473638514757</v>
      </c>
      <c r="AD14" s="698">
        <f t="shared" si="5"/>
        <v>95.636706739297736</v>
      </c>
      <c r="AE14" s="698">
        <f t="shared" si="5"/>
        <v>673.70869565217379</v>
      </c>
      <c r="AF14" s="698">
        <f t="shared" si="5"/>
        <v>97.054514373098286</v>
      </c>
      <c r="AG14" s="698" t="str">
        <f t="shared" si="5"/>
        <v/>
      </c>
      <c r="AH14" s="698">
        <f t="shared" si="5"/>
        <v>97.054514373098286</v>
      </c>
      <c r="AI14" s="698" t="str">
        <f t="shared" si="5"/>
        <v/>
      </c>
    </row>
    <row r="15" spans="1:35" s="9" customFormat="1" ht="24" customHeight="1">
      <c r="A15" s="584">
        <v>1</v>
      </c>
      <c r="B15" s="656" t="s">
        <v>556</v>
      </c>
      <c r="C15" s="641">
        <f>D15+G15+J15+M15</f>
        <v>434317</v>
      </c>
      <c r="D15" s="642">
        <v>43114</v>
      </c>
      <c r="E15" s="642">
        <v>0</v>
      </c>
      <c r="F15" s="642">
        <v>0</v>
      </c>
      <c r="G15" s="642">
        <v>388973</v>
      </c>
      <c r="H15" s="642">
        <v>171808</v>
      </c>
      <c r="I15" s="642">
        <v>0</v>
      </c>
      <c r="J15" s="642">
        <f>K15+L15</f>
        <v>2230</v>
      </c>
      <c r="K15" s="642">
        <v>0</v>
      </c>
      <c r="L15" s="696">
        <f>40+200+800+750+160+280</f>
        <v>2230</v>
      </c>
      <c r="M15" s="642">
        <v>0</v>
      </c>
      <c r="N15" s="641">
        <f>O15+R15+U15+X15</f>
        <v>523027.02520209999</v>
      </c>
      <c r="O15" s="642">
        <f>40988.9869731+4295.5664</f>
        <v>45284.553373100003</v>
      </c>
      <c r="P15" s="642">
        <v>0</v>
      </c>
      <c r="Q15" s="642">
        <v>0</v>
      </c>
      <c r="R15" s="642">
        <f>307546.180435+74510.7992-W15</f>
        <v>380511.22333399998</v>
      </c>
      <c r="S15" s="642">
        <f>165446.99868-925.3099</f>
        <v>164521.68878</v>
      </c>
      <c r="T15" s="642">
        <v>0</v>
      </c>
      <c r="U15" s="642">
        <f>V15+W15</f>
        <v>1545.7563009999999</v>
      </c>
      <c r="V15" s="642">
        <v>0</v>
      </c>
      <c r="W15" s="642">
        <f>40+1505.756301</f>
        <v>1545.7563009999999</v>
      </c>
      <c r="X15" s="642">
        <v>95685.492194000006</v>
      </c>
      <c r="Y15" s="700">
        <f t="shared" si="4"/>
        <v>120.42517912080346</v>
      </c>
      <c r="Z15" s="700">
        <f t="shared" ref="Z15:Z23" si="6">IF(AND(O15&lt;&gt;0,D15&lt;&gt;0),O15/D15%,"")</f>
        <v>105.03445139189128</v>
      </c>
      <c r="AA15" s="700" t="str">
        <f t="shared" ref="AA15:AA23" si="7">IF(AND(P15&lt;&gt;0,E15&lt;&gt;0),P15/E15%,"")</f>
        <v/>
      </c>
      <c r="AB15" s="700" t="str">
        <f t="shared" ref="AB15:AB23" si="8">IF(AND(Q15&lt;&gt;0,F15&lt;&gt;0),Q15/F15%,"")</f>
        <v/>
      </c>
      <c r="AC15" s="700">
        <f t="shared" ref="AC15:AC23" si="9">IF(AND(R15&lt;&gt;0,G15&lt;&gt;0),R15/G15%,"")</f>
        <v>97.824585082769232</v>
      </c>
      <c r="AD15" s="700">
        <f t="shared" ref="AD15:AD23" si="10">IF(AND(S15&lt;&gt;0,H15&lt;&gt;0),S15/H15%,"")</f>
        <v>95.75903844989756</v>
      </c>
      <c r="AE15" s="700" t="str">
        <f t="shared" ref="AE15:AE23" si="11">IF(AND(T15&lt;&gt;0,I15&lt;&gt;0),T15/I15%,"")</f>
        <v/>
      </c>
      <c r="AF15" s="700">
        <f t="shared" ref="AF15:AF23" si="12">IF(AND(U15&lt;&gt;0,J15&lt;&gt;0),U15/J15%,"")</f>
        <v>69.316426053811654</v>
      </c>
      <c r="AG15" s="700" t="str">
        <f t="shared" ref="AG15:AG23" si="13">IF(AND(V15&lt;&gt;0,K15&lt;&gt;0),V15/K15%,"")</f>
        <v/>
      </c>
      <c r="AH15" s="700">
        <f t="shared" ref="AH15:AH23" si="14">IF(AND(W15&lt;&gt;0,L15&lt;&gt;0),W15/L15%,"")</f>
        <v>69.316426053811654</v>
      </c>
      <c r="AI15" s="700" t="str">
        <f t="shared" ref="AI15:AI23" si="15">IF(AND(X15&lt;&gt;0,M15&lt;&gt;0),X15/M15%,"")</f>
        <v/>
      </c>
    </row>
    <row r="16" spans="1:35" s="9" customFormat="1" ht="24" customHeight="1">
      <c r="A16" s="584">
        <f>A15+1</f>
        <v>2</v>
      </c>
      <c r="B16" s="656" t="s">
        <v>557</v>
      </c>
      <c r="C16" s="641">
        <f t="shared" ref="C16:C23" si="16">D16+G16+J16+M16</f>
        <v>450207</v>
      </c>
      <c r="D16" s="642">
        <v>23361</v>
      </c>
      <c r="E16" s="642">
        <v>0</v>
      </c>
      <c r="F16" s="642">
        <v>0</v>
      </c>
      <c r="G16" s="642">
        <v>423900</v>
      </c>
      <c r="H16" s="642">
        <v>207986</v>
      </c>
      <c r="I16" s="642">
        <v>0</v>
      </c>
      <c r="J16" s="642">
        <f t="shared" ref="J16:J23" si="17">K16+L16</f>
        <v>2946</v>
      </c>
      <c r="K16" s="642">
        <v>0</v>
      </c>
      <c r="L16" s="696">
        <f>(61+115+170+90+100)+600+800+250+260+500</f>
        <v>2946</v>
      </c>
      <c r="M16" s="642">
        <v>0</v>
      </c>
      <c r="N16" s="641">
        <f t="shared" ref="N16:N23" si="18">O16+R16+U16+X16</f>
        <v>504202.084546</v>
      </c>
      <c r="O16" s="642">
        <f>36543.996845+2224.350147</f>
        <v>38768.346991999999</v>
      </c>
      <c r="P16" s="642">
        <v>550.75240799999995</v>
      </c>
      <c r="Q16" s="642">
        <v>0</v>
      </c>
      <c r="R16" s="642">
        <f>340386.652033+92083.319349+439.544-W16</f>
        <v>430747.87318200001</v>
      </c>
      <c r="S16" s="642">
        <f>(199167.409+121.893)-592.3422</f>
        <v>198696.95980000001</v>
      </c>
      <c r="T16" s="642">
        <v>0</v>
      </c>
      <c r="U16" s="642">
        <f t="shared" ref="U16:U23" si="19">V16+W16</f>
        <v>2161.6421999999998</v>
      </c>
      <c r="V16" s="642">
        <v>0</v>
      </c>
      <c r="W16" s="642">
        <v>2161.6421999999998</v>
      </c>
      <c r="X16" s="642">
        <v>32524.222172000002</v>
      </c>
      <c r="Y16" s="700">
        <f t="shared" si="4"/>
        <v>111.993390717159</v>
      </c>
      <c r="Z16" s="700">
        <f t="shared" si="6"/>
        <v>165.95328535593509</v>
      </c>
      <c r="AA16" s="700" t="str">
        <f t="shared" si="7"/>
        <v/>
      </c>
      <c r="AB16" s="700" t="str">
        <f t="shared" si="8"/>
        <v/>
      </c>
      <c r="AC16" s="700">
        <f t="shared" si="9"/>
        <v>101.61544543099788</v>
      </c>
      <c r="AD16" s="700">
        <f t="shared" si="10"/>
        <v>95.533814679834222</v>
      </c>
      <c r="AE16" s="700" t="str">
        <f t="shared" si="11"/>
        <v/>
      </c>
      <c r="AF16" s="700">
        <f t="shared" si="12"/>
        <v>73.375498981670049</v>
      </c>
      <c r="AG16" s="700" t="str">
        <f t="shared" si="13"/>
        <v/>
      </c>
      <c r="AH16" s="700">
        <f t="shared" si="14"/>
        <v>73.375498981670049</v>
      </c>
      <c r="AI16" s="700" t="str">
        <f t="shared" si="15"/>
        <v/>
      </c>
    </row>
    <row r="17" spans="1:35" s="9" customFormat="1" ht="24" customHeight="1">
      <c r="A17" s="584">
        <f t="shared" ref="A17:A41" si="20">A16+1</f>
        <v>3</v>
      </c>
      <c r="B17" s="656" t="s">
        <v>558</v>
      </c>
      <c r="C17" s="641">
        <f t="shared" si="16"/>
        <v>512508</v>
      </c>
      <c r="D17" s="642">
        <v>30176</v>
      </c>
      <c r="E17" s="642">
        <v>0</v>
      </c>
      <c r="F17" s="642">
        <v>0</v>
      </c>
      <c r="G17" s="642">
        <v>479115</v>
      </c>
      <c r="H17" s="642">
        <v>251840</v>
      </c>
      <c r="I17" s="642">
        <v>23</v>
      </c>
      <c r="J17" s="642">
        <f t="shared" si="17"/>
        <v>3217</v>
      </c>
      <c r="K17" s="642">
        <v>0</v>
      </c>
      <c r="L17" s="696">
        <f>(120+227+340+190+230)+270+800+250+270+520</f>
        <v>3217</v>
      </c>
      <c r="M17" s="642">
        <v>0</v>
      </c>
      <c r="N17" s="641">
        <f t="shared" si="18"/>
        <v>583096.25053200009</v>
      </c>
      <c r="O17" s="642">
        <f>47409.457+8114.435625</f>
        <v>55523.892625</v>
      </c>
      <c r="P17" s="642">
        <v>3300</v>
      </c>
      <c r="Q17" s="642">
        <v>0</v>
      </c>
      <c r="R17" s="642">
        <f>398146.86483+90924.631844+132.104104-W17</f>
        <v>485963.64306900004</v>
      </c>
      <c r="S17" s="642">
        <f>251106-269.14-253.767587-384.743-299</f>
        <v>249899.34941299999</v>
      </c>
      <c r="T17" s="642">
        <v>16.600000000000001</v>
      </c>
      <c r="U17" s="642">
        <f t="shared" si="19"/>
        <v>3239.9577090000002</v>
      </c>
      <c r="V17" s="642">
        <v>0</v>
      </c>
      <c r="W17" s="642">
        <f>1086.293122+2153.664587</f>
        <v>3239.9577090000002</v>
      </c>
      <c r="X17" s="642">
        <v>38368.757128999998</v>
      </c>
      <c r="Y17" s="700">
        <f t="shared" si="4"/>
        <v>113.77310218220985</v>
      </c>
      <c r="Z17" s="700">
        <f t="shared" si="6"/>
        <v>184.00017439355781</v>
      </c>
      <c r="AA17" s="700" t="str">
        <f t="shared" si="7"/>
        <v/>
      </c>
      <c r="AB17" s="700" t="str">
        <f t="shared" si="8"/>
        <v/>
      </c>
      <c r="AC17" s="700">
        <f t="shared" si="9"/>
        <v>101.42943616229925</v>
      </c>
      <c r="AD17" s="700">
        <f t="shared" si="10"/>
        <v>99.229411298046372</v>
      </c>
      <c r="AE17" s="700">
        <f t="shared" si="11"/>
        <v>72.173913043478265</v>
      </c>
      <c r="AF17" s="700">
        <f t="shared" si="12"/>
        <v>100.71363720857943</v>
      </c>
      <c r="AG17" s="700" t="str">
        <f t="shared" si="13"/>
        <v/>
      </c>
      <c r="AH17" s="700">
        <f t="shared" si="14"/>
        <v>100.71363720857943</v>
      </c>
      <c r="AI17" s="700" t="str">
        <f t="shared" si="15"/>
        <v/>
      </c>
    </row>
    <row r="18" spans="1:35" s="9" customFormat="1" ht="24" customHeight="1">
      <c r="A18" s="584">
        <f t="shared" si="20"/>
        <v>4</v>
      </c>
      <c r="B18" s="656" t="s">
        <v>559</v>
      </c>
      <c r="C18" s="641">
        <f t="shared" si="16"/>
        <v>408442</v>
      </c>
      <c r="D18" s="642">
        <v>15090</v>
      </c>
      <c r="E18" s="642">
        <v>0</v>
      </c>
      <c r="F18" s="642">
        <v>0</v>
      </c>
      <c r="G18" s="642">
        <v>390241</v>
      </c>
      <c r="H18" s="642">
        <v>227126</v>
      </c>
      <c r="I18" s="642">
        <v>0</v>
      </c>
      <c r="J18" s="642">
        <f t="shared" si="17"/>
        <v>3111</v>
      </c>
      <c r="K18" s="642">
        <v>0</v>
      </c>
      <c r="L18" s="696">
        <f>(181+340+510+120+100)+200+800+250+210+400</f>
        <v>3111</v>
      </c>
      <c r="M18" s="642">
        <v>0</v>
      </c>
      <c r="N18" s="641">
        <f t="shared" si="18"/>
        <v>469860.28768000001</v>
      </c>
      <c r="O18" s="642">
        <f>32466.613906+4323.63652</f>
        <v>36790.250425999999</v>
      </c>
      <c r="P18" s="642">
        <v>290.82170000000002</v>
      </c>
      <c r="Q18" s="642">
        <v>0</v>
      </c>
      <c r="R18" s="642">
        <f>334209.989301+76912.231539-W18</f>
        <v>408985.98337200005</v>
      </c>
      <c r="S18" s="642">
        <f>221498.958344+170.818264-0</f>
        <v>221669.77660800001</v>
      </c>
      <c r="T18" s="642">
        <v>0</v>
      </c>
      <c r="U18" s="642">
        <f t="shared" si="19"/>
        <v>2136.2374679999998</v>
      </c>
      <c r="V18" s="642">
        <v>0</v>
      </c>
      <c r="W18" s="642">
        <v>2136.2374679999998</v>
      </c>
      <c r="X18" s="642">
        <v>21947.816414000001</v>
      </c>
      <c r="Y18" s="700">
        <f t="shared" si="4"/>
        <v>115.03721156981896</v>
      </c>
      <c r="Z18" s="700">
        <f t="shared" si="6"/>
        <v>243.80550315440686</v>
      </c>
      <c r="AA18" s="700" t="str">
        <f t="shared" si="7"/>
        <v/>
      </c>
      <c r="AB18" s="700" t="str">
        <f>IF(AND(Q18&lt;&gt;0,F18&lt;&gt;0),Q18/F18%,"")</f>
        <v/>
      </c>
      <c r="AC18" s="700">
        <f t="shared" si="9"/>
        <v>104.80343771464302</v>
      </c>
      <c r="AD18" s="700">
        <f t="shared" si="10"/>
        <v>97.59771078960577</v>
      </c>
      <c r="AE18" s="700" t="str">
        <f t="shared" si="11"/>
        <v/>
      </c>
      <c r="AF18" s="700">
        <f t="shared" si="12"/>
        <v>68.667228158148504</v>
      </c>
      <c r="AG18" s="700" t="str">
        <f t="shared" si="13"/>
        <v/>
      </c>
      <c r="AH18" s="700">
        <f t="shared" si="14"/>
        <v>68.667228158148504</v>
      </c>
      <c r="AI18" s="700" t="str">
        <f t="shared" si="15"/>
        <v/>
      </c>
    </row>
    <row r="19" spans="1:35" s="9" customFormat="1" ht="24" customHeight="1">
      <c r="A19" s="584">
        <f t="shared" si="20"/>
        <v>5</v>
      </c>
      <c r="B19" s="656" t="s">
        <v>560</v>
      </c>
      <c r="C19" s="641">
        <f t="shared" si="16"/>
        <v>315929</v>
      </c>
      <c r="D19" s="642">
        <f>12882</f>
        <v>12882</v>
      </c>
      <c r="E19" s="642">
        <v>0</v>
      </c>
      <c r="F19" s="642">
        <v>0</v>
      </c>
      <c r="G19" s="642">
        <f>301037</f>
        <v>301037</v>
      </c>
      <c r="H19" s="642">
        <v>171841</v>
      </c>
      <c r="I19" s="642">
        <v>0</v>
      </c>
      <c r="J19" s="642">
        <f t="shared" si="17"/>
        <v>2010</v>
      </c>
      <c r="K19" s="642">
        <v>0</v>
      </c>
      <c r="L19" s="696">
        <f>(90+100)+250+800+250+180+340</f>
        <v>2010</v>
      </c>
      <c r="M19" s="642">
        <v>0</v>
      </c>
      <c r="N19" s="641">
        <f t="shared" si="18"/>
        <v>353930.98634900001</v>
      </c>
      <c r="O19" s="642">
        <v>17533.363519999999</v>
      </c>
      <c r="P19" s="642">
        <v>0</v>
      </c>
      <c r="Q19" s="642">
        <v>0</v>
      </c>
      <c r="R19" s="642">
        <f>255675.487598+60394.067865+5.4945-W19</f>
        <v>314125.31771999999</v>
      </c>
      <c r="S19" s="642">
        <f>165089.464096+24.48-786</f>
        <v>164327.94409600002</v>
      </c>
      <c r="T19" s="642">
        <v>0</v>
      </c>
      <c r="U19" s="642">
        <f t="shared" si="19"/>
        <v>1949.7322429999999</v>
      </c>
      <c r="V19" s="642">
        <v>0</v>
      </c>
      <c r="W19" s="642">
        <v>1949.7322429999999</v>
      </c>
      <c r="X19" s="642">
        <v>20322.572865999999</v>
      </c>
      <c r="Y19" s="700">
        <f t="shared" si="4"/>
        <v>112.02864768634726</v>
      </c>
      <c r="Z19" s="700">
        <f t="shared" si="6"/>
        <v>136.10746405837602</v>
      </c>
      <c r="AA19" s="700" t="str">
        <f t="shared" si="7"/>
        <v/>
      </c>
      <c r="AB19" s="700" t="str">
        <f t="shared" si="8"/>
        <v/>
      </c>
      <c r="AC19" s="700">
        <f t="shared" si="9"/>
        <v>104.34774387201573</v>
      </c>
      <c r="AD19" s="700">
        <f t="shared" si="10"/>
        <v>95.627902593676723</v>
      </c>
      <c r="AE19" s="700" t="str">
        <f t="shared" si="11"/>
        <v/>
      </c>
      <c r="AF19" s="700">
        <f t="shared" si="12"/>
        <v>97.001604129353225</v>
      </c>
      <c r="AG19" s="700" t="str">
        <f t="shared" si="13"/>
        <v/>
      </c>
      <c r="AH19" s="700">
        <f t="shared" si="14"/>
        <v>97.001604129353225</v>
      </c>
      <c r="AI19" s="700" t="str">
        <f t="shared" si="15"/>
        <v/>
      </c>
    </row>
    <row r="20" spans="1:35" s="9" customFormat="1" ht="24" customHeight="1">
      <c r="A20" s="584">
        <f t="shared" si="20"/>
        <v>6</v>
      </c>
      <c r="B20" s="23" t="s">
        <v>561</v>
      </c>
      <c r="C20" s="641">
        <f t="shared" si="16"/>
        <v>300292</v>
      </c>
      <c r="D20" s="642">
        <v>15179</v>
      </c>
      <c r="E20" s="642">
        <v>345.93799999999999</v>
      </c>
      <c r="F20" s="642">
        <v>0</v>
      </c>
      <c r="G20" s="642">
        <f>282907</f>
        <v>282907</v>
      </c>
      <c r="H20" s="642">
        <f>148629.834</f>
        <v>148629.834</v>
      </c>
      <c r="I20" s="642">
        <v>0</v>
      </c>
      <c r="J20" s="642">
        <f t="shared" si="17"/>
        <v>2206</v>
      </c>
      <c r="K20" s="642">
        <v>0</v>
      </c>
      <c r="L20" s="696">
        <f>(86+100)+240+800+500+170+310</f>
        <v>2206</v>
      </c>
      <c r="M20" s="642">
        <v>0</v>
      </c>
      <c r="N20" s="641">
        <f t="shared" si="18"/>
        <v>357417.25270199997</v>
      </c>
      <c r="O20" s="642">
        <f>23279.259385+2771.7624</f>
        <v>26051.021785000001</v>
      </c>
      <c r="P20" s="642">
        <v>695.93799999999999</v>
      </c>
      <c r="Q20" s="642">
        <v>0</v>
      </c>
      <c r="R20" s="642">
        <f>259978.248914+51483.500177-W20</f>
        <v>309336.94659100001</v>
      </c>
      <c r="S20" s="642">
        <f>148717.272863+208.07-794.507</f>
        <v>148130.83586299999</v>
      </c>
      <c r="T20" s="642">
        <v>39.984999999999999</v>
      </c>
      <c r="U20" s="642">
        <f t="shared" si="19"/>
        <v>2124.8024999999998</v>
      </c>
      <c r="V20" s="642">
        <v>0</v>
      </c>
      <c r="W20" s="642">
        <v>2124.8024999999998</v>
      </c>
      <c r="X20" s="642">
        <v>19904.481825999999</v>
      </c>
      <c r="Y20" s="700">
        <f t="shared" si="4"/>
        <v>119.02323495198006</v>
      </c>
      <c r="Z20" s="700">
        <f t="shared" si="6"/>
        <v>171.6254152776863</v>
      </c>
      <c r="AA20" s="700">
        <f t="shared" si="7"/>
        <v>201.17419884487973</v>
      </c>
      <c r="AB20" s="700" t="str">
        <f t="shared" si="8"/>
        <v/>
      </c>
      <c r="AC20" s="700">
        <f t="shared" si="9"/>
        <v>109.34227381825123</v>
      </c>
      <c r="AD20" s="700">
        <f t="shared" si="10"/>
        <v>99.664267850154488</v>
      </c>
      <c r="AE20" s="700" t="str">
        <f t="shared" si="11"/>
        <v/>
      </c>
      <c r="AF20" s="700">
        <f t="shared" si="12"/>
        <v>96.319242973708072</v>
      </c>
      <c r="AG20" s="700" t="str">
        <f t="shared" si="13"/>
        <v/>
      </c>
      <c r="AH20" s="700">
        <f t="shared" si="14"/>
        <v>96.319242973708072</v>
      </c>
      <c r="AI20" s="700" t="str">
        <f t="shared" si="15"/>
        <v/>
      </c>
    </row>
    <row r="21" spans="1:35" s="9" customFormat="1" ht="24" customHeight="1">
      <c r="A21" s="584">
        <f t="shared" si="20"/>
        <v>7</v>
      </c>
      <c r="B21" s="23" t="s">
        <v>562</v>
      </c>
      <c r="C21" s="641">
        <f t="shared" si="16"/>
        <v>420413</v>
      </c>
      <c r="D21" s="642">
        <v>16090</v>
      </c>
      <c r="E21" s="642">
        <v>0</v>
      </c>
      <c r="F21" s="642">
        <v>0</v>
      </c>
      <c r="G21" s="642">
        <v>398853</v>
      </c>
      <c r="H21" s="642">
        <v>221487</v>
      </c>
      <c r="I21" s="642">
        <v>0</v>
      </c>
      <c r="J21" s="642">
        <f t="shared" si="17"/>
        <v>5470</v>
      </c>
      <c r="K21" s="642">
        <v>0</v>
      </c>
      <c r="L21" s="696">
        <f>(542+1021+1532+130+155)+400+800+250+220+420</f>
        <v>5470</v>
      </c>
      <c r="M21" s="642">
        <v>0</v>
      </c>
      <c r="N21" s="641">
        <f t="shared" si="18"/>
        <v>455738.69445700001</v>
      </c>
      <c r="O21" s="642">
        <f>33722.558185+3572.773248</f>
        <v>37295.331432999999</v>
      </c>
      <c r="P21" s="642">
        <v>1469.758145</v>
      </c>
      <c r="Q21" s="642">
        <v>0</v>
      </c>
      <c r="R21" s="642">
        <f>308968.62331+80964.106286-W21</f>
        <v>382306.66717299999</v>
      </c>
      <c r="S21" s="642">
        <f>196769.327605+218.6286-1370.955269</f>
        <v>195617.000936</v>
      </c>
      <c r="T21" s="642">
        <v>68.816999999999993</v>
      </c>
      <c r="U21" s="642">
        <f t="shared" si="19"/>
        <v>7626.0624230000003</v>
      </c>
      <c r="V21" s="642">
        <v>0</v>
      </c>
      <c r="W21" s="642">
        <v>7626.0624230000003</v>
      </c>
      <c r="X21" s="642">
        <v>28510.633428000001</v>
      </c>
      <c r="Y21" s="700">
        <f t="shared" si="4"/>
        <v>108.40261705917752</v>
      </c>
      <c r="Z21" s="700">
        <f t="shared" si="6"/>
        <v>231.79199150403977</v>
      </c>
      <c r="AA21" s="700" t="str">
        <f t="shared" si="7"/>
        <v/>
      </c>
      <c r="AB21" s="700" t="str">
        <f t="shared" si="8"/>
        <v/>
      </c>
      <c r="AC21" s="700">
        <f t="shared" si="9"/>
        <v>95.851521029802953</v>
      </c>
      <c r="AD21" s="700">
        <f t="shared" si="10"/>
        <v>88.319856666982716</v>
      </c>
      <c r="AE21" s="700" t="str">
        <f t="shared" si="11"/>
        <v/>
      </c>
      <c r="AF21" s="700">
        <f t="shared" si="12"/>
        <v>139.41613204753199</v>
      </c>
      <c r="AG21" s="700" t="str">
        <f t="shared" si="13"/>
        <v/>
      </c>
      <c r="AH21" s="700">
        <f t="shared" si="14"/>
        <v>139.41613204753199</v>
      </c>
      <c r="AI21" s="700" t="str">
        <f t="shared" si="15"/>
        <v/>
      </c>
    </row>
    <row r="22" spans="1:35" s="9" customFormat="1" ht="24" customHeight="1">
      <c r="A22" s="584">
        <f t="shared" si="20"/>
        <v>8</v>
      </c>
      <c r="B22" s="23" t="s">
        <v>563</v>
      </c>
      <c r="C22" s="641">
        <f t="shared" si="16"/>
        <v>600086</v>
      </c>
      <c r="D22" s="642">
        <v>31482</v>
      </c>
      <c r="E22" s="642">
        <v>0</v>
      </c>
      <c r="F22" s="642">
        <v>0</v>
      </c>
      <c r="G22" s="642">
        <v>562289</v>
      </c>
      <c r="H22" s="642">
        <v>332609</v>
      </c>
      <c r="I22" s="642">
        <v>0</v>
      </c>
      <c r="J22" s="642">
        <f t="shared" si="17"/>
        <v>6315</v>
      </c>
      <c r="K22" s="642">
        <v>0</v>
      </c>
      <c r="L22" s="696">
        <f>(542+1021+1532+200+250)+300+800+750+320+600</f>
        <v>6315</v>
      </c>
      <c r="M22" s="642">
        <v>0</v>
      </c>
      <c r="N22" s="641">
        <f t="shared" si="18"/>
        <v>736732.19885599997</v>
      </c>
      <c r="O22" s="642">
        <f>63097.501438+7329.702821</f>
        <v>70427.204259000006</v>
      </c>
      <c r="P22" s="642">
        <v>25.2075</v>
      </c>
      <c r="Q22" s="642">
        <v>0</v>
      </c>
      <c r="R22" s="642">
        <f>459857.407237+108032.64801-W22</f>
        <v>561718.38025399996</v>
      </c>
      <c r="S22" s="642">
        <f>295091.511263+43.389-1554.774993</f>
        <v>293580.12527000002</v>
      </c>
      <c r="T22" s="642">
        <v>0</v>
      </c>
      <c r="U22" s="642">
        <f t="shared" si="19"/>
        <v>6171.6749929999996</v>
      </c>
      <c r="V22" s="642">
        <v>0</v>
      </c>
      <c r="W22" s="642">
        <v>6171.6749929999996</v>
      </c>
      <c r="X22" s="642">
        <v>98414.939350000001</v>
      </c>
      <c r="Y22" s="700">
        <f t="shared" si="4"/>
        <v>122.77110261795809</v>
      </c>
      <c r="Z22" s="700">
        <f t="shared" si="6"/>
        <v>223.70625836668574</v>
      </c>
      <c r="AA22" s="700" t="str">
        <f t="shared" si="7"/>
        <v/>
      </c>
      <c r="AB22" s="700" t="str">
        <f t="shared" si="8"/>
        <v/>
      </c>
      <c r="AC22" s="700">
        <f t="shared" si="9"/>
        <v>99.898518422732778</v>
      </c>
      <c r="AD22" s="700">
        <f t="shared" si="10"/>
        <v>88.265839249689577</v>
      </c>
      <c r="AE22" s="700" t="str">
        <f t="shared" si="11"/>
        <v/>
      </c>
      <c r="AF22" s="700">
        <f t="shared" si="12"/>
        <v>97.730403689627863</v>
      </c>
      <c r="AG22" s="700" t="str">
        <f t="shared" si="13"/>
        <v/>
      </c>
      <c r="AH22" s="700">
        <f t="shared" si="14"/>
        <v>97.730403689627863</v>
      </c>
      <c r="AI22" s="700" t="str">
        <f t="shared" si="15"/>
        <v/>
      </c>
    </row>
    <row r="23" spans="1:35" s="9" customFormat="1" ht="24" customHeight="1">
      <c r="A23" s="651">
        <f t="shared" si="20"/>
        <v>9</v>
      </c>
      <c r="B23" s="652" t="s">
        <v>564</v>
      </c>
      <c r="C23" s="650">
        <f t="shared" si="16"/>
        <v>431136</v>
      </c>
      <c r="D23" s="649">
        <v>21272.545999999998</v>
      </c>
      <c r="E23" s="649">
        <v>0</v>
      </c>
      <c r="F23" s="649">
        <v>0</v>
      </c>
      <c r="G23" s="649">
        <v>405489.45400000003</v>
      </c>
      <c r="H23" s="649">
        <v>221342.25599999999</v>
      </c>
      <c r="I23" s="649">
        <v>0</v>
      </c>
      <c r="J23" s="649">
        <f t="shared" si="17"/>
        <v>4374</v>
      </c>
      <c r="K23" s="649">
        <v>0</v>
      </c>
      <c r="L23" s="734">
        <f>(361+681+1022+110+150)+300+800+250+240+460</f>
        <v>4374</v>
      </c>
      <c r="M23" s="649">
        <v>0</v>
      </c>
      <c r="N23" s="650">
        <f t="shared" si="18"/>
        <v>510241.70349499997</v>
      </c>
      <c r="O23" s="649">
        <f>25297.355998+4492.761753</f>
        <v>29790.117750999998</v>
      </c>
      <c r="P23" s="649">
        <v>1043.8078</v>
      </c>
      <c r="Q23" s="649">
        <v>0</v>
      </c>
      <c r="R23" s="649">
        <f>364520.694708+84478.116122-W23</f>
        <v>445014.66803</v>
      </c>
      <c r="S23" s="649">
        <f>233999.005261-1061.5407</f>
        <v>232937.464561</v>
      </c>
      <c r="T23" s="649">
        <v>29.550999999999998</v>
      </c>
      <c r="U23" s="649">
        <f t="shared" si="19"/>
        <v>3984.1428000000001</v>
      </c>
      <c r="V23" s="649">
        <v>0</v>
      </c>
      <c r="W23" s="649">
        <v>3984.1428000000001</v>
      </c>
      <c r="X23" s="649">
        <v>31452.774914000001</v>
      </c>
      <c r="Y23" s="762">
        <f t="shared" si="4"/>
        <v>118.34820184234209</v>
      </c>
      <c r="Z23" s="762">
        <f t="shared" si="6"/>
        <v>140.04020840288698</v>
      </c>
      <c r="AA23" s="762" t="str">
        <f t="shared" si="7"/>
        <v/>
      </c>
      <c r="AB23" s="762" t="str">
        <f t="shared" si="8"/>
        <v/>
      </c>
      <c r="AC23" s="762">
        <f t="shared" si="9"/>
        <v>109.74753193704514</v>
      </c>
      <c r="AD23" s="762">
        <f t="shared" si="10"/>
        <v>105.23858786412659</v>
      </c>
      <c r="AE23" s="762" t="str">
        <f t="shared" si="11"/>
        <v/>
      </c>
      <c r="AF23" s="762">
        <f t="shared" si="12"/>
        <v>91.086941015089167</v>
      </c>
      <c r="AG23" s="762" t="str">
        <f t="shared" si="13"/>
        <v/>
      </c>
      <c r="AH23" s="762">
        <f t="shared" si="14"/>
        <v>91.086941015089167</v>
      </c>
      <c r="AI23" s="762" t="str">
        <f t="shared" si="15"/>
        <v/>
      </c>
    </row>
    <row r="24" spans="1:35" s="9" customFormat="1" ht="30.75" hidden="1" customHeight="1">
      <c r="A24" s="30">
        <f t="shared" si="20"/>
        <v>10</v>
      </c>
      <c r="B24" s="70"/>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s="9" customFormat="1" ht="30.75" hidden="1" customHeight="1">
      <c r="A25" s="30">
        <f t="shared" si="20"/>
        <v>11</v>
      </c>
      <c r="B25" s="70"/>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row>
    <row r="26" spans="1:35" s="9" customFormat="1" ht="30.75" hidden="1" customHeight="1">
      <c r="A26" s="30">
        <f t="shared" si="20"/>
        <v>12</v>
      </c>
      <c r="B26" s="70"/>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row>
    <row r="27" spans="1:35" s="9" customFormat="1" ht="30.75" hidden="1" customHeight="1">
      <c r="A27" s="30">
        <f t="shared" si="20"/>
        <v>13</v>
      </c>
      <c r="B27" s="70"/>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row>
    <row r="28" spans="1:35" s="9" customFormat="1" ht="30.75" hidden="1" customHeight="1">
      <c r="A28" s="30">
        <f t="shared" si="20"/>
        <v>14</v>
      </c>
      <c r="B28" s="70"/>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row>
    <row r="29" spans="1:35" s="9" customFormat="1" ht="30.75" hidden="1" customHeight="1">
      <c r="A29" s="30">
        <f t="shared" si="20"/>
        <v>15</v>
      </c>
      <c r="B29" s="70"/>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row>
    <row r="30" spans="1:35" s="9" customFormat="1" ht="30.75" hidden="1" customHeight="1">
      <c r="A30" s="30">
        <f t="shared" si="20"/>
        <v>16</v>
      </c>
      <c r="B30" s="70"/>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row>
    <row r="31" spans="1:35" s="9" customFormat="1" ht="30.75" hidden="1" customHeight="1">
      <c r="A31" s="30">
        <f t="shared" si="20"/>
        <v>17</v>
      </c>
      <c r="B31" s="70"/>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row>
    <row r="32" spans="1:35" s="9" customFormat="1" ht="30.75" hidden="1" customHeight="1">
      <c r="A32" s="30">
        <f t="shared" si="20"/>
        <v>18</v>
      </c>
      <c r="B32" s="70"/>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row>
    <row r="33" spans="1:35" s="9" customFormat="1" ht="30.75" hidden="1" customHeight="1">
      <c r="A33" s="30">
        <f t="shared" si="20"/>
        <v>19</v>
      </c>
      <c r="B33" s="70"/>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s="9" customFormat="1" ht="30.75" hidden="1" customHeight="1">
      <c r="A34" s="30">
        <f t="shared" si="20"/>
        <v>20</v>
      </c>
      <c r="B34" s="70"/>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s="9" customFormat="1" ht="30.75" hidden="1" customHeight="1">
      <c r="A35" s="30">
        <f t="shared" si="20"/>
        <v>21</v>
      </c>
      <c r="B35" s="70"/>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s="9" customFormat="1" ht="30.75" hidden="1" customHeight="1">
      <c r="A36" s="30">
        <f t="shared" si="20"/>
        <v>22</v>
      </c>
      <c r="B36" s="70"/>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s="9" customFormat="1" ht="30.75" hidden="1" customHeight="1">
      <c r="A37" s="30">
        <f t="shared" si="20"/>
        <v>23</v>
      </c>
      <c r="B37" s="70"/>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row>
    <row r="38" spans="1:35" s="9" customFormat="1" ht="30.75" hidden="1" customHeight="1">
      <c r="A38" s="30">
        <f t="shared" si="20"/>
        <v>24</v>
      </c>
      <c r="B38" s="70"/>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row>
    <row r="39" spans="1:35" s="9" customFormat="1" ht="30.75" hidden="1" customHeight="1">
      <c r="A39" s="30">
        <f t="shared" si="20"/>
        <v>25</v>
      </c>
      <c r="B39" s="70"/>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s="9" customFormat="1" ht="30.75" hidden="1" customHeight="1">
      <c r="A40" s="30">
        <f t="shared" si="20"/>
        <v>26</v>
      </c>
      <c r="B40" s="70"/>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s="9" customFormat="1" ht="30.75" hidden="1" customHeight="1">
      <c r="A41" s="30">
        <f t="shared" si="20"/>
        <v>27</v>
      </c>
      <c r="B41" s="70"/>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row>
    <row r="42" spans="1:35" ht="18.7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row>
    <row r="43" spans="1:35" ht="18.75" hidden="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row>
    <row r="44" spans="1:35" ht="18.75" hidden="1">
      <c r="A44" s="9"/>
      <c r="B44" s="9"/>
      <c r="C44" s="9"/>
      <c r="D44" s="9"/>
      <c r="E44" s="9"/>
      <c r="F44" s="9"/>
      <c r="G44" s="9"/>
      <c r="H44" s="9"/>
      <c r="I44" s="9"/>
      <c r="J44" s="9"/>
      <c r="K44" s="9"/>
      <c r="L44" s="9"/>
      <c r="M44" s="9"/>
      <c r="N44" s="984">
        <f>O14</f>
        <v>357464.08216410002</v>
      </c>
      <c r="O44" s="984"/>
      <c r="P44" s="9"/>
      <c r="Q44" s="9"/>
      <c r="R44" s="9"/>
      <c r="S44" s="9"/>
      <c r="T44" s="9"/>
      <c r="U44" s="9"/>
      <c r="V44" s="9"/>
      <c r="W44" s="983"/>
      <c r="X44" s="983"/>
      <c r="Y44" s="9"/>
      <c r="Z44" s="9"/>
      <c r="AA44" s="9"/>
      <c r="AB44" s="9"/>
      <c r="AC44" s="9"/>
      <c r="AD44" s="9"/>
      <c r="AE44" s="9"/>
      <c r="AF44" s="9"/>
      <c r="AG44" s="9"/>
      <c r="AH44" s="9"/>
      <c r="AI44" s="9"/>
    </row>
    <row r="45" spans="1:35" ht="18.75" hidden="1">
      <c r="A45" s="9"/>
      <c r="B45" s="9"/>
      <c r="C45" s="9"/>
      <c r="D45" s="9"/>
      <c r="E45" s="9"/>
      <c r="F45" s="9"/>
      <c r="G45" s="9"/>
      <c r="H45" s="9"/>
      <c r="I45" s="9"/>
      <c r="J45" s="9"/>
      <c r="K45" s="9"/>
      <c r="L45" s="9"/>
      <c r="M45" s="9"/>
      <c r="N45" s="984">
        <f>320338.976008+37124.988914</f>
        <v>357463.96492200001</v>
      </c>
      <c r="O45" s="984"/>
      <c r="P45" s="9"/>
      <c r="Q45" s="9"/>
      <c r="R45" s="9"/>
      <c r="S45" s="9"/>
      <c r="T45" s="9"/>
      <c r="U45" s="9"/>
      <c r="V45" s="9"/>
      <c r="W45" s="985"/>
      <c r="X45" s="985"/>
      <c r="Y45" s="9"/>
      <c r="Z45" s="9"/>
      <c r="AA45" s="9"/>
      <c r="AB45" s="9"/>
      <c r="AC45" s="9"/>
      <c r="AD45" s="9"/>
      <c r="AE45" s="9"/>
      <c r="AF45" s="9"/>
      <c r="AG45" s="9"/>
      <c r="AH45" s="9"/>
      <c r="AI45" s="9"/>
    </row>
    <row r="46" spans="1:35" ht="18.75" hidden="1">
      <c r="A46" s="9"/>
      <c r="B46" s="9"/>
      <c r="C46" s="9"/>
      <c r="D46" s="9"/>
      <c r="E46" s="9"/>
      <c r="F46" s="9"/>
      <c r="G46" s="9"/>
      <c r="H46" s="9"/>
      <c r="I46" s="9"/>
      <c r="J46" s="9"/>
      <c r="K46" s="9"/>
      <c r="L46" s="9"/>
      <c r="M46" s="9"/>
      <c r="N46" s="9"/>
      <c r="O46" s="9"/>
      <c r="P46" s="9"/>
      <c r="Q46" s="9"/>
      <c r="R46" s="984">
        <f>R14+U14</f>
        <v>3749650.7113619996</v>
      </c>
      <c r="S46" s="984"/>
      <c r="T46" s="9"/>
      <c r="U46" s="9"/>
      <c r="V46" s="9"/>
      <c r="W46" s="9"/>
      <c r="X46" s="9"/>
      <c r="Y46" s="9"/>
      <c r="Z46" s="9"/>
      <c r="AA46" s="9"/>
      <c r="AB46" s="9"/>
      <c r="AC46" s="9"/>
      <c r="AD46" s="9"/>
      <c r="AE46" s="9"/>
      <c r="AF46" s="9"/>
      <c r="AG46" s="9"/>
      <c r="AH46" s="9"/>
      <c r="AI46" s="9"/>
    </row>
    <row r="47" spans="1:35" ht="18.75" hidden="1">
      <c r="A47" s="9"/>
      <c r="B47" s="9"/>
      <c r="C47" s="9"/>
      <c r="D47" s="9"/>
      <c r="E47" s="9"/>
      <c r="F47" s="9"/>
      <c r="G47" s="9"/>
      <c r="H47" s="9"/>
      <c r="I47" s="9"/>
      <c r="J47" s="9"/>
      <c r="K47" s="9"/>
      <c r="L47" s="9"/>
      <c r="M47" s="9"/>
      <c r="N47" s="9"/>
      <c r="O47" s="9"/>
      <c r="P47" s="9"/>
      <c r="Q47" s="9"/>
      <c r="R47" s="984">
        <f>3029290.148366+719783.420392</f>
        <v>3749073.5687580002</v>
      </c>
      <c r="S47" s="984"/>
      <c r="T47" s="9"/>
      <c r="U47" s="9"/>
      <c r="V47" s="9"/>
      <c r="W47" s="9"/>
      <c r="X47" s="9"/>
      <c r="Y47" s="9"/>
      <c r="Z47" s="9"/>
      <c r="AA47" s="9"/>
      <c r="AB47" s="9"/>
      <c r="AC47" s="9"/>
      <c r="AD47" s="9"/>
      <c r="AE47" s="9"/>
      <c r="AF47" s="9"/>
      <c r="AG47" s="9"/>
      <c r="AH47" s="9"/>
      <c r="AI47" s="9"/>
    </row>
    <row r="48" spans="1:35" ht="18.75" hidden="1">
      <c r="A48" s="9"/>
      <c r="B48" s="9"/>
      <c r="C48" s="9"/>
      <c r="D48" s="9"/>
      <c r="E48" s="9"/>
      <c r="F48" s="9"/>
      <c r="G48" s="9"/>
      <c r="H48" s="9"/>
      <c r="I48" s="9"/>
      <c r="J48" s="9"/>
      <c r="K48" s="9"/>
      <c r="L48" s="9"/>
      <c r="M48" s="9"/>
      <c r="N48" s="9"/>
      <c r="O48" s="9"/>
      <c r="P48" s="9"/>
      <c r="Q48" s="9"/>
      <c r="R48" s="984">
        <f>R46-R47</f>
        <v>577.14260399946943</v>
      </c>
      <c r="S48" s="984"/>
      <c r="T48" s="9"/>
      <c r="U48" s="9"/>
      <c r="V48" s="9"/>
      <c r="W48" s="9"/>
      <c r="X48" s="9"/>
      <c r="Y48" s="9"/>
      <c r="Z48" s="9"/>
      <c r="AA48" s="9"/>
      <c r="AB48" s="9"/>
      <c r="AC48" s="9"/>
      <c r="AD48" s="9"/>
      <c r="AE48" s="9"/>
      <c r="AF48" s="9"/>
      <c r="AG48" s="9"/>
      <c r="AH48" s="9"/>
      <c r="AI48" s="9"/>
    </row>
    <row r="49" spans="1:35" ht="18.7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row>
    <row r="50" spans="1:35" ht="18.7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row>
    <row r="51" spans="1:35" ht="18.7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row>
    <row r="52" spans="1:35" ht="18.7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row>
  </sheetData>
  <mergeCells count="48">
    <mergeCell ref="A1:AI1"/>
    <mergeCell ref="A2:AI2"/>
    <mergeCell ref="R47:S47"/>
    <mergeCell ref="R48:S48"/>
    <mergeCell ref="AF11:AF12"/>
    <mergeCell ref="AI10:AI12"/>
    <mergeCell ref="J11:J12"/>
    <mergeCell ref="M10:M12"/>
    <mergeCell ref="N10:N12"/>
    <mergeCell ref="O11:O12"/>
    <mergeCell ref="U11:U12"/>
    <mergeCell ref="AF10:AH10"/>
    <mergeCell ref="AG11:AH11"/>
    <mergeCell ref="N44:O44"/>
    <mergeCell ref="N45:O45"/>
    <mergeCell ref="W45:X45"/>
    <mergeCell ref="W44:X44"/>
    <mergeCell ref="R46:S46"/>
    <mergeCell ref="A9:A12"/>
    <mergeCell ref="C10:C12"/>
    <mergeCell ref="D11:D12"/>
    <mergeCell ref="E11:F11"/>
    <mergeCell ref="H11:I11"/>
    <mergeCell ref="K11:L11"/>
    <mergeCell ref="S11:T11"/>
    <mergeCell ref="Z10:AB10"/>
    <mergeCell ref="AC10:AE10"/>
    <mergeCell ref="AA11:AB11"/>
    <mergeCell ref="AD11:AE11"/>
    <mergeCell ref="X10:X12"/>
    <mergeCell ref="Y10:Y12"/>
    <mergeCell ref="Z11:Z12"/>
    <mergeCell ref="A3:AI3"/>
    <mergeCell ref="A4:AI4"/>
    <mergeCell ref="H8:I8"/>
    <mergeCell ref="D10:F10"/>
    <mergeCell ref="G10:I10"/>
    <mergeCell ref="J10:L10"/>
    <mergeCell ref="B9:B12"/>
    <mergeCell ref="S8:T8"/>
    <mergeCell ref="Y9:AI9"/>
    <mergeCell ref="N9:X9"/>
    <mergeCell ref="U10:W10"/>
    <mergeCell ref="V11:W11"/>
    <mergeCell ref="C9:M9"/>
    <mergeCell ref="O10:Q10"/>
    <mergeCell ref="R10:T10"/>
    <mergeCell ref="P11:Q11"/>
  </mergeCells>
  <pageMargins left="0.19685039370078741" right="0.23622047244094491" top="0.55118110236220474" bottom="0.19685039370078741" header="0.43307086614173229" footer="0.15748031496062992"/>
  <pageSetup paperSize="8" scale="50" fitToHeight="5" orientation="landscape" r:id="rId1"/>
  <headerFooter alignWithMargins="0">
    <oddHeader>&amp;C&amp;"Times New Roman,Regular"</oddHeader>
    <oddFooter>&amp;C&amp;".VnTime,Italic"&amp;8</oddFooter>
  </headerFooter>
</worksheet>
</file>

<file path=xl/worksheets/sheet21.xml><?xml version="1.0" encoding="utf-8"?>
<worksheet xmlns="http://schemas.openxmlformats.org/spreadsheetml/2006/main" xmlns:r="http://schemas.openxmlformats.org/officeDocument/2006/relationships">
  <sheetPr>
    <tabColor rgb="FF00B0F0"/>
  </sheetPr>
  <dimension ref="A1:AI36"/>
  <sheetViews>
    <sheetView zoomScale="70" zoomScaleNormal="70" workbookViewId="0">
      <selection activeCell="A4" sqref="A4:BA4"/>
    </sheetView>
  </sheetViews>
  <sheetFormatPr defaultColWidth="9" defaultRowHeight="15.75"/>
  <cols>
    <col min="1" max="1" width="4.5" style="4" customWidth="1"/>
    <col min="2" max="2" width="23.375" style="4" customWidth="1"/>
    <col min="3" max="3" width="13.125" style="4" customWidth="1"/>
    <col min="4" max="4" width="13" style="4" customWidth="1"/>
    <col min="5" max="5" width="11.125" style="4" customWidth="1"/>
    <col min="6" max="6" width="8.5" style="4" customWidth="1"/>
    <col min="7" max="7" width="11" style="4" customWidth="1"/>
    <col min="8" max="8" width="8.875" style="4" customWidth="1"/>
    <col min="9" max="9" width="11.125" style="4" customWidth="1"/>
    <col min="10" max="10" width="10.875" style="4" customWidth="1"/>
    <col min="11" max="11" width="12.375" style="4" customWidth="1"/>
    <col min="12" max="12" width="11.75" style="4" customWidth="1"/>
    <col min="13" max="13" width="10.875" style="4" customWidth="1"/>
    <col min="14" max="14" width="8.5" style="4" customWidth="1"/>
    <col min="15" max="15" width="10.125" style="4" customWidth="1"/>
    <col min="16" max="16" width="9" style="4" customWidth="1"/>
    <col min="17" max="17" width="12.375" style="4" customWidth="1"/>
    <col min="18" max="18" width="11.5" style="4" customWidth="1"/>
    <col min="19" max="26" width="9.25" style="4" customWidth="1"/>
    <col min="27" max="16384" width="9" style="4"/>
  </cols>
  <sheetData>
    <row r="1" spans="1:35" ht="21" customHeight="1">
      <c r="A1" s="950" t="s">
        <v>673</v>
      </c>
      <c r="B1" s="950"/>
      <c r="C1" s="950"/>
      <c r="D1" s="950"/>
      <c r="E1" s="950"/>
      <c r="F1" s="950"/>
      <c r="G1" s="950"/>
      <c r="H1" s="950"/>
      <c r="I1" s="950"/>
      <c r="J1" s="950"/>
      <c r="K1" s="950"/>
      <c r="L1" s="950"/>
      <c r="M1" s="950"/>
      <c r="N1" s="950"/>
      <c r="O1" s="950"/>
      <c r="P1" s="950"/>
      <c r="Q1" s="950"/>
      <c r="R1" s="950"/>
      <c r="S1" s="950"/>
      <c r="T1" s="950"/>
      <c r="U1" s="950"/>
      <c r="V1" s="950"/>
      <c r="W1" s="950"/>
      <c r="X1" s="950"/>
      <c r="Y1" s="950"/>
      <c r="Z1" s="950"/>
      <c r="AA1" s="800"/>
      <c r="AB1" s="800"/>
      <c r="AC1" s="800"/>
      <c r="AD1" s="800"/>
      <c r="AE1" s="800"/>
      <c r="AF1" s="800"/>
      <c r="AG1" s="800"/>
      <c r="AH1" s="800"/>
      <c r="AI1" s="800"/>
    </row>
    <row r="2" spans="1:35" ht="21" customHeight="1">
      <c r="A2" s="970" t="s">
        <v>681</v>
      </c>
      <c r="B2" s="970"/>
      <c r="C2" s="970"/>
      <c r="D2" s="970"/>
      <c r="E2" s="970"/>
      <c r="F2" s="970"/>
      <c r="G2" s="970"/>
      <c r="H2" s="970"/>
      <c r="I2" s="970"/>
      <c r="J2" s="970"/>
      <c r="K2" s="970"/>
      <c r="L2" s="970"/>
      <c r="M2" s="970"/>
      <c r="N2" s="970"/>
      <c r="O2" s="970"/>
      <c r="P2" s="970"/>
      <c r="Q2" s="970"/>
      <c r="R2" s="970"/>
      <c r="S2" s="970"/>
      <c r="T2" s="970"/>
      <c r="U2" s="970"/>
      <c r="V2" s="970"/>
      <c r="W2" s="970"/>
      <c r="X2" s="970"/>
      <c r="Y2" s="970"/>
      <c r="Z2" s="970"/>
      <c r="AA2" s="800"/>
      <c r="AB2" s="800"/>
      <c r="AC2" s="800"/>
      <c r="AD2" s="800"/>
      <c r="AE2" s="800"/>
      <c r="AF2" s="800"/>
      <c r="AG2" s="800"/>
      <c r="AH2" s="800"/>
      <c r="AI2" s="800"/>
    </row>
    <row r="3" spans="1:35" ht="21" customHeight="1">
      <c r="A3" s="950" t="s">
        <v>565</v>
      </c>
      <c r="B3" s="950"/>
      <c r="C3" s="950"/>
      <c r="D3" s="950"/>
      <c r="E3" s="950"/>
      <c r="F3" s="950"/>
      <c r="G3" s="950"/>
      <c r="H3" s="950"/>
      <c r="I3" s="950"/>
      <c r="J3" s="950"/>
      <c r="K3" s="950"/>
      <c r="L3" s="950"/>
      <c r="M3" s="950"/>
      <c r="N3" s="950"/>
      <c r="O3" s="950"/>
      <c r="P3" s="950"/>
      <c r="Q3" s="950"/>
      <c r="R3" s="950"/>
      <c r="S3" s="950"/>
      <c r="T3" s="950"/>
      <c r="U3" s="950"/>
      <c r="V3" s="950"/>
      <c r="W3" s="950"/>
      <c r="X3" s="950"/>
      <c r="Y3" s="950"/>
      <c r="Z3" s="950"/>
      <c r="AA3" s="799"/>
      <c r="AB3" s="799"/>
      <c r="AC3" s="799"/>
      <c r="AD3" s="799"/>
      <c r="AE3" s="799"/>
      <c r="AF3" s="799"/>
      <c r="AG3" s="799"/>
      <c r="AH3" s="799"/>
      <c r="AI3" s="799"/>
    </row>
    <row r="4" spans="1:35" ht="21" customHeight="1">
      <c r="A4" s="995" t="s">
        <v>682</v>
      </c>
      <c r="B4" s="995"/>
      <c r="C4" s="995"/>
      <c r="D4" s="995"/>
      <c r="E4" s="995"/>
      <c r="F4" s="995"/>
      <c r="G4" s="995"/>
      <c r="H4" s="995"/>
      <c r="I4" s="995"/>
      <c r="J4" s="995"/>
      <c r="K4" s="995"/>
      <c r="L4" s="995"/>
      <c r="M4" s="995"/>
      <c r="N4" s="995"/>
      <c r="O4" s="995"/>
      <c r="P4" s="995"/>
      <c r="Q4" s="995"/>
      <c r="R4" s="995"/>
      <c r="S4" s="995"/>
      <c r="T4" s="995"/>
      <c r="U4" s="995"/>
      <c r="V4" s="995"/>
      <c r="W4" s="995"/>
      <c r="X4" s="995"/>
      <c r="Y4" s="995"/>
      <c r="Z4" s="995"/>
    </row>
    <row r="5" spans="1:35" ht="21" customHeight="1">
      <c r="A5" s="757"/>
      <c r="B5" s="757"/>
      <c r="C5" s="757"/>
      <c r="D5" s="757"/>
      <c r="E5" s="757"/>
      <c r="F5" s="757"/>
      <c r="G5" s="757"/>
      <c r="H5" s="757"/>
      <c r="I5" s="757"/>
      <c r="J5" s="757"/>
      <c r="K5" s="757"/>
      <c r="L5" s="757"/>
      <c r="M5" s="757"/>
      <c r="N5" s="757"/>
      <c r="O5" s="757"/>
      <c r="P5" s="757"/>
      <c r="Q5" s="757"/>
      <c r="R5" s="757"/>
      <c r="S5" s="757"/>
      <c r="T5" s="757"/>
      <c r="U5" s="757"/>
      <c r="V5" s="757"/>
      <c r="W5" s="757"/>
      <c r="X5" s="757"/>
      <c r="Y5" s="757"/>
      <c r="Z5" s="757"/>
    </row>
    <row r="6" spans="1:35" ht="19.5" customHeight="1" thickBot="1">
      <c r="A6" s="801"/>
      <c r="B6" s="801"/>
      <c r="C6" s="10"/>
      <c r="D6" s="10"/>
      <c r="E6" s="994"/>
      <c r="F6" s="994"/>
      <c r="G6" s="994"/>
      <c r="H6" s="994"/>
      <c r="I6" s="994"/>
      <c r="J6" s="994"/>
      <c r="K6" s="10"/>
      <c r="L6" s="10"/>
      <c r="M6" s="994"/>
      <c r="N6" s="994"/>
      <c r="O6" s="994"/>
      <c r="P6" s="994"/>
      <c r="Q6" s="994"/>
      <c r="R6" s="994"/>
      <c r="S6" s="10"/>
      <c r="T6" s="996" t="s">
        <v>187</v>
      </c>
      <c r="U6" s="996"/>
      <c r="V6" s="996"/>
      <c r="W6" s="996"/>
      <c r="X6" s="996"/>
      <c r="Y6" s="996"/>
      <c r="Z6" s="996"/>
    </row>
    <row r="7" spans="1:35" s="10" customFormat="1" ht="27.75" customHeight="1">
      <c r="A7" s="989" t="s">
        <v>440</v>
      </c>
      <c r="B7" s="988" t="s">
        <v>420</v>
      </c>
      <c r="C7" s="1001" t="s">
        <v>12</v>
      </c>
      <c r="D7" s="1002"/>
      <c r="E7" s="1002"/>
      <c r="F7" s="1002"/>
      <c r="G7" s="1002"/>
      <c r="H7" s="1002"/>
      <c r="I7" s="1002"/>
      <c r="J7" s="1010"/>
      <c r="K7" s="1001" t="s">
        <v>109</v>
      </c>
      <c r="L7" s="1002"/>
      <c r="M7" s="1002"/>
      <c r="N7" s="1002"/>
      <c r="O7" s="1002"/>
      <c r="P7" s="1002"/>
      <c r="Q7" s="1002"/>
      <c r="R7" s="1010"/>
      <c r="S7" s="1001" t="s">
        <v>200</v>
      </c>
      <c r="T7" s="1002"/>
      <c r="U7" s="1002"/>
      <c r="V7" s="1002"/>
      <c r="W7" s="1002"/>
      <c r="X7" s="1002"/>
      <c r="Y7" s="1002"/>
      <c r="Z7" s="1003"/>
    </row>
    <row r="8" spans="1:35" s="10" customFormat="1" ht="27.75" customHeight="1" thickBot="1">
      <c r="A8" s="990"/>
      <c r="B8" s="987"/>
      <c r="C8" s="986" t="s">
        <v>180</v>
      </c>
      <c r="D8" s="986" t="s">
        <v>421</v>
      </c>
      <c r="E8" s="1005" t="s">
        <v>206</v>
      </c>
      <c r="F8" s="1006"/>
      <c r="G8" s="1006"/>
      <c r="H8" s="1006"/>
      <c r="I8" s="1006"/>
      <c r="J8" s="1007"/>
      <c r="K8" s="986" t="s">
        <v>180</v>
      </c>
      <c r="L8" s="986" t="s">
        <v>421</v>
      </c>
      <c r="M8" s="991" t="s">
        <v>206</v>
      </c>
      <c r="N8" s="992"/>
      <c r="O8" s="992"/>
      <c r="P8" s="992"/>
      <c r="Q8" s="992"/>
      <c r="R8" s="993"/>
      <c r="S8" s="986" t="s">
        <v>180</v>
      </c>
      <c r="T8" s="986" t="s">
        <v>421</v>
      </c>
      <c r="U8" s="991" t="s">
        <v>206</v>
      </c>
      <c r="V8" s="992"/>
      <c r="W8" s="992"/>
      <c r="X8" s="992"/>
      <c r="Y8" s="992"/>
      <c r="Z8" s="1004"/>
    </row>
    <row r="9" spans="1:35" s="10" customFormat="1" ht="16.5">
      <c r="A9" s="990"/>
      <c r="B9" s="987"/>
      <c r="C9" s="987"/>
      <c r="D9" s="987"/>
      <c r="E9" s="986" t="s">
        <v>180</v>
      </c>
      <c r="F9" s="991" t="s">
        <v>213</v>
      </c>
      <c r="G9" s="993"/>
      <c r="H9" s="997" t="s">
        <v>356</v>
      </c>
      <c r="I9" s="997" t="s">
        <v>357</v>
      </c>
      <c r="J9" s="1008" t="s">
        <v>358</v>
      </c>
      <c r="K9" s="987"/>
      <c r="L9" s="987"/>
      <c r="M9" s="986" t="s">
        <v>180</v>
      </c>
      <c r="N9" s="991" t="s">
        <v>213</v>
      </c>
      <c r="O9" s="993"/>
      <c r="P9" s="997" t="s">
        <v>356</v>
      </c>
      <c r="Q9" s="997" t="s">
        <v>357</v>
      </c>
      <c r="R9" s="1008" t="s">
        <v>358</v>
      </c>
      <c r="S9" s="987"/>
      <c r="T9" s="987"/>
      <c r="U9" s="986" t="s">
        <v>180</v>
      </c>
      <c r="V9" s="991" t="s">
        <v>213</v>
      </c>
      <c r="W9" s="993"/>
      <c r="X9" s="997" t="s">
        <v>356</v>
      </c>
      <c r="Y9" s="997" t="s">
        <v>357</v>
      </c>
      <c r="Z9" s="999" t="s">
        <v>358</v>
      </c>
    </row>
    <row r="10" spans="1:35" s="10" customFormat="1" ht="102" customHeight="1">
      <c r="A10" s="990"/>
      <c r="B10" s="987"/>
      <c r="C10" s="987"/>
      <c r="D10" s="987"/>
      <c r="E10" s="987"/>
      <c r="F10" s="802" t="s">
        <v>39</v>
      </c>
      <c r="G10" s="802" t="s">
        <v>175</v>
      </c>
      <c r="H10" s="998"/>
      <c r="I10" s="998"/>
      <c r="J10" s="1009"/>
      <c r="K10" s="987"/>
      <c r="L10" s="987"/>
      <c r="M10" s="987"/>
      <c r="N10" s="802" t="s">
        <v>39</v>
      </c>
      <c r="O10" s="802" t="s">
        <v>175</v>
      </c>
      <c r="P10" s="998"/>
      <c r="Q10" s="998"/>
      <c r="R10" s="1009"/>
      <c r="S10" s="987"/>
      <c r="T10" s="987"/>
      <c r="U10" s="987"/>
      <c r="V10" s="802" t="s">
        <v>39</v>
      </c>
      <c r="W10" s="802" t="s">
        <v>175</v>
      </c>
      <c r="X10" s="998"/>
      <c r="Y10" s="998"/>
      <c r="Z10" s="1000"/>
    </row>
    <row r="11" spans="1:35" s="36" customFormat="1" ht="17.25" customHeight="1">
      <c r="A11" s="644" t="s">
        <v>15</v>
      </c>
      <c r="B11" s="645" t="s">
        <v>16</v>
      </c>
      <c r="C11" s="646" t="s">
        <v>72</v>
      </c>
      <c r="D11" s="646">
        <v>2</v>
      </c>
      <c r="E11" s="646" t="s">
        <v>214</v>
      </c>
      <c r="F11" s="646">
        <v>4</v>
      </c>
      <c r="G11" s="646">
        <f>F11+1</f>
        <v>5</v>
      </c>
      <c r="H11" s="646">
        <f>G11+1</f>
        <v>6</v>
      </c>
      <c r="I11" s="646">
        <f>H11+1</f>
        <v>7</v>
      </c>
      <c r="J11" s="646">
        <f>I11+1</f>
        <v>8</v>
      </c>
      <c r="K11" s="646" t="s">
        <v>566</v>
      </c>
      <c r="L11" s="646">
        <v>10</v>
      </c>
      <c r="M11" s="646" t="s">
        <v>223</v>
      </c>
      <c r="N11" s="646">
        <v>12</v>
      </c>
      <c r="O11" s="646">
        <f>N11+1</f>
        <v>13</v>
      </c>
      <c r="P11" s="646">
        <f>O11+1</f>
        <v>14</v>
      </c>
      <c r="Q11" s="646">
        <f>P11+1</f>
        <v>15</v>
      </c>
      <c r="R11" s="646">
        <f>Q11+1</f>
        <v>16</v>
      </c>
      <c r="S11" s="646" t="s">
        <v>215</v>
      </c>
      <c r="T11" s="646" t="s">
        <v>216</v>
      </c>
      <c r="U11" s="646" t="s">
        <v>217</v>
      </c>
      <c r="V11" s="646" t="s">
        <v>218</v>
      </c>
      <c r="W11" s="646" t="s">
        <v>219</v>
      </c>
      <c r="X11" s="646" t="s">
        <v>220</v>
      </c>
      <c r="Y11" s="646" t="s">
        <v>221</v>
      </c>
      <c r="Z11" s="803" t="s">
        <v>222</v>
      </c>
    </row>
    <row r="12" spans="1:35" s="10" customFormat="1" ht="16.5">
      <c r="A12" s="718"/>
      <c r="B12" s="719" t="s">
        <v>45</v>
      </c>
      <c r="C12" s="720">
        <f>D12+E12</f>
        <v>3068351</v>
      </c>
      <c r="D12" s="720">
        <f>SUM(D13:D21)</f>
        <v>2744292</v>
      </c>
      <c r="E12" s="720">
        <f>F12+G12</f>
        <v>324059</v>
      </c>
      <c r="F12" s="720">
        <f>SUM(F13:F21)</f>
        <v>0</v>
      </c>
      <c r="G12" s="720">
        <f>SUM(G13:G21)</f>
        <v>324059</v>
      </c>
      <c r="H12" s="720">
        <f>SUM(H13:H21)</f>
        <v>0</v>
      </c>
      <c r="I12" s="720">
        <f>SUM(I13:I21)</f>
        <v>292180</v>
      </c>
      <c r="J12" s="720">
        <f>SUM(J13:J21)</f>
        <v>31879</v>
      </c>
      <c r="K12" s="720">
        <f>L12+M12</f>
        <v>3326248.904013</v>
      </c>
      <c r="L12" s="720">
        <f>SUM(L13:L21)</f>
        <v>2744292</v>
      </c>
      <c r="M12" s="720">
        <f>N12+O12</f>
        <v>581956.90401299996</v>
      </c>
      <c r="N12" s="720">
        <f>SUM(N13:N21)</f>
        <v>0</v>
      </c>
      <c r="O12" s="720">
        <f>SUM(O13:O21)</f>
        <v>581956.90401299996</v>
      </c>
      <c r="P12" s="720">
        <f>SUM(P13:P21)</f>
        <v>0</v>
      </c>
      <c r="Q12" s="720">
        <f>SUM(Q13:Q21)</f>
        <v>553122.32200599997</v>
      </c>
      <c r="R12" s="720">
        <f>SUM(R13:R21)</f>
        <v>28834.582006999997</v>
      </c>
      <c r="S12" s="728">
        <f t="shared" ref="S12:S21" si="0">IF(AND(K12&lt;&gt;0,C12&lt;&gt;0),K12/C12%,"")</f>
        <v>108.40509785265768</v>
      </c>
      <c r="T12" s="728">
        <f t="shared" ref="T12:Z12" si="1">IF(AND(L12&lt;&gt;0,D12&lt;&gt;0),L12/D12%,"")</f>
        <v>100</v>
      </c>
      <c r="U12" s="728">
        <f t="shared" si="1"/>
        <v>179.58362644240708</v>
      </c>
      <c r="V12" s="728" t="str">
        <f t="shared" si="1"/>
        <v/>
      </c>
      <c r="W12" s="728">
        <f t="shared" si="1"/>
        <v>179.58362644240708</v>
      </c>
      <c r="X12" s="728" t="str">
        <f t="shared" si="1"/>
        <v/>
      </c>
      <c r="Y12" s="728">
        <f t="shared" si="1"/>
        <v>189.30875556369358</v>
      </c>
      <c r="Z12" s="728">
        <f t="shared" si="1"/>
        <v>90.450083148781317</v>
      </c>
    </row>
    <row r="13" spans="1:35" s="10" customFormat="1" ht="16.5">
      <c r="A13" s="721">
        <v>1</v>
      </c>
      <c r="B13" s="722" t="s">
        <v>556</v>
      </c>
      <c r="C13" s="723">
        <f>D13+E13</f>
        <v>161641</v>
      </c>
      <c r="D13" s="723">
        <v>134898</v>
      </c>
      <c r="E13" s="723">
        <f>F13+G13</f>
        <v>26743</v>
      </c>
      <c r="F13" s="723">
        <v>0</v>
      </c>
      <c r="G13" s="723">
        <f>H13+I13+J13</f>
        <v>26743</v>
      </c>
      <c r="H13" s="723">
        <v>0</v>
      </c>
      <c r="I13" s="723">
        <v>24513</v>
      </c>
      <c r="J13" s="731">
        <f>40+200+800+750+160+280</f>
        <v>2230</v>
      </c>
      <c r="K13" s="723">
        <f>L13+M13</f>
        <v>169263.124901</v>
      </c>
      <c r="L13" s="723">
        <f>D13</f>
        <v>134898</v>
      </c>
      <c r="M13" s="723">
        <f>N13+O13</f>
        <v>34365.124901000003</v>
      </c>
      <c r="N13" s="723">
        <v>0</v>
      </c>
      <c r="O13" s="723">
        <f>P13+Q13+R13</f>
        <v>34365.124901000003</v>
      </c>
      <c r="P13" s="723">
        <v>0</v>
      </c>
      <c r="Q13" s="731">
        <f>34381.028-1561.6594</f>
        <v>32819.368600000002</v>
      </c>
      <c r="R13" s="731">
        <f>2126-580.243699</f>
        <v>1545.7563009999999</v>
      </c>
      <c r="S13" s="729">
        <f t="shared" si="0"/>
        <v>104.71546507445511</v>
      </c>
      <c r="T13" s="729">
        <f t="shared" ref="T13:T21" si="2">IF(AND(L13&lt;&gt;0,D13&lt;&gt;0),L13/D13%,"")</f>
        <v>100</v>
      </c>
      <c r="U13" s="729">
        <f t="shared" ref="U13:U21" si="3">IF(AND(M13&lt;&gt;0,E13&lt;&gt;0),M13/E13%,"")</f>
        <v>128.50138316942753</v>
      </c>
      <c r="V13" s="729" t="str">
        <f t="shared" ref="V13:V21" si="4">IF(AND(N13&lt;&gt;0,F13&lt;&gt;0),N13/F13%,"")</f>
        <v/>
      </c>
      <c r="W13" s="729">
        <f t="shared" ref="W13:W21" si="5">IF(AND(O13&lt;&gt;0,G13&lt;&gt;0),O13/G13%,"")</f>
        <v>128.50138316942753</v>
      </c>
      <c r="X13" s="729" t="str">
        <f t="shared" ref="X13:X21" si="6">IF(AND(P13&lt;&gt;0,H13&lt;&gt;0),P13/H13%,"")</f>
        <v/>
      </c>
      <c r="Y13" s="729">
        <f t="shared" ref="Y13:Y21" si="7">IF(AND(Q13&lt;&gt;0,I13&lt;&gt;0),Q13/I13%,"")</f>
        <v>133.88556521029659</v>
      </c>
      <c r="Z13" s="729">
        <f t="shared" ref="Z13:Z21" si="8">IF(AND(R13&lt;&gt;0,J13&lt;&gt;0),R13/J13%,"")</f>
        <v>69.316426053811654</v>
      </c>
    </row>
    <row r="14" spans="1:35" s="10" customFormat="1" ht="16.5">
      <c r="A14" s="721">
        <f>A13+1</f>
        <v>2</v>
      </c>
      <c r="B14" s="722" t="s">
        <v>557</v>
      </c>
      <c r="C14" s="723">
        <f t="shared" ref="C14:C21" si="9">D14+E14</f>
        <v>346513</v>
      </c>
      <c r="D14" s="723">
        <v>308484</v>
      </c>
      <c r="E14" s="723">
        <f t="shared" ref="E14:E21" si="10">F14+G14</f>
        <v>38029</v>
      </c>
      <c r="F14" s="723">
        <v>0</v>
      </c>
      <c r="G14" s="723">
        <f t="shared" ref="G14:G21" si="11">H14+I14+J14</f>
        <v>38029</v>
      </c>
      <c r="H14" s="723">
        <v>0</v>
      </c>
      <c r="I14" s="723">
        <v>35083</v>
      </c>
      <c r="J14" s="731">
        <f>(61+115+170+90+100)+600+800+250+260+500</f>
        <v>2946</v>
      </c>
      <c r="K14" s="723">
        <f t="shared" ref="K14:K21" si="12">L14+M14</f>
        <v>366216.18330099998</v>
      </c>
      <c r="L14" s="723">
        <f t="shared" ref="L14:L21" si="13">D14</f>
        <v>308484</v>
      </c>
      <c r="M14" s="723">
        <f t="shared" ref="M14:M21" si="14">N14+O14</f>
        <v>57732.183300999997</v>
      </c>
      <c r="N14" s="723">
        <v>0</v>
      </c>
      <c r="O14" s="723">
        <f t="shared" ref="O14:O21" si="15">P14+Q14+R14</f>
        <v>57732.183300999997</v>
      </c>
      <c r="P14" s="723">
        <v>0</v>
      </c>
      <c r="Q14" s="731">
        <f>66020.3964-10449.855299</f>
        <v>55570.541100999995</v>
      </c>
      <c r="R14" s="731">
        <f>2976-807.6578-6.7</f>
        <v>2161.6422000000002</v>
      </c>
      <c r="S14" s="729">
        <f t="shared" si="0"/>
        <v>105.68613105453474</v>
      </c>
      <c r="T14" s="729">
        <f t="shared" si="2"/>
        <v>100</v>
      </c>
      <c r="U14" s="729">
        <f t="shared" si="3"/>
        <v>151.8109424412948</v>
      </c>
      <c r="V14" s="729" t="str">
        <f t="shared" si="4"/>
        <v/>
      </c>
      <c r="W14" s="729">
        <f t="shared" si="5"/>
        <v>151.8109424412948</v>
      </c>
      <c r="X14" s="729" t="str">
        <f t="shared" si="6"/>
        <v/>
      </c>
      <c r="Y14" s="729">
        <f t="shared" si="7"/>
        <v>158.39734658096512</v>
      </c>
      <c r="Z14" s="729">
        <f t="shared" si="8"/>
        <v>73.375498981670063</v>
      </c>
    </row>
    <row r="15" spans="1:35" s="10" customFormat="1" ht="16.5">
      <c r="A15" s="721">
        <f t="shared" ref="A15:A21" si="16">A14+1</f>
        <v>3</v>
      </c>
      <c r="B15" s="722" t="s">
        <v>558</v>
      </c>
      <c r="C15" s="723">
        <f t="shared" si="9"/>
        <v>402508</v>
      </c>
      <c r="D15" s="723">
        <v>363631</v>
      </c>
      <c r="E15" s="723">
        <f t="shared" si="10"/>
        <v>38877</v>
      </c>
      <c r="F15" s="723">
        <v>0</v>
      </c>
      <c r="G15" s="723">
        <f t="shared" si="11"/>
        <v>38877</v>
      </c>
      <c r="H15" s="723">
        <v>0</v>
      </c>
      <c r="I15" s="723">
        <v>35660</v>
      </c>
      <c r="J15" s="731">
        <f>(120+227+340+190+230)+270+800+250+270+520</f>
        <v>3217</v>
      </c>
      <c r="K15" s="723">
        <f t="shared" si="12"/>
        <v>447596.16610000003</v>
      </c>
      <c r="L15" s="723">
        <f t="shared" si="13"/>
        <v>363631</v>
      </c>
      <c r="M15" s="723">
        <f t="shared" si="14"/>
        <v>83965.166100000002</v>
      </c>
      <c r="N15" s="723">
        <v>0</v>
      </c>
      <c r="O15" s="723">
        <f t="shared" si="15"/>
        <v>83965.166100000002</v>
      </c>
      <c r="P15" s="723">
        <v>0</v>
      </c>
      <c r="Q15" s="731">
        <f>83965.1661-R15</f>
        <v>80724.208391000007</v>
      </c>
      <c r="R15" s="731">
        <f>3517-255.335413-20.706878</f>
        <v>3240.9577090000002</v>
      </c>
      <c r="S15" s="729">
        <f t="shared" si="0"/>
        <v>111.20180620012522</v>
      </c>
      <c r="T15" s="729">
        <f t="shared" si="2"/>
        <v>100</v>
      </c>
      <c r="U15" s="729">
        <f t="shared" si="3"/>
        <v>215.97645420171312</v>
      </c>
      <c r="V15" s="729" t="str">
        <f t="shared" si="4"/>
        <v/>
      </c>
      <c r="W15" s="729">
        <f t="shared" si="5"/>
        <v>215.97645420171312</v>
      </c>
      <c r="X15" s="729" t="str">
        <f t="shared" si="6"/>
        <v/>
      </c>
      <c r="Y15" s="729">
        <f t="shared" si="7"/>
        <v>226.37186873527762</v>
      </c>
      <c r="Z15" s="729">
        <f t="shared" si="8"/>
        <v>100.7447220702518</v>
      </c>
    </row>
    <row r="16" spans="1:35" s="10" customFormat="1" ht="16.5">
      <c r="A16" s="721">
        <f t="shared" si="16"/>
        <v>4</v>
      </c>
      <c r="B16" s="722" t="s">
        <v>559</v>
      </c>
      <c r="C16" s="723">
        <f t="shared" si="9"/>
        <v>358103</v>
      </c>
      <c r="D16" s="723">
        <v>326286</v>
      </c>
      <c r="E16" s="723">
        <f t="shared" si="10"/>
        <v>31817</v>
      </c>
      <c r="F16" s="723">
        <v>0</v>
      </c>
      <c r="G16" s="723">
        <f t="shared" si="11"/>
        <v>31817</v>
      </c>
      <c r="H16" s="723">
        <v>0</v>
      </c>
      <c r="I16" s="723">
        <v>28706</v>
      </c>
      <c r="J16" s="731">
        <f>(181+340+510+120+100)+200+800+250+210+400</f>
        <v>3111</v>
      </c>
      <c r="K16" s="723">
        <f t="shared" si="12"/>
        <v>393972.81109600002</v>
      </c>
      <c r="L16" s="723">
        <f t="shared" si="13"/>
        <v>326286</v>
      </c>
      <c r="M16" s="723">
        <f t="shared" si="14"/>
        <v>67686.81109599999</v>
      </c>
      <c r="N16" s="723">
        <v>0</v>
      </c>
      <c r="O16" s="723">
        <f t="shared" si="15"/>
        <v>67686.81109599999</v>
      </c>
      <c r="P16" s="723">
        <v>0</v>
      </c>
      <c r="Q16" s="731">
        <f>68848.669-3298.114374</f>
        <v>65550.554625999997</v>
      </c>
      <c r="R16" s="731">
        <f>2961-824.74353</f>
        <v>2136.2564700000003</v>
      </c>
      <c r="S16" s="729">
        <f t="shared" si="0"/>
        <v>110.01661842989307</v>
      </c>
      <c r="T16" s="729">
        <f t="shared" si="2"/>
        <v>100</v>
      </c>
      <c r="U16" s="729">
        <f t="shared" si="3"/>
        <v>212.73787942294996</v>
      </c>
      <c r="V16" s="729" t="str">
        <f t="shared" si="4"/>
        <v/>
      </c>
      <c r="W16" s="729">
        <f t="shared" si="5"/>
        <v>212.73787942294996</v>
      </c>
      <c r="X16" s="729" t="str">
        <f t="shared" si="6"/>
        <v/>
      </c>
      <c r="Y16" s="729">
        <f t="shared" si="7"/>
        <v>228.35140606841773</v>
      </c>
      <c r="Z16" s="729">
        <f t="shared" si="8"/>
        <v>68.667838958534247</v>
      </c>
    </row>
    <row r="17" spans="1:26" s="10" customFormat="1" ht="16.5">
      <c r="A17" s="721">
        <f t="shared" si="16"/>
        <v>5</v>
      </c>
      <c r="B17" s="722" t="s">
        <v>560</v>
      </c>
      <c r="C17" s="723">
        <f t="shared" si="9"/>
        <v>271352</v>
      </c>
      <c r="D17" s="723">
        <v>242009</v>
      </c>
      <c r="E17" s="723">
        <f t="shared" si="10"/>
        <v>29343</v>
      </c>
      <c r="F17" s="723">
        <v>0</v>
      </c>
      <c r="G17" s="723">
        <f t="shared" si="11"/>
        <v>29343</v>
      </c>
      <c r="H17" s="723">
        <v>0</v>
      </c>
      <c r="I17" s="723">
        <v>27333</v>
      </c>
      <c r="J17" s="731">
        <f>(90+100)+250+800+250+180+340</f>
        <v>2010</v>
      </c>
      <c r="K17" s="723">
        <f t="shared" si="12"/>
        <v>299449.15504300001</v>
      </c>
      <c r="L17" s="723">
        <f t="shared" si="13"/>
        <v>242009</v>
      </c>
      <c r="M17" s="723">
        <f t="shared" si="14"/>
        <v>57440.155042999999</v>
      </c>
      <c r="N17" s="723">
        <v>0</v>
      </c>
      <c r="O17" s="723">
        <f t="shared" si="15"/>
        <v>57440.155042999999</v>
      </c>
      <c r="P17" s="723">
        <v>0</v>
      </c>
      <c r="Q17" s="731">
        <f>57440.155043-R17</f>
        <v>55488.659299999999</v>
      </c>
      <c r="R17" s="731">
        <f>2010-58.504257</f>
        <v>1951.4957429999999</v>
      </c>
      <c r="S17" s="729">
        <f t="shared" si="0"/>
        <v>110.35450449711077</v>
      </c>
      <c r="T17" s="729">
        <f t="shared" si="2"/>
        <v>100</v>
      </c>
      <c r="U17" s="729">
        <f t="shared" si="3"/>
        <v>195.75420046689158</v>
      </c>
      <c r="V17" s="729" t="str">
        <f t="shared" si="4"/>
        <v/>
      </c>
      <c r="W17" s="729">
        <f t="shared" si="5"/>
        <v>195.75420046689158</v>
      </c>
      <c r="X17" s="729" t="str">
        <f t="shared" si="6"/>
        <v/>
      </c>
      <c r="Y17" s="729">
        <f t="shared" si="7"/>
        <v>203.00976585080306</v>
      </c>
      <c r="Z17" s="729">
        <f t="shared" si="8"/>
        <v>97.089340447761188</v>
      </c>
    </row>
    <row r="18" spans="1:26" s="10" customFormat="1" ht="16.5">
      <c r="A18" s="721">
        <f t="shared" si="16"/>
        <v>6</v>
      </c>
      <c r="B18" s="724" t="s">
        <v>561</v>
      </c>
      <c r="C18" s="723">
        <f t="shared" si="9"/>
        <v>258645</v>
      </c>
      <c r="D18" s="723">
        <v>236575</v>
      </c>
      <c r="E18" s="723">
        <f t="shared" si="10"/>
        <v>22070</v>
      </c>
      <c r="F18" s="723">
        <v>0</v>
      </c>
      <c r="G18" s="723">
        <f t="shared" si="11"/>
        <v>22070</v>
      </c>
      <c r="H18" s="723">
        <v>0</v>
      </c>
      <c r="I18" s="723">
        <v>19864</v>
      </c>
      <c r="J18" s="731">
        <f>(86+100)+240+800+500+170+310</f>
        <v>2206</v>
      </c>
      <c r="K18" s="723">
        <f t="shared" si="12"/>
        <v>281704.57853900001</v>
      </c>
      <c r="L18" s="723">
        <f t="shared" si="13"/>
        <v>236575</v>
      </c>
      <c r="M18" s="723">
        <f t="shared" si="14"/>
        <v>45129.578539000002</v>
      </c>
      <c r="N18" s="723">
        <v>0</v>
      </c>
      <c r="O18" s="723">
        <f t="shared" si="15"/>
        <v>45129.578539000002</v>
      </c>
      <c r="P18" s="723">
        <v>0</v>
      </c>
      <c r="Q18" s="731">
        <f>46353.0682-3348.292211</f>
        <v>43004.775989000002</v>
      </c>
      <c r="R18" s="731">
        <f>2206-76.84745-4.35</f>
        <v>2124.8025499999999</v>
      </c>
      <c r="S18" s="729">
        <f t="shared" si="0"/>
        <v>108.91553230837636</v>
      </c>
      <c r="T18" s="729">
        <f t="shared" si="2"/>
        <v>100</v>
      </c>
      <c r="U18" s="729">
        <f t="shared" si="3"/>
        <v>204.4838175758949</v>
      </c>
      <c r="V18" s="729" t="str">
        <f t="shared" si="4"/>
        <v/>
      </c>
      <c r="W18" s="729">
        <f t="shared" si="5"/>
        <v>204.4838175758949</v>
      </c>
      <c r="X18" s="729" t="str">
        <f t="shared" si="6"/>
        <v/>
      </c>
      <c r="Y18" s="729">
        <f t="shared" si="7"/>
        <v>216.49605310612165</v>
      </c>
      <c r="Z18" s="729">
        <f t="shared" si="8"/>
        <v>96.319245240253849</v>
      </c>
    </row>
    <row r="19" spans="1:26" s="10" customFormat="1" ht="16.5">
      <c r="A19" s="721">
        <f t="shared" si="16"/>
        <v>7</v>
      </c>
      <c r="B19" s="724" t="s">
        <v>562</v>
      </c>
      <c r="C19" s="723">
        <f t="shared" si="9"/>
        <v>380284</v>
      </c>
      <c r="D19" s="723">
        <v>337162</v>
      </c>
      <c r="E19" s="723">
        <f t="shared" si="10"/>
        <v>43122</v>
      </c>
      <c r="F19" s="723">
        <v>0</v>
      </c>
      <c r="G19" s="723">
        <f t="shared" si="11"/>
        <v>43122</v>
      </c>
      <c r="H19" s="723">
        <v>0</v>
      </c>
      <c r="I19" s="723">
        <v>37652</v>
      </c>
      <c r="J19" s="731">
        <f>(542+1021+1532+130+155)+400+800+250+220+420</f>
        <v>5470</v>
      </c>
      <c r="K19" s="723">
        <f t="shared" si="12"/>
        <v>395943.70002400002</v>
      </c>
      <c r="L19" s="723">
        <f t="shared" si="13"/>
        <v>337162</v>
      </c>
      <c r="M19" s="723">
        <f t="shared" si="14"/>
        <v>58781.700023999998</v>
      </c>
      <c r="N19" s="723">
        <v>0</v>
      </c>
      <c r="O19" s="723">
        <f t="shared" si="15"/>
        <v>58781.700023999998</v>
      </c>
      <c r="P19" s="723">
        <v>0</v>
      </c>
      <c r="Q19" s="731">
        <f>58781.700024-R19</f>
        <v>53117.883383</v>
      </c>
      <c r="R19" s="731">
        <f>5670-6.183359</f>
        <v>5663.8166410000003</v>
      </c>
      <c r="S19" s="729">
        <f t="shared" si="0"/>
        <v>104.11789610501626</v>
      </c>
      <c r="T19" s="729">
        <f t="shared" si="2"/>
        <v>100</v>
      </c>
      <c r="U19" s="729">
        <f t="shared" si="3"/>
        <v>136.31487413385278</v>
      </c>
      <c r="V19" s="729" t="str">
        <f t="shared" si="4"/>
        <v/>
      </c>
      <c r="W19" s="729">
        <f t="shared" si="5"/>
        <v>136.31487413385278</v>
      </c>
      <c r="X19" s="729" t="str">
        <f t="shared" si="6"/>
        <v/>
      </c>
      <c r="Y19" s="729">
        <f t="shared" si="7"/>
        <v>141.07586152926805</v>
      </c>
      <c r="Z19" s="729">
        <f t="shared" si="8"/>
        <v>103.54326583180988</v>
      </c>
    </row>
    <row r="20" spans="1:26" s="10" customFormat="1" ht="16.5">
      <c r="A20" s="721">
        <f t="shared" si="16"/>
        <v>8</v>
      </c>
      <c r="B20" s="724" t="s">
        <v>563</v>
      </c>
      <c r="C20" s="723">
        <f t="shared" si="9"/>
        <v>526828</v>
      </c>
      <c r="D20" s="723">
        <v>467914</v>
      </c>
      <c r="E20" s="723">
        <f t="shared" si="10"/>
        <v>58914</v>
      </c>
      <c r="F20" s="723">
        <v>0</v>
      </c>
      <c r="G20" s="723">
        <f t="shared" si="11"/>
        <v>58914</v>
      </c>
      <c r="H20" s="723">
        <v>0</v>
      </c>
      <c r="I20" s="723">
        <v>52599</v>
      </c>
      <c r="J20" s="731">
        <f>(542+1021+1532+200+250)+300+800+750+320+600</f>
        <v>6315</v>
      </c>
      <c r="K20" s="723">
        <f t="shared" si="12"/>
        <v>585089.65028599999</v>
      </c>
      <c r="L20" s="723">
        <f t="shared" si="13"/>
        <v>467914</v>
      </c>
      <c r="M20" s="723">
        <f t="shared" si="14"/>
        <v>117175.650286</v>
      </c>
      <c r="N20" s="723">
        <v>0</v>
      </c>
      <c r="O20" s="723">
        <f t="shared" si="15"/>
        <v>117175.650286</v>
      </c>
      <c r="P20" s="723">
        <v>0</v>
      </c>
      <c r="Q20" s="731">
        <f>117399.066-6102.270107</f>
        <v>111296.795893</v>
      </c>
      <c r="R20" s="731">
        <f>6315-418.045607-18.1</f>
        <v>5878.8543929999996</v>
      </c>
      <c r="S20" s="729">
        <f t="shared" si="0"/>
        <v>111.05895098324311</v>
      </c>
      <c r="T20" s="729">
        <f t="shared" si="2"/>
        <v>100</v>
      </c>
      <c r="U20" s="729">
        <f t="shared" si="3"/>
        <v>198.8927085005262</v>
      </c>
      <c r="V20" s="729" t="str">
        <f t="shared" si="4"/>
        <v/>
      </c>
      <c r="W20" s="729">
        <f t="shared" si="5"/>
        <v>198.8927085005262</v>
      </c>
      <c r="X20" s="729" t="str">
        <f t="shared" si="6"/>
        <v/>
      </c>
      <c r="Y20" s="729">
        <f t="shared" si="7"/>
        <v>211.5948894332592</v>
      </c>
      <c r="Z20" s="729">
        <f t="shared" si="8"/>
        <v>93.093497909738716</v>
      </c>
    </row>
    <row r="21" spans="1:26" s="10" customFormat="1" ht="16.5">
      <c r="A21" s="725">
        <f t="shared" si="16"/>
        <v>9</v>
      </c>
      <c r="B21" s="726" t="s">
        <v>564</v>
      </c>
      <c r="C21" s="727">
        <f t="shared" si="9"/>
        <v>362477</v>
      </c>
      <c r="D21" s="727">
        <v>327333</v>
      </c>
      <c r="E21" s="727">
        <f t="shared" si="10"/>
        <v>35144</v>
      </c>
      <c r="F21" s="727">
        <v>0</v>
      </c>
      <c r="G21" s="727">
        <f t="shared" si="11"/>
        <v>35144</v>
      </c>
      <c r="H21" s="727">
        <v>0</v>
      </c>
      <c r="I21" s="727">
        <v>30770</v>
      </c>
      <c r="J21" s="732">
        <f>(361+681+1022+110+150)+300+800+250+240+460</f>
        <v>4374</v>
      </c>
      <c r="K21" s="727">
        <f t="shared" si="12"/>
        <v>387013.53472300002</v>
      </c>
      <c r="L21" s="727">
        <f t="shared" si="13"/>
        <v>327333</v>
      </c>
      <c r="M21" s="727">
        <f t="shared" si="14"/>
        <v>59680.534723000004</v>
      </c>
      <c r="N21" s="727">
        <v>0</v>
      </c>
      <c r="O21" s="727">
        <f t="shared" si="15"/>
        <v>59680.534723000004</v>
      </c>
      <c r="P21" s="727">
        <v>0</v>
      </c>
      <c r="Q21" s="732">
        <f>57017.052-1467.517277</f>
        <v>55549.534723000004</v>
      </c>
      <c r="R21" s="732">
        <f>4355-224</f>
        <v>4131</v>
      </c>
      <c r="S21" s="730">
        <f t="shared" si="0"/>
        <v>106.76912872347764</v>
      </c>
      <c r="T21" s="730">
        <f t="shared" si="2"/>
        <v>100</v>
      </c>
      <c r="U21" s="730">
        <f t="shared" si="3"/>
        <v>169.81713727236513</v>
      </c>
      <c r="V21" s="730" t="str">
        <f t="shared" si="4"/>
        <v/>
      </c>
      <c r="W21" s="730">
        <f t="shared" si="5"/>
        <v>169.81713727236513</v>
      </c>
      <c r="X21" s="730" t="str">
        <f t="shared" si="6"/>
        <v/>
      </c>
      <c r="Y21" s="730">
        <f t="shared" si="7"/>
        <v>180.53147456288596</v>
      </c>
      <c r="Z21" s="730">
        <f t="shared" si="8"/>
        <v>94.444444444444443</v>
      </c>
    </row>
    <row r="22" spans="1:26" ht="18.75">
      <c r="A22" s="19"/>
      <c r="B22" s="8"/>
      <c r="C22" s="9"/>
      <c r="D22" s="9"/>
      <c r="E22" s="9"/>
      <c r="F22" s="9"/>
      <c r="G22" s="9"/>
      <c r="H22" s="9"/>
      <c r="I22" s="9"/>
      <c r="J22" s="9"/>
      <c r="K22" s="9"/>
      <c r="L22" s="9"/>
      <c r="M22" s="9"/>
      <c r="N22" s="9"/>
      <c r="O22" s="9"/>
      <c r="P22" s="9"/>
      <c r="Q22" s="9"/>
      <c r="R22" s="9"/>
      <c r="S22" s="9"/>
      <c r="T22" s="9"/>
      <c r="U22" s="9"/>
      <c r="V22" s="9"/>
      <c r="W22" s="9"/>
      <c r="X22" s="9"/>
      <c r="Y22" s="9"/>
      <c r="Z22" s="9"/>
    </row>
    <row r="23" spans="1:26" ht="18.7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8.75">
      <c r="A24" s="9"/>
      <c r="B24" s="9"/>
      <c r="C24" s="9"/>
      <c r="D24" s="9"/>
      <c r="E24" s="9"/>
      <c r="F24" s="9"/>
      <c r="G24" s="9"/>
      <c r="H24" s="9"/>
      <c r="I24" s="9"/>
      <c r="J24" s="9"/>
      <c r="K24" s="9"/>
      <c r="L24" s="9"/>
      <c r="M24" s="9"/>
      <c r="N24" s="9"/>
      <c r="O24" s="9"/>
      <c r="P24" s="9"/>
      <c r="Q24" s="9"/>
      <c r="R24" s="9"/>
      <c r="S24" s="9"/>
      <c r="T24" s="9"/>
    </row>
    <row r="25" spans="1:26" ht="18.75">
      <c r="A25" s="9"/>
      <c r="B25" s="9"/>
      <c r="C25" s="9"/>
      <c r="D25" s="9"/>
      <c r="E25" s="9"/>
      <c r="F25" s="9"/>
      <c r="G25" s="9"/>
      <c r="H25" s="9"/>
      <c r="I25" s="9"/>
      <c r="J25" s="9"/>
      <c r="K25" s="9"/>
      <c r="L25" s="9"/>
      <c r="M25" s="9"/>
      <c r="N25" s="9"/>
      <c r="O25" s="9"/>
      <c r="P25" s="9"/>
      <c r="Q25" s="9"/>
      <c r="R25" s="9"/>
      <c r="S25" s="9"/>
      <c r="T25" s="9"/>
    </row>
    <row r="26" spans="1:26" ht="18.75">
      <c r="A26" s="9"/>
      <c r="B26" s="9"/>
      <c r="C26" s="9"/>
      <c r="D26" s="9"/>
      <c r="E26" s="9"/>
      <c r="F26" s="9"/>
      <c r="G26" s="9"/>
      <c r="H26" s="9"/>
      <c r="I26" s="9"/>
      <c r="J26" s="9"/>
      <c r="K26" s="9"/>
      <c r="L26" s="9"/>
      <c r="M26" s="9"/>
      <c r="N26" s="9"/>
      <c r="O26" s="9"/>
      <c r="P26" s="9"/>
      <c r="Q26" s="9"/>
      <c r="R26" s="9"/>
      <c r="S26" s="9"/>
      <c r="T26" s="9"/>
    </row>
    <row r="27" spans="1:26" ht="18.75">
      <c r="A27" s="9"/>
      <c r="B27" s="9"/>
      <c r="C27" s="9"/>
      <c r="D27" s="9"/>
      <c r="E27" s="9"/>
      <c r="F27" s="9"/>
      <c r="G27" s="9"/>
      <c r="H27" s="9"/>
      <c r="I27" s="9"/>
      <c r="J27" s="9"/>
      <c r="K27" s="9"/>
      <c r="L27" s="9"/>
      <c r="M27" s="9"/>
      <c r="N27" s="9"/>
      <c r="O27" s="9"/>
      <c r="P27" s="9"/>
      <c r="Q27" s="9"/>
      <c r="R27" s="9"/>
      <c r="S27" s="9"/>
      <c r="T27" s="9"/>
      <c r="U27" s="9"/>
      <c r="V27" s="9"/>
      <c r="W27" s="9"/>
      <c r="X27" s="9"/>
      <c r="Y27" s="9"/>
    </row>
    <row r="28" spans="1:26" ht="18.75">
      <c r="A28" s="9"/>
      <c r="B28" s="9"/>
      <c r="C28" s="9"/>
      <c r="D28" s="9"/>
      <c r="E28" s="9"/>
      <c r="F28" s="9"/>
      <c r="G28" s="9"/>
      <c r="H28" s="9"/>
      <c r="I28" s="9"/>
      <c r="J28" s="9"/>
      <c r="K28" s="9"/>
      <c r="L28" s="9"/>
      <c r="M28" s="9"/>
      <c r="N28" s="9"/>
      <c r="O28" s="9"/>
      <c r="P28" s="9"/>
      <c r="Q28" s="9"/>
      <c r="R28" s="9"/>
      <c r="S28" s="9"/>
      <c r="T28" s="9"/>
      <c r="U28" s="9"/>
      <c r="V28" s="9"/>
      <c r="W28" s="9"/>
      <c r="X28" s="9"/>
      <c r="Y28" s="9"/>
    </row>
    <row r="29" spans="1:26" ht="18.75">
      <c r="A29" s="9"/>
      <c r="B29" s="9"/>
      <c r="C29" s="9"/>
      <c r="D29" s="9"/>
      <c r="E29" s="9"/>
      <c r="F29" s="9"/>
      <c r="G29" s="9"/>
      <c r="H29" s="9"/>
      <c r="I29" s="9"/>
      <c r="J29" s="9"/>
      <c r="K29" s="9"/>
      <c r="L29" s="9"/>
      <c r="M29" s="9"/>
      <c r="N29" s="9"/>
      <c r="O29" s="9"/>
      <c r="P29" s="9"/>
      <c r="Q29" s="9"/>
      <c r="R29" s="9"/>
      <c r="S29" s="9"/>
      <c r="T29" s="9"/>
      <c r="U29" s="9"/>
      <c r="V29" s="9"/>
      <c r="W29" s="9"/>
      <c r="X29" s="9"/>
      <c r="Y29" s="9"/>
    </row>
    <row r="30" spans="1:26" ht="18.75">
      <c r="A30" s="9"/>
      <c r="B30" s="9"/>
      <c r="C30" s="9"/>
      <c r="D30" s="9"/>
      <c r="E30" s="9"/>
      <c r="F30" s="9"/>
      <c r="G30" s="9"/>
      <c r="H30" s="9"/>
      <c r="I30" s="9"/>
      <c r="J30" s="9"/>
      <c r="K30" s="9"/>
      <c r="L30" s="9"/>
      <c r="M30" s="9"/>
      <c r="N30" s="9"/>
      <c r="O30" s="9"/>
      <c r="P30" s="9"/>
      <c r="Q30" s="9"/>
      <c r="R30" s="9"/>
      <c r="S30" s="9"/>
      <c r="T30" s="9"/>
      <c r="U30" s="9"/>
      <c r="V30" s="9"/>
      <c r="W30" s="9"/>
      <c r="X30" s="9"/>
      <c r="Y30" s="9"/>
    </row>
    <row r="31" spans="1:26" ht="18.75">
      <c r="A31" s="9"/>
      <c r="B31" s="9"/>
      <c r="C31" s="9"/>
      <c r="D31" s="9"/>
      <c r="E31" s="9"/>
      <c r="F31" s="9"/>
      <c r="G31" s="9"/>
      <c r="H31" s="9"/>
      <c r="I31" s="9"/>
      <c r="J31" s="9"/>
      <c r="K31" s="9"/>
      <c r="L31" s="9"/>
      <c r="M31" s="9"/>
      <c r="N31" s="9"/>
      <c r="O31" s="9"/>
      <c r="P31" s="9"/>
      <c r="Q31" s="9"/>
      <c r="R31" s="9"/>
      <c r="S31" s="9"/>
      <c r="T31" s="9"/>
      <c r="U31" s="9"/>
      <c r="V31" s="9"/>
      <c r="W31" s="9"/>
      <c r="X31" s="9"/>
      <c r="Y31" s="9"/>
    </row>
    <row r="32" spans="1:26" ht="22.5" customHeight="1">
      <c r="A32" s="9"/>
      <c r="B32" s="9"/>
      <c r="C32" s="9"/>
      <c r="D32" s="9"/>
      <c r="E32" s="9"/>
      <c r="F32" s="9"/>
      <c r="G32" s="9"/>
      <c r="H32" s="9"/>
      <c r="I32" s="9"/>
      <c r="J32" s="9"/>
      <c r="K32" s="9"/>
      <c r="L32" s="9"/>
      <c r="M32" s="9"/>
      <c r="N32" s="9"/>
      <c r="O32" s="9"/>
      <c r="P32" s="9"/>
      <c r="Q32" s="9"/>
      <c r="R32" s="9"/>
      <c r="S32" s="9"/>
      <c r="T32" s="9"/>
      <c r="U32" s="9"/>
      <c r="V32" s="9"/>
      <c r="W32" s="9"/>
      <c r="X32" s="9"/>
      <c r="Y32" s="9"/>
    </row>
    <row r="33" spans="1:26" ht="18.75">
      <c r="A33" s="9"/>
      <c r="B33" s="9"/>
      <c r="C33" s="9"/>
      <c r="D33" s="9"/>
      <c r="E33" s="9"/>
      <c r="F33" s="9"/>
      <c r="G33" s="9"/>
      <c r="H33" s="9"/>
      <c r="I33" s="9"/>
      <c r="J33" s="9"/>
      <c r="K33" s="9"/>
      <c r="L33" s="9"/>
      <c r="M33" s="9"/>
      <c r="N33" s="9"/>
      <c r="O33" s="9"/>
      <c r="P33" s="9"/>
      <c r="Q33" s="9"/>
      <c r="R33" s="695"/>
      <c r="S33" s="9"/>
      <c r="T33" s="9"/>
      <c r="U33" s="9"/>
      <c r="V33" s="9"/>
      <c r="W33" s="9"/>
      <c r="X33" s="9"/>
      <c r="Y33" s="9"/>
      <c r="Z33" s="9"/>
    </row>
    <row r="34" spans="1:26" ht="18.7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8.7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8.7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36">
    <mergeCell ref="M6:R6"/>
    <mergeCell ref="E8:J8"/>
    <mergeCell ref="I9:I10"/>
    <mergeCell ref="J9:J10"/>
    <mergeCell ref="C7:J7"/>
    <mergeCell ref="F9:G9"/>
    <mergeCell ref="L8:L10"/>
    <mergeCell ref="K8:K10"/>
    <mergeCell ref="K7:R7"/>
    <mergeCell ref="D8:D10"/>
    <mergeCell ref="P9:P10"/>
    <mergeCell ref="H9:H10"/>
    <mergeCell ref="N9:O9"/>
    <mergeCell ref="Q9:Q10"/>
    <mergeCell ref="R9:R10"/>
    <mergeCell ref="V9:W9"/>
    <mergeCell ref="X9:X10"/>
    <mergeCell ref="Z9:Z10"/>
    <mergeCell ref="S7:Z7"/>
    <mergeCell ref="U8:Z8"/>
    <mergeCell ref="A1:Z1"/>
    <mergeCell ref="A2:Z2"/>
    <mergeCell ref="A3:Z3"/>
    <mergeCell ref="C8:C10"/>
    <mergeCell ref="B7:B10"/>
    <mergeCell ref="A7:A10"/>
    <mergeCell ref="S8:S10"/>
    <mergeCell ref="T8:T10"/>
    <mergeCell ref="M8:R8"/>
    <mergeCell ref="E9:E10"/>
    <mergeCell ref="U9:U10"/>
    <mergeCell ref="M9:M10"/>
    <mergeCell ref="E6:J6"/>
    <mergeCell ref="A4:Z4"/>
    <mergeCell ref="T6:Z6"/>
    <mergeCell ref="Y9:Y10"/>
  </mergeCells>
  <printOptions horizontalCentered="1"/>
  <pageMargins left="0.31496062992125984" right="0.23622047244094491" top="0.62992125984251968" bottom="0.23622047244094491" header="0.47244094488188981" footer="0.15748031496062992"/>
  <pageSetup paperSize="8" scale="68" fitToHeight="5" orientation="landscape" r:id="rId1"/>
  <headerFooter alignWithMargins="0">
    <oddHeader xml:space="preserve">&amp;C&amp;"Times New Roman,Regular"                                                                                                                                                                                                            </oddHeader>
    <oddFooter>&amp;C&amp;".VnTime,Italic"&amp;8</oddFooter>
  </headerFooter>
  <ignoredErrors>
    <ignoredError sqref="L13:L21" formula="1"/>
  </ignoredErrors>
</worksheet>
</file>

<file path=xl/worksheets/sheet22.xml><?xml version="1.0" encoding="utf-8"?>
<worksheet xmlns="http://schemas.openxmlformats.org/spreadsheetml/2006/main" xmlns:r="http://schemas.openxmlformats.org/officeDocument/2006/relationships">
  <sheetPr>
    <tabColor rgb="FF00B0F0"/>
    <pageSetUpPr fitToPage="1"/>
  </sheetPr>
  <dimension ref="A1:BE59"/>
  <sheetViews>
    <sheetView tabSelected="1" zoomScale="70" zoomScaleNormal="70" workbookViewId="0">
      <selection activeCell="A7" sqref="A7"/>
    </sheetView>
  </sheetViews>
  <sheetFormatPr defaultColWidth="9" defaultRowHeight="15.75"/>
  <cols>
    <col min="1" max="1" width="5.75" style="43" customWidth="1"/>
    <col min="2" max="2" width="37.375" style="43" customWidth="1"/>
    <col min="3" max="3" width="10.875" style="735" customWidth="1"/>
    <col min="4" max="4" width="10.5" style="735" customWidth="1"/>
    <col min="5" max="5" width="10" style="735" customWidth="1"/>
    <col min="6" max="6" width="11.125" style="735" customWidth="1"/>
    <col min="7" max="8" width="11.125" style="43" customWidth="1"/>
    <col min="9" max="9" width="7.5" style="43" customWidth="1"/>
    <col min="10" max="11" width="10" style="43" customWidth="1"/>
    <col min="12" max="12" width="7.5" style="43" customWidth="1"/>
    <col min="13" max="15" width="10" style="43" customWidth="1"/>
    <col min="16" max="16" width="7.625" style="43" customWidth="1"/>
    <col min="17" max="18" width="10" style="43" customWidth="1"/>
    <col min="19" max="19" width="7.25" style="43" customWidth="1"/>
    <col min="20" max="21" width="10.5" style="43" customWidth="1"/>
    <col min="22" max="22" width="10" style="43" customWidth="1"/>
    <col min="23" max="23" width="10.625" style="43" customWidth="1"/>
    <col min="24" max="25" width="10.5" style="43" customWidth="1"/>
    <col min="26" max="26" width="8" style="43" customWidth="1"/>
    <col min="27" max="27" width="9.25" style="43" customWidth="1"/>
    <col min="28" max="28" width="10.5" style="43" customWidth="1"/>
    <col min="29" max="29" width="7.5" style="43" customWidth="1"/>
    <col min="30" max="30" width="10" style="43" customWidth="1"/>
    <col min="31" max="31" width="9.125" style="43" customWidth="1"/>
    <col min="32" max="32" width="9.25" style="43" customWidth="1"/>
    <col min="33" max="33" width="7.75" style="43" customWidth="1"/>
    <col min="34" max="34" width="9.875" style="43" customWidth="1"/>
    <col min="35" max="35" width="9.5" style="43" customWidth="1"/>
    <col min="36" max="36" width="8.125" style="43" customWidth="1"/>
    <col min="37" max="37" width="9" style="43" customWidth="1"/>
    <col min="38" max="38" width="9.75" style="43" customWidth="1"/>
    <col min="39" max="39" width="9.625" style="43" customWidth="1"/>
    <col min="40" max="42" width="9.25" style="43" customWidth="1"/>
    <col min="43" max="43" width="7.5" style="43" customWidth="1"/>
    <col min="44" max="44" width="9.125" style="43" customWidth="1"/>
    <col min="45" max="45" width="9.875" style="43" customWidth="1"/>
    <col min="46" max="46" width="7.25" style="43" customWidth="1"/>
    <col min="47" max="47" width="9.625" style="43" customWidth="1"/>
    <col min="48" max="48" width="9.75" style="43" customWidth="1"/>
    <col min="49" max="49" width="9.625" style="43" customWidth="1"/>
    <col min="50" max="50" width="7.5" style="43" customWidth="1"/>
    <col min="51" max="51" width="9.25" style="43" customWidth="1"/>
    <col min="52" max="52" width="9.625" style="43" customWidth="1"/>
    <col min="53" max="53" width="7.75" style="43" customWidth="1"/>
    <col min="54" max="16384" width="9" style="43"/>
  </cols>
  <sheetData>
    <row r="1" spans="1:57" s="4" customFormat="1" ht="21" customHeight="1">
      <c r="A1" s="104" t="s">
        <v>588</v>
      </c>
      <c r="B1" s="805"/>
      <c r="C1" s="805"/>
      <c r="D1" s="805"/>
      <c r="E1" s="805"/>
      <c r="F1" s="805"/>
      <c r="G1" s="805"/>
      <c r="H1" s="805"/>
      <c r="I1" s="805"/>
      <c r="J1" s="805"/>
      <c r="K1" s="805"/>
      <c r="L1" s="805"/>
      <c r="M1" s="805"/>
      <c r="N1" s="805"/>
      <c r="O1" s="805"/>
      <c r="P1" s="805"/>
      <c r="Q1" s="805"/>
      <c r="R1" s="805"/>
      <c r="S1" s="805"/>
      <c r="T1" s="805"/>
      <c r="U1" s="805"/>
      <c r="V1" s="805"/>
      <c r="W1" s="805"/>
      <c r="X1" s="805"/>
      <c r="Y1" s="805"/>
      <c r="Z1" s="805"/>
      <c r="AA1" s="805"/>
      <c r="AB1" s="805"/>
      <c r="AC1" s="805"/>
      <c r="AD1" s="805"/>
      <c r="AE1" s="805"/>
      <c r="AF1" s="805"/>
      <c r="AG1" s="805"/>
      <c r="AH1" s="805"/>
      <c r="AI1" s="805"/>
      <c r="AJ1" s="805"/>
      <c r="AK1" s="805"/>
      <c r="AL1" s="805"/>
      <c r="AM1" s="805"/>
      <c r="AN1" s="805"/>
      <c r="AO1" s="805"/>
      <c r="AP1" s="805"/>
      <c r="AQ1" s="805"/>
      <c r="AR1" s="805"/>
      <c r="AS1" s="805"/>
      <c r="AT1" s="805"/>
      <c r="AU1" s="805"/>
      <c r="AV1" s="805"/>
      <c r="AW1" s="805"/>
      <c r="AX1" s="805"/>
      <c r="AY1" s="805"/>
      <c r="AZ1" s="805"/>
      <c r="BA1" s="804" t="s">
        <v>684</v>
      </c>
    </row>
    <row r="2" spans="1:57" s="4" customFormat="1" ht="21" customHeight="1">
      <c r="A2" s="104" t="s">
        <v>683</v>
      </c>
      <c r="B2" s="805"/>
      <c r="C2" s="805"/>
      <c r="D2" s="805"/>
      <c r="E2" s="805"/>
      <c r="F2" s="805"/>
      <c r="G2" s="805"/>
      <c r="H2" s="805"/>
      <c r="I2" s="805"/>
      <c r="J2" s="805"/>
      <c r="K2" s="805"/>
      <c r="L2" s="805"/>
      <c r="M2" s="805"/>
      <c r="N2" s="805"/>
      <c r="O2" s="805"/>
      <c r="P2" s="805"/>
      <c r="Q2" s="805"/>
      <c r="R2" s="805"/>
      <c r="S2" s="805"/>
      <c r="T2" s="805"/>
      <c r="U2" s="805"/>
      <c r="V2" s="805"/>
      <c r="W2" s="805"/>
      <c r="X2" s="805"/>
      <c r="Y2" s="805"/>
      <c r="Z2" s="805"/>
      <c r="AA2" s="805"/>
      <c r="AB2" s="805"/>
      <c r="AC2" s="805"/>
      <c r="AD2" s="805"/>
      <c r="AE2" s="805"/>
      <c r="AF2" s="805"/>
      <c r="AG2" s="805"/>
      <c r="AH2" s="805"/>
      <c r="AI2" s="805"/>
      <c r="AJ2" s="805"/>
      <c r="AK2" s="805"/>
      <c r="AL2" s="805"/>
      <c r="AM2" s="805"/>
      <c r="AN2" s="805"/>
      <c r="AO2" s="805"/>
      <c r="AP2" s="805"/>
      <c r="AQ2" s="805"/>
      <c r="AR2" s="805"/>
      <c r="AS2" s="805"/>
      <c r="AT2" s="805"/>
      <c r="AU2" s="805"/>
      <c r="AV2" s="805"/>
      <c r="AW2" s="805"/>
      <c r="AX2" s="805"/>
      <c r="AY2" s="805"/>
      <c r="AZ2" s="805"/>
      <c r="BA2" s="805"/>
    </row>
    <row r="3" spans="1:57" ht="21" customHeight="1">
      <c r="A3" s="1011" t="s">
        <v>567</v>
      </c>
      <c r="B3" s="1011"/>
      <c r="C3" s="1011"/>
      <c r="D3" s="1011"/>
      <c r="E3" s="1011"/>
      <c r="F3" s="1011"/>
      <c r="G3" s="1011"/>
      <c r="H3" s="1011"/>
      <c r="I3" s="1011"/>
      <c r="J3" s="1011"/>
      <c r="K3" s="1011"/>
      <c r="L3" s="1011"/>
      <c r="M3" s="1011"/>
      <c r="N3" s="1011"/>
      <c r="O3" s="1011"/>
      <c r="P3" s="1011"/>
      <c r="Q3" s="1011"/>
      <c r="R3" s="1011"/>
      <c r="S3" s="1011"/>
      <c r="T3" s="1011"/>
      <c r="U3" s="1011"/>
      <c r="V3" s="1011"/>
      <c r="W3" s="1011"/>
      <c r="X3" s="1011"/>
      <c r="Y3" s="1011"/>
      <c r="Z3" s="1011"/>
      <c r="AA3" s="1011"/>
      <c r="AB3" s="1011"/>
      <c r="AC3" s="1011"/>
      <c r="AD3" s="1011"/>
      <c r="AE3" s="1011"/>
      <c r="AF3" s="1011"/>
      <c r="AG3" s="1011"/>
      <c r="AH3" s="1011"/>
      <c r="AI3" s="1011"/>
      <c r="AJ3" s="1011"/>
      <c r="AK3" s="1011"/>
      <c r="AL3" s="1011"/>
      <c r="AM3" s="1011"/>
      <c r="AN3" s="1011"/>
      <c r="AO3" s="1011"/>
      <c r="AP3" s="1011"/>
      <c r="AQ3" s="1011"/>
      <c r="AR3" s="1011"/>
      <c r="AS3" s="1011"/>
      <c r="AT3" s="1011"/>
      <c r="AU3" s="1011"/>
      <c r="AV3" s="1011"/>
      <c r="AW3" s="1011"/>
      <c r="AX3" s="1011"/>
      <c r="AY3" s="1011"/>
      <c r="AZ3" s="1011"/>
      <c r="BA3" s="1011"/>
    </row>
    <row r="4" spans="1:57" ht="21" customHeight="1">
      <c r="A4" s="1014" t="s">
        <v>685</v>
      </c>
      <c r="B4" s="1014"/>
      <c r="C4" s="1014"/>
      <c r="D4" s="1014"/>
      <c r="E4" s="1014"/>
      <c r="F4" s="1014"/>
      <c r="G4" s="1014"/>
      <c r="H4" s="1014"/>
      <c r="I4" s="1014"/>
      <c r="J4" s="1014"/>
      <c r="K4" s="1014"/>
      <c r="L4" s="1014"/>
      <c r="M4" s="1014"/>
      <c r="N4" s="1014"/>
      <c r="O4" s="1014"/>
      <c r="P4" s="1014"/>
      <c r="Q4" s="1014"/>
      <c r="R4" s="1014"/>
      <c r="S4" s="1014"/>
      <c r="T4" s="1014"/>
      <c r="U4" s="1014"/>
      <c r="V4" s="1014"/>
      <c r="W4" s="1014"/>
      <c r="X4" s="1014"/>
      <c r="Y4" s="1014"/>
      <c r="Z4" s="1014"/>
      <c r="AA4" s="1014"/>
      <c r="AB4" s="1014"/>
      <c r="AC4" s="1014"/>
      <c r="AD4" s="1014"/>
      <c r="AE4" s="1014"/>
      <c r="AF4" s="1014"/>
      <c r="AG4" s="1014"/>
      <c r="AH4" s="1014"/>
      <c r="AI4" s="1014"/>
      <c r="AJ4" s="1014"/>
      <c r="AK4" s="1014"/>
      <c r="AL4" s="1014"/>
      <c r="AM4" s="1014"/>
      <c r="AN4" s="1014"/>
      <c r="AO4" s="1014"/>
      <c r="AP4" s="1014"/>
      <c r="AQ4" s="1014"/>
      <c r="AR4" s="1014"/>
      <c r="AS4" s="1014"/>
      <c r="AT4" s="1014"/>
      <c r="AU4" s="1014"/>
      <c r="AV4" s="1014"/>
      <c r="AW4" s="1014"/>
      <c r="AX4" s="1014"/>
      <c r="AY4" s="1014"/>
      <c r="AZ4" s="1014"/>
      <c r="BA4" s="1014"/>
      <c r="BB4" s="178"/>
      <c r="BC4" s="178"/>
      <c r="BD4" s="178"/>
      <c r="BE4" s="178"/>
    </row>
    <row r="5" spans="1:57" ht="18" hidden="1" customHeight="1">
      <c r="A5" s="17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row>
    <row r="6" spans="1:57" ht="14.25" hidden="1" customHeight="1">
      <c r="A6" s="44"/>
      <c r="B6" s="44"/>
      <c r="C6" s="41"/>
      <c r="D6" s="41"/>
      <c r="E6" s="41"/>
      <c r="F6" s="41"/>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row>
    <row r="7" spans="1:57" ht="14.25" customHeight="1">
      <c r="A7" s="44"/>
      <c r="B7" s="44"/>
      <c r="C7" s="41"/>
      <c r="D7" s="41"/>
      <c r="E7" s="41"/>
      <c r="F7" s="41"/>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row>
    <row r="8" spans="1:57" ht="19.5" customHeight="1">
      <c r="A8" s="45"/>
      <c r="B8" s="45"/>
      <c r="C8" s="664"/>
      <c r="D8" s="664"/>
      <c r="E8" s="664"/>
      <c r="F8" s="664"/>
      <c r="G8" s="46"/>
      <c r="H8" s="46"/>
      <c r="I8" s="46"/>
      <c r="J8" s="61"/>
      <c r="K8" s="1012"/>
      <c r="L8" s="1012"/>
      <c r="M8" s="46"/>
      <c r="N8" s="46"/>
      <c r="O8" s="46"/>
      <c r="P8" s="46"/>
      <c r="Q8" s="61"/>
      <c r="R8" s="1012"/>
      <c r="S8" s="1012"/>
      <c r="T8" s="46"/>
      <c r="U8" s="46"/>
      <c r="V8" s="46"/>
      <c r="W8" s="46"/>
      <c r="X8" s="46"/>
      <c r="Y8" s="46"/>
      <c r="Z8" s="46"/>
      <c r="AA8" s="61"/>
      <c r="AB8" s="1012"/>
      <c r="AC8" s="1012"/>
      <c r="AD8" s="46"/>
      <c r="AE8" s="46"/>
      <c r="AF8" s="46"/>
      <c r="AG8" s="46"/>
      <c r="AH8" s="61"/>
      <c r="AI8" s="1012"/>
      <c r="AJ8" s="1012"/>
      <c r="AK8" s="657"/>
      <c r="AL8" s="657"/>
      <c r="AN8" s="657"/>
      <c r="AO8" s="657"/>
      <c r="AP8" s="657"/>
      <c r="AQ8" s="657"/>
      <c r="AR8" s="657"/>
      <c r="AS8" s="657"/>
      <c r="AT8" s="657"/>
      <c r="AU8" s="657"/>
      <c r="AV8" s="657"/>
      <c r="AW8" s="657"/>
      <c r="AX8" s="657"/>
      <c r="AY8" s="657"/>
      <c r="AZ8" s="657"/>
      <c r="BA8" s="557" t="s">
        <v>570</v>
      </c>
    </row>
    <row r="9" spans="1:57" s="47" customFormat="1" ht="21.75" customHeight="1">
      <c r="A9" s="1013" t="s">
        <v>110</v>
      </c>
      <c r="B9" s="1013" t="s">
        <v>11</v>
      </c>
      <c r="C9" s="1015" t="s">
        <v>12</v>
      </c>
      <c r="D9" s="1015"/>
      <c r="E9" s="1015"/>
      <c r="F9" s="1015"/>
      <c r="G9" s="1015"/>
      <c r="H9" s="1015"/>
      <c r="I9" s="1015"/>
      <c r="J9" s="1015"/>
      <c r="K9" s="1015"/>
      <c r="L9" s="1015"/>
      <c r="M9" s="1015"/>
      <c r="N9" s="1015"/>
      <c r="O9" s="1015"/>
      <c r="P9" s="1015"/>
      <c r="Q9" s="1015"/>
      <c r="R9" s="1015"/>
      <c r="S9" s="1015"/>
      <c r="T9" s="1015" t="s">
        <v>109</v>
      </c>
      <c r="U9" s="1015"/>
      <c r="V9" s="1015"/>
      <c r="W9" s="1015"/>
      <c r="X9" s="1015"/>
      <c r="Y9" s="1015"/>
      <c r="Z9" s="1015"/>
      <c r="AA9" s="1015"/>
      <c r="AB9" s="1015"/>
      <c r="AC9" s="1015"/>
      <c r="AD9" s="1015"/>
      <c r="AE9" s="1015"/>
      <c r="AF9" s="1015"/>
      <c r="AG9" s="1015"/>
      <c r="AH9" s="1015"/>
      <c r="AI9" s="1015"/>
      <c r="AJ9" s="1015"/>
      <c r="AK9" s="1013" t="s">
        <v>200</v>
      </c>
      <c r="AL9" s="1013"/>
      <c r="AM9" s="1013"/>
      <c r="AN9" s="1013"/>
      <c r="AO9" s="1013"/>
      <c r="AP9" s="1013"/>
      <c r="AQ9" s="1013"/>
      <c r="AR9" s="1013"/>
      <c r="AS9" s="1013"/>
      <c r="AT9" s="1013"/>
      <c r="AU9" s="1013"/>
      <c r="AV9" s="1013"/>
      <c r="AW9" s="1013"/>
      <c r="AX9" s="1013"/>
      <c r="AY9" s="1013"/>
      <c r="AZ9" s="1013"/>
      <c r="BA9" s="1013"/>
    </row>
    <row r="10" spans="1:57" s="47" customFormat="1" ht="21.75" customHeight="1">
      <c r="A10" s="1013"/>
      <c r="B10" s="1013"/>
      <c r="C10" s="1013" t="s">
        <v>180</v>
      </c>
      <c r="D10" s="1013" t="s">
        <v>56</v>
      </c>
      <c r="E10" s="1013"/>
      <c r="F10" s="942" t="s">
        <v>568</v>
      </c>
      <c r="G10" s="942"/>
      <c r="H10" s="942"/>
      <c r="I10" s="942"/>
      <c r="J10" s="942"/>
      <c r="K10" s="942"/>
      <c r="L10" s="942"/>
      <c r="M10" s="942" t="s">
        <v>569</v>
      </c>
      <c r="N10" s="942"/>
      <c r="O10" s="942"/>
      <c r="P10" s="942"/>
      <c r="Q10" s="942"/>
      <c r="R10" s="942"/>
      <c r="S10" s="942"/>
      <c r="T10" s="1013" t="s">
        <v>180</v>
      </c>
      <c r="U10" s="1013" t="s">
        <v>56</v>
      </c>
      <c r="V10" s="1013"/>
      <c r="W10" s="942" t="s">
        <v>568</v>
      </c>
      <c r="X10" s="942"/>
      <c r="Y10" s="942"/>
      <c r="Z10" s="942"/>
      <c r="AA10" s="942"/>
      <c r="AB10" s="942"/>
      <c r="AC10" s="942"/>
      <c r="AD10" s="942" t="s">
        <v>569</v>
      </c>
      <c r="AE10" s="942"/>
      <c r="AF10" s="942"/>
      <c r="AG10" s="942"/>
      <c r="AH10" s="942"/>
      <c r="AI10" s="942"/>
      <c r="AJ10" s="942"/>
      <c r="AK10" s="1013" t="s">
        <v>180</v>
      </c>
      <c r="AL10" s="1013" t="s">
        <v>56</v>
      </c>
      <c r="AM10" s="1013"/>
      <c r="AN10" s="942" t="s">
        <v>568</v>
      </c>
      <c r="AO10" s="942"/>
      <c r="AP10" s="942"/>
      <c r="AQ10" s="942"/>
      <c r="AR10" s="942"/>
      <c r="AS10" s="942"/>
      <c r="AT10" s="942"/>
      <c r="AU10" s="942" t="s">
        <v>569</v>
      </c>
      <c r="AV10" s="942"/>
      <c r="AW10" s="942"/>
      <c r="AX10" s="942"/>
      <c r="AY10" s="942"/>
      <c r="AZ10" s="942"/>
      <c r="BA10" s="942"/>
    </row>
    <row r="11" spans="1:57" s="47" customFormat="1" ht="21.75" customHeight="1">
      <c r="A11" s="1013"/>
      <c r="B11" s="1013"/>
      <c r="C11" s="1013"/>
      <c r="D11" s="1013" t="s">
        <v>349</v>
      </c>
      <c r="E11" s="1013" t="s">
        <v>359</v>
      </c>
      <c r="F11" s="1013" t="s">
        <v>180</v>
      </c>
      <c r="G11" s="942" t="s">
        <v>38</v>
      </c>
      <c r="H11" s="942"/>
      <c r="I11" s="942"/>
      <c r="J11" s="942" t="s">
        <v>359</v>
      </c>
      <c r="K11" s="942"/>
      <c r="L11" s="942"/>
      <c r="M11" s="1013" t="s">
        <v>180</v>
      </c>
      <c r="N11" s="942" t="s">
        <v>38</v>
      </c>
      <c r="O11" s="942"/>
      <c r="P11" s="942"/>
      <c r="Q11" s="942" t="s">
        <v>359</v>
      </c>
      <c r="R11" s="942"/>
      <c r="S11" s="942"/>
      <c r="T11" s="1013"/>
      <c r="U11" s="1013" t="s">
        <v>349</v>
      </c>
      <c r="V11" s="1013" t="s">
        <v>359</v>
      </c>
      <c r="W11" s="1013" t="s">
        <v>180</v>
      </c>
      <c r="X11" s="942" t="s">
        <v>38</v>
      </c>
      <c r="Y11" s="942"/>
      <c r="Z11" s="942"/>
      <c r="AA11" s="942" t="s">
        <v>359</v>
      </c>
      <c r="AB11" s="942"/>
      <c r="AC11" s="942"/>
      <c r="AD11" s="1013" t="s">
        <v>180</v>
      </c>
      <c r="AE11" s="942" t="s">
        <v>38</v>
      </c>
      <c r="AF11" s="942"/>
      <c r="AG11" s="942"/>
      <c r="AH11" s="942" t="s">
        <v>359</v>
      </c>
      <c r="AI11" s="942"/>
      <c r="AJ11" s="942"/>
      <c r="AK11" s="1013"/>
      <c r="AL11" s="1013" t="s">
        <v>38</v>
      </c>
      <c r="AM11" s="1013" t="s">
        <v>42</v>
      </c>
      <c r="AN11" s="1013" t="s">
        <v>180</v>
      </c>
      <c r="AO11" s="942" t="s">
        <v>38</v>
      </c>
      <c r="AP11" s="942"/>
      <c r="AQ11" s="942"/>
      <c r="AR11" s="942" t="s">
        <v>359</v>
      </c>
      <c r="AS11" s="942"/>
      <c r="AT11" s="942"/>
      <c r="AU11" s="1013" t="s">
        <v>180</v>
      </c>
      <c r="AV11" s="942" t="s">
        <v>38</v>
      </c>
      <c r="AW11" s="942"/>
      <c r="AX11" s="942"/>
      <c r="AY11" s="942" t="s">
        <v>359</v>
      </c>
      <c r="AZ11" s="942"/>
      <c r="BA11" s="942"/>
    </row>
    <row r="12" spans="1:57" s="47" customFormat="1" ht="21.75" customHeight="1">
      <c r="A12" s="1013"/>
      <c r="B12" s="1013"/>
      <c r="C12" s="1013"/>
      <c r="D12" s="1013"/>
      <c r="E12" s="1013"/>
      <c r="F12" s="1013"/>
      <c r="G12" s="1013" t="s">
        <v>180</v>
      </c>
      <c r="H12" s="1013" t="s">
        <v>83</v>
      </c>
      <c r="I12" s="1013"/>
      <c r="J12" s="1013" t="s">
        <v>180</v>
      </c>
      <c r="K12" s="1013" t="s">
        <v>83</v>
      </c>
      <c r="L12" s="1013"/>
      <c r="M12" s="1013"/>
      <c r="N12" s="1013" t="s">
        <v>180</v>
      </c>
      <c r="O12" s="1013" t="s">
        <v>83</v>
      </c>
      <c r="P12" s="1013"/>
      <c r="Q12" s="1013" t="s">
        <v>180</v>
      </c>
      <c r="R12" s="1013" t="s">
        <v>83</v>
      </c>
      <c r="S12" s="1013"/>
      <c r="T12" s="1013"/>
      <c r="U12" s="1013"/>
      <c r="V12" s="1013"/>
      <c r="W12" s="1013"/>
      <c r="X12" s="1013" t="s">
        <v>180</v>
      </c>
      <c r="Y12" s="1013" t="s">
        <v>83</v>
      </c>
      <c r="Z12" s="1013"/>
      <c r="AA12" s="1013" t="s">
        <v>180</v>
      </c>
      <c r="AB12" s="1013" t="s">
        <v>83</v>
      </c>
      <c r="AC12" s="1013"/>
      <c r="AD12" s="1013"/>
      <c r="AE12" s="1013" t="s">
        <v>180</v>
      </c>
      <c r="AF12" s="1013" t="s">
        <v>83</v>
      </c>
      <c r="AG12" s="1013"/>
      <c r="AH12" s="1013" t="s">
        <v>180</v>
      </c>
      <c r="AI12" s="1013" t="s">
        <v>83</v>
      </c>
      <c r="AJ12" s="1013"/>
      <c r="AK12" s="1013"/>
      <c r="AL12" s="1013"/>
      <c r="AM12" s="1013"/>
      <c r="AN12" s="1013"/>
      <c r="AO12" s="1013" t="s">
        <v>180</v>
      </c>
      <c r="AP12" s="1013" t="s">
        <v>83</v>
      </c>
      <c r="AQ12" s="1013"/>
      <c r="AR12" s="1013" t="s">
        <v>180</v>
      </c>
      <c r="AS12" s="1013" t="s">
        <v>83</v>
      </c>
      <c r="AT12" s="1013"/>
      <c r="AU12" s="1013"/>
      <c r="AV12" s="1013" t="s">
        <v>180</v>
      </c>
      <c r="AW12" s="1013" t="s">
        <v>83</v>
      </c>
      <c r="AX12" s="1013"/>
      <c r="AY12" s="1013" t="s">
        <v>180</v>
      </c>
      <c r="AZ12" s="1013" t="s">
        <v>83</v>
      </c>
      <c r="BA12" s="1013"/>
    </row>
    <row r="13" spans="1:57" s="47" customFormat="1" ht="21.75" customHeight="1">
      <c r="A13" s="1013"/>
      <c r="B13" s="1013"/>
      <c r="C13" s="1013"/>
      <c r="D13" s="1013"/>
      <c r="E13" s="1013"/>
      <c r="F13" s="1013"/>
      <c r="G13" s="1013"/>
      <c r="H13" s="1013" t="s">
        <v>120</v>
      </c>
      <c r="I13" s="1013" t="s">
        <v>121</v>
      </c>
      <c r="J13" s="1013"/>
      <c r="K13" s="1013" t="s">
        <v>120</v>
      </c>
      <c r="L13" s="1013" t="s">
        <v>121</v>
      </c>
      <c r="M13" s="1013"/>
      <c r="N13" s="1013"/>
      <c r="O13" s="1013" t="s">
        <v>120</v>
      </c>
      <c r="P13" s="1013" t="s">
        <v>121</v>
      </c>
      <c r="Q13" s="1013"/>
      <c r="R13" s="1013" t="s">
        <v>120</v>
      </c>
      <c r="S13" s="1013" t="s">
        <v>121</v>
      </c>
      <c r="T13" s="1013"/>
      <c r="U13" s="1013"/>
      <c r="V13" s="1013"/>
      <c r="W13" s="1013"/>
      <c r="X13" s="1013"/>
      <c r="Y13" s="1013" t="s">
        <v>120</v>
      </c>
      <c r="Z13" s="1013" t="s">
        <v>121</v>
      </c>
      <c r="AA13" s="1013"/>
      <c r="AB13" s="1013" t="s">
        <v>120</v>
      </c>
      <c r="AC13" s="1013" t="s">
        <v>121</v>
      </c>
      <c r="AD13" s="1013"/>
      <c r="AE13" s="1013"/>
      <c r="AF13" s="1013" t="s">
        <v>120</v>
      </c>
      <c r="AG13" s="1013" t="s">
        <v>121</v>
      </c>
      <c r="AH13" s="1013"/>
      <c r="AI13" s="1013" t="s">
        <v>120</v>
      </c>
      <c r="AJ13" s="1013" t="s">
        <v>121</v>
      </c>
      <c r="AK13" s="1013"/>
      <c r="AL13" s="1013"/>
      <c r="AM13" s="1013"/>
      <c r="AN13" s="1013"/>
      <c r="AO13" s="1013"/>
      <c r="AP13" s="1013" t="s">
        <v>120</v>
      </c>
      <c r="AQ13" s="1013" t="s">
        <v>121</v>
      </c>
      <c r="AR13" s="1013"/>
      <c r="AS13" s="1013" t="s">
        <v>120</v>
      </c>
      <c r="AT13" s="1013" t="s">
        <v>121</v>
      </c>
      <c r="AU13" s="1013"/>
      <c r="AV13" s="1013"/>
      <c r="AW13" s="1013" t="s">
        <v>120</v>
      </c>
      <c r="AX13" s="1013" t="s">
        <v>121</v>
      </c>
      <c r="AY13" s="1013"/>
      <c r="AZ13" s="1013" t="s">
        <v>120</v>
      </c>
      <c r="BA13" s="1013" t="s">
        <v>121</v>
      </c>
    </row>
    <row r="14" spans="1:57" s="47" customFormat="1" ht="21.75" customHeight="1">
      <c r="A14" s="1013"/>
      <c r="B14" s="1013"/>
      <c r="C14" s="1013"/>
      <c r="D14" s="1013"/>
      <c r="E14" s="1013"/>
      <c r="F14" s="1013"/>
      <c r="G14" s="1013"/>
      <c r="H14" s="1013"/>
      <c r="I14" s="1013"/>
      <c r="J14" s="1013"/>
      <c r="K14" s="1013"/>
      <c r="L14" s="1013"/>
      <c r="M14" s="1013"/>
      <c r="N14" s="1013"/>
      <c r="O14" s="1013"/>
      <c r="P14" s="1013"/>
      <c r="Q14" s="1013"/>
      <c r="R14" s="1013"/>
      <c r="S14" s="1013"/>
      <c r="T14" s="1013"/>
      <c r="U14" s="1013"/>
      <c r="V14" s="1013"/>
      <c r="W14" s="1013"/>
      <c r="X14" s="1013"/>
      <c r="Y14" s="1013"/>
      <c r="Z14" s="1013"/>
      <c r="AA14" s="1013"/>
      <c r="AB14" s="1013"/>
      <c r="AC14" s="1013"/>
      <c r="AD14" s="1013"/>
      <c r="AE14" s="1013"/>
      <c r="AF14" s="1013"/>
      <c r="AG14" s="1013"/>
      <c r="AH14" s="1013"/>
      <c r="AI14" s="1013"/>
      <c r="AJ14" s="1013"/>
      <c r="AK14" s="1013"/>
      <c r="AL14" s="1013"/>
      <c r="AM14" s="1013"/>
      <c r="AN14" s="1013"/>
      <c r="AO14" s="1013"/>
      <c r="AP14" s="1013"/>
      <c r="AQ14" s="1013"/>
      <c r="AR14" s="1013"/>
      <c r="AS14" s="1013"/>
      <c r="AT14" s="1013"/>
      <c r="AU14" s="1013"/>
      <c r="AV14" s="1013"/>
      <c r="AW14" s="1013"/>
      <c r="AX14" s="1013"/>
      <c r="AY14" s="1013"/>
      <c r="AZ14" s="1013"/>
      <c r="BA14" s="1013"/>
    </row>
    <row r="15" spans="1:57" s="47" customFormat="1" ht="21.75" customHeight="1">
      <c r="A15" s="1013"/>
      <c r="B15" s="1013"/>
      <c r="C15" s="1013"/>
      <c r="D15" s="1013"/>
      <c r="E15" s="1013"/>
      <c r="F15" s="1013"/>
      <c r="G15" s="1013"/>
      <c r="H15" s="1013"/>
      <c r="I15" s="1013"/>
      <c r="J15" s="1013"/>
      <c r="K15" s="1013"/>
      <c r="L15" s="1013"/>
      <c r="M15" s="1013"/>
      <c r="N15" s="1013"/>
      <c r="O15" s="1013"/>
      <c r="P15" s="1013"/>
      <c r="Q15" s="1013"/>
      <c r="R15" s="1013"/>
      <c r="S15" s="1013"/>
      <c r="T15" s="1013"/>
      <c r="U15" s="1013"/>
      <c r="V15" s="1013"/>
      <c r="W15" s="1013"/>
      <c r="X15" s="1013"/>
      <c r="Y15" s="1013"/>
      <c r="Z15" s="1013"/>
      <c r="AA15" s="1013"/>
      <c r="AB15" s="1013"/>
      <c r="AC15" s="1013"/>
      <c r="AD15" s="1013"/>
      <c r="AE15" s="1013"/>
      <c r="AF15" s="1013"/>
      <c r="AG15" s="1013"/>
      <c r="AH15" s="1013"/>
      <c r="AI15" s="1013"/>
      <c r="AJ15" s="1013"/>
      <c r="AK15" s="1013"/>
      <c r="AL15" s="1013"/>
      <c r="AM15" s="1013"/>
      <c r="AN15" s="1013"/>
      <c r="AO15" s="1013"/>
      <c r="AP15" s="1013"/>
      <c r="AQ15" s="1013"/>
      <c r="AR15" s="1013"/>
      <c r="AS15" s="1013"/>
      <c r="AT15" s="1013"/>
      <c r="AU15" s="1013"/>
      <c r="AV15" s="1013"/>
      <c r="AW15" s="1013"/>
      <c r="AX15" s="1013"/>
      <c r="AY15" s="1013"/>
      <c r="AZ15" s="1013"/>
      <c r="BA15" s="1013"/>
    </row>
    <row r="16" spans="1:57" s="49" customFormat="1" ht="17.25" customHeight="1">
      <c r="A16" s="48" t="s">
        <v>15</v>
      </c>
      <c r="B16" s="48" t="s">
        <v>16</v>
      </c>
      <c r="C16" s="48">
        <v>1</v>
      </c>
      <c r="D16" s="48">
        <f t="shared" ref="D16:S16" si="0">C16+1</f>
        <v>2</v>
      </c>
      <c r="E16" s="48">
        <f t="shared" si="0"/>
        <v>3</v>
      </c>
      <c r="F16" s="48">
        <f t="shared" si="0"/>
        <v>4</v>
      </c>
      <c r="G16" s="48">
        <f t="shared" si="0"/>
        <v>5</v>
      </c>
      <c r="H16" s="48">
        <f t="shared" si="0"/>
        <v>6</v>
      </c>
      <c r="I16" s="48">
        <f t="shared" si="0"/>
        <v>7</v>
      </c>
      <c r="J16" s="48">
        <f t="shared" si="0"/>
        <v>8</v>
      </c>
      <c r="K16" s="48">
        <f t="shared" si="0"/>
        <v>9</v>
      </c>
      <c r="L16" s="48">
        <f t="shared" si="0"/>
        <v>10</v>
      </c>
      <c r="M16" s="48">
        <f t="shared" si="0"/>
        <v>11</v>
      </c>
      <c r="N16" s="48">
        <f t="shared" si="0"/>
        <v>12</v>
      </c>
      <c r="O16" s="48">
        <f t="shared" si="0"/>
        <v>13</v>
      </c>
      <c r="P16" s="48">
        <f t="shared" si="0"/>
        <v>14</v>
      </c>
      <c r="Q16" s="48">
        <f t="shared" si="0"/>
        <v>15</v>
      </c>
      <c r="R16" s="48">
        <f t="shared" si="0"/>
        <v>16</v>
      </c>
      <c r="S16" s="48">
        <f t="shared" si="0"/>
        <v>17</v>
      </c>
      <c r="T16" s="48">
        <v>18</v>
      </c>
      <c r="U16" s="48">
        <f t="shared" ref="U16:AJ16" si="1">T16+1</f>
        <v>19</v>
      </c>
      <c r="V16" s="48">
        <f t="shared" si="1"/>
        <v>20</v>
      </c>
      <c r="W16" s="48">
        <f t="shared" si="1"/>
        <v>21</v>
      </c>
      <c r="X16" s="48">
        <f t="shared" si="1"/>
        <v>22</v>
      </c>
      <c r="Y16" s="48">
        <f t="shared" si="1"/>
        <v>23</v>
      </c>
      <c r="Z16" s="48">
        <f t="shared" si="1"/>
        <v>24</v>
      </c>
      <c r="AA16" s="48">
        <f t="shared" si="1"/>
        <v>25</v>
      </c>
      <c r="AB16" s="48">
        <f t="shared" si="1"/>
        <v>26</v>
      </c>
      <c r="AC16" s="48">
        <f t="shared" si="1"/>
        <v>27</v>
      </c>
      <c r="AD16" s="48">
        <f t="shared" si="1"/>
        <v>28</v>
      </c>
      <c r="AE16" s="48">
        <f t="shared" si="1"/>
        <v>29</v>
      </c>
      <c r="AF16" s="48">
        <f t="shared" si="1"/>
        <v>30</v>
      </c>
      <c r="AG16" s="48">
        <f t="shared" si="1"/>
        <v>31</v>
      </c>
      <c r="AH16" s="48">
        <f t="shared" si="1"/>
        <v>32</v>
      </c>
      <c r="AI16" s="48">
        <f t="shared" si="1"/>
        <v>33</v>
      </c>
      <c r="AJ16" s="48">
        <f t="shared" si="1"/>
        <v>34</v>
      </c>
      <c r="AK16" s="48" t="s">
        <v>571</v>
      </c>
      <c r="AL16" s="48" t="s">
        <v>572</v>
      </c>
      <c r="AM16" s="48" t="s">
        <v>573</v>
      </c>
      <c r="AN16" s="48" t="s">
        <v>574</v>
      </c>
      <c r="AO16" s="48" t="s">
        <v>575</v>
      </c>
      <c r="AP16" s="48" t="s">
        <v>576</v>
      </c>
      <c r="AQ16" s="48" t="s">
        <v>577</v>
      </c>
      <c r="AR16" s="48" t="s">
        <v>578</v>
      </c>
      <c r="AS16" s="48" t="s">
        <v>579</v>
      </c>
      <c r="AT16" s="48" t="s">
        <v>580</v>
      </c>
      <c r="AU16" s="48" t="s">
        <v>581</v>
      </c>
      <c r="AV16" s="48" t="s">
        <v>582</v>
      </c>
      <c r="AW16" s="48" t="s">
        <v>583</v>
      </c>
      <c r="AX16" s="48" t="s">
        <v>584</v>
      </c>
      <c r="AY16" s="48" t="s">
        <v>585</v>
      </c>
      <c r="AZ16" s="48" t="s">
        <v>586</v>
      </c>
      <c r="BA16" s="48" t="s">
        <v>587</v>
      </c>
    </row>
    <row r="17" spans="1:53" s="664" customFormat="1" ht="18.75">
      <c r="A17" s="658"/>
      <c r="B17" s="658" t="s">
        <v>45</v>
      </c>
      <c r="C17" s="589">
        <f t="shared" ref="C17:AJ17" si="2">C18+C37</f>
        <v>230446</v>
      </c>
      <c r="D17" s="589">
        <f t="shared" si="2"/>
        <v>161400</v>
      </c>
      <c r="E17" s="589">
        <f t="shared" si="2"/>
        <v>69046</v>
      </c>
      <c r="F17" s="589">
        <f t="shared" si="2"/>
        <v>183200</v>
      </c>
      <c r="G17" s="589">
        <f t="shared" si="2"/>
        <v>131400</v>
      </c>
      <c r="H17" s="589">
        <f t="shared" si="2"/>
        <v>131400</v>
      </c>
      <c r="I17" s="589">
        <f t="shared" si="2"/>
        <v>0</v>
      </c>
      <c r="J17" s="589">
        <f t="shared" si="2"/>
        <v>51800</v>
      </c>
      <c r="K17" s="589">
        <f t="shared" si="2"/>
        <v>51800</v>
      </c>
      <c r="L17" s="589">
        <f t="shared" si="2"/>
        <v>0</v>
      </c>
      <c r="M17" s="589">
        <f t="shared" si="2"/>
        <v>47246</v>
      </c>
      <c r="N17" s="589">
        <f t="shared" si="2"/>
        <v>30000</v>
      </c>
      <c r="O17" s="589">
        <f t="shared" si="2"/>
        <v>30000</v>
      </c>
      <c r="P17" s="589">
        <f t="shared" si="2"/>
        <v>0</v>
      </c>
      <c r="Q17" s="589">
        <f t="shared" si="2"/>
        <v>17246</v>
      </c>
      <c r="R17" s="589">
        <f t="shared" si="2"/>
        <v>17246</v>
      </c>
      <c r="S17" s="589">
        <f t="shared" si="2"/>
        <v>0</v>
      </c>
      <c r="T17" s="589">
        <f t="shared" si="2"/>
        <v>211879.94293599998</v>
      </c>
      <c r="U17" s="589">
        <f t="shared" si="2"/>
        <v>151906.45543500001</v>
      </c>
      <c r="V17" s="589">
        <f t="shared" si="2"/>
        <v>59973.487501000003</v>
      </c>
      <c r="W17" s="589">
        <f t="shared" si="2"/>
        <v>172220.23719899997</v>
      </c>
      <c r="X17" s="589">
        <f t="shared" si="2"/>
        <v>129375.87270299997</v>
      </c>
      <c r="Y17" s="589">
        <f t="shared" si="2"/>
        <v>129375.87270299997</v>
      </c>
      <c r="Z17" s="589">
        <f t="shared" si="2"/>
        <v>0</v>
      </c>
      <c r="AA17" s="589">
        <f t="shared" si="2"/>
        <v>42844.364495999995</v>
      </c>
      <c r="AB17" s="589">
        <f t="shared" si="2"/>
        <v>42844.364495999995</v>
      </c>
      <c r="AC17" s="589">
        <f t="shared" si="2"/>
        <v>0</v>
      </c>
      <c r="AD17" s="589">
        <f t="shared" si="2"/>
        <v>39659.705736999997</v>
      </c>
      <c r="AE17" s="589">
        <f t="shared" si="2"/>
        <v>22530.582731999999</v>
      </c>
      <c r="AF17" s="589">
        <f t="shared" si="2"/>
        <v>22530.582731999999</v>
      </c>
      <c r="AG17" s="589">
        <f t="shared" si="2"/>
        <v>0</v>
      </c>
      <c r="AH17" s="589">
        <f t="shared" si="2"/>
        <v>17129.123005000001</v>
      </c>
      <c r="AI17" s="589">
        <f t="shared" si="2"/>
        <v>17129.123005000001</v>
      </c>
      <c r="AJ17" s="589">
        <f t="shared" si="2"/>
        <v>0</v>
      </c>
      <c r="AK17" s="738">
        <f t="shared" ref="AK17:AK25" si="3">IF(AND(T17&lt;&gt;0,C17&lt;&gt;0),T17/C17%,"")</f>
        <v>91.943424028188801</v>
      </c>
      <c r="AL17" s="738">
        <f>IF(AND(U17&lt;&gt;0,D17&lt;&gt;0),U17/D17%,"")</f>
        <v>94.118002128252797</v>
      </c>
      <c r="AM17" s="738">
        <f>IF(AND(V17&lt;&gt;0,E17&lt;&gt;0),V17/E17%,"")</f>
        <v>86.860191033513885</v>
      </c>
      <c r="AN17" s="738">
        <f t="shared" ref="AN17:AN46" si="4">IF(AND(W17&lt;&gt;0,F17&lt;&gt;0),W17/F17%,"")</f>
        <v>94.006679693777272</v>
      </c>
      <c r="AO17" s="738">
        <f t="shared" ref="AO17:AO46" si="5">IF(AND(X17&lt;&gt;0,G17&lt;&gt;0),X17/G17%,"")</f>
        <v>98.459568267123259</v>
      </c>
      <c r="AP17" s="738">
        <f t="shared" ref="AP17:AP46" si="6">IF(AND(Y17&lt;&gt;0,H17&lt;&gt;0),Y17/H17%,"")</f>
        <v>98.459568267123259</v>
      </c>
      <c r="AQ17" s="738" t="str">
        <f t="shared" ref="AQ17:AQ46" si="7">IF(AND(Z17&lt;&gt;0,I17&lt;&gt;0),Z17/I17%,"")</f>
        <v/>
      </c>
      <c r="AR17" s="739">
        <f t="shared" ref="AR17:AR46" si="8">IF(AND(AA17&lt;&gt;0,J17&lt;&gt;0),AA17/J17%,"")</f>
        <v>82.711128370656354</v>
      </c>
      <c r="AS17" s="738">
        <f t="shared" ref="AS17:AS46" si="9">IF(AND(AB17&lt;&gt;0,K17&lt;&gt;0),AB17/K17%,"")</f>
        <v>82.711128370656354</v>
      </c>
      <c r="AT17" s="738" t="str">
        <f t="shared" ref="AT17:AT46" si="10">IF(AND(AC17&lt;&gt;0,L17&lt;&gt;0),AC17/L17%,"")</f>
        <v/>
      </c>
      <c r="AU17" s="738">
        <f t="shared" ref="AU17:AU46" si="11">IF(AND(AD17&lt;&gt;0,M17&lt;&gt;0),AD17/M17%,"")</f>
        <v>83.942991442661807</v>
      </c>
      <c r="AV17" s="738">
        <f t="shared" ref="AV17:AV46" si="12">IF(AND(AE17&lt;&gt;0,N17&lt;&gt;0),AE17/N17%,"")</f>
        <v>75.101942440000002</v>
      </c>
      <c r="AW17" s="738">
        <f t="shared" ref="AW17:AW46" si="13">IF(AND(AF17&lt;&gt;0,O17&lt;&gt;0),AF17/O17%,"")</f>
        <v>75.101942440000002</v>
      </c>
      <c r="AX17" s="738" t="str">
        <f t="shared" ref="AX17:AX46" si="14">IF(AND(AG17&lt;&gt;0,P17&lt;&gt;0),AG17/P17%,"")</f>
        <v/>
      </c>
      <c r="AY17" s="738">
        <f t="shared" ref="AY17:AY46" si="15">IF(AND(AH17&lt;&gt;0,Q17&lt;&gt;0),AH17/Q17%,"")</f>
        <v>99.322295053925558</v>
      </c>
      <c r="AZ17" s="738">
        <f t="shared" ref="AZ17:AZ46" si="16">IF(AND(AI17&lt;&gt;0,R17&lt;&gt;0),AI17/R17%,"")</f>
        <v>99.322295053925558</v>
      </c>
      <c r="BA17" s="738" t="str">
        <f t="shared" ref="BA17:BA46" si="17">IF(AND(AJ17&lt;&gt;0,S17&lt;&gt;0),AJ17/S17%,"")</f>
        <v/>
      </c>
    </row>
    <row r="18" spans="1:53" s="664" customFormat="1" ht="18.75">
      <c r="A18" s="659" t="s">
        <v>32</v>
      </c>
      <c r="B18" s="660" t="s">
        <v>526</v>
      </c>
      <c r="C18" s="590">
        <f>SUM(C19:C36)</f>
        <v>198567</v>
      </c>
      <c r="D18" s="590">
        <f t="shared" ref="D18:AJ18" si="18">SUM(D19:D36)</f>
        <v>161400</v>
      </c>
      <c r="E18" s="590">
        <f>SUM(E19:E36)</f>
        <v>37167</v>
      </c>
      <c r="F18" s="590">
        <f t="shared" si="18"/>
        <v>163880</v>
      </c>
      <c r="G18" s="590">
        <f>SUM(G19:G36)</f>
        <v>131400</v>
      </c>
      <c r="H18" s="590">
        <f t="shared" si="18"/>
        <v>131400</v>
      </c>
      <c r="I18" s="590">
        <f t="shared" si="18"/>
        <v>0</v>
      </c>
      <c r="J18" s="590">
        <f t="shared" si="18"/>
        <v>32480</v>
      </c>
      <c r="K18" s="590">
        <f t="shared" si="18"/>
        <v>32480</v>
      </c>
      <c r="L18" s="590">
        <f t="shared" si="18"/>
        <v>0</v>
      </c>
      <c r="M18" s="590">
        <f t="shared" si="18"/>
        <v>34687</v>
      </c>
      <c r="N18" s="590">
        <f t="shared" si="18"/>
        <v>30000</v>
      </c>
      <c r="O18" s="590">
        <f t="shared" si="18"/>
        <v>30000</v>
      </c>
      <c r="P18" s="590">
        <f t="shared" si="18"/>
        <v>0</v>
      </c>
      <c r="Q18" s="590">
        <f t="shared" si="18"/>
        <v>4687</v>
      </c>
      <c r="R18" s="590">
        <f t="shared" si="18"/>
        <v>4687</v>
      </c>
      <c r="S18" s="590">
        <f t="shared" si="18"/>
        <v>0</v>
      </c>
      <c r="T18" s="590">
        <f t="shared" si="18"/>
        <v>180939.93429899999</v>
      </c>
      <c r="U18" s="590">
        <f t="shared" si="18"/>
        <v>151906.45543500001</v>
      </c>
      <c r="V18" s="590">
        <f t="shared" si="18"/>
        <v>29033.478864000001</v>
      </c>
      <c r="W18" s="590">
        <f t="shared" si="18"/>
        <v>155733.08573799997</v>
      </c>
      <c r="X18" s="590">
        <f t="shared" si="18"/>
        <v>129375.87270299997</v>
      </c>
      <c r="Y18" s="590">
        <f t="shared" si="18"/>
        <v>129375.87270299997</v>
      </c>
      <c r="Z18" s="590">
        <f t="shared" si="18"/>
        <v>0</v>
      </c>
      <c r="AA18" s="590">
        <f t="shared" si="18"/>
        <v>26357.213034999997</v>
      </c>
      <c r="AB18" s="590">
        <f t="shared" si="18"/>
        <v>26357.213034999997</v>
      </c>
      <c r="AC18" s="590">
        <f t="shared" si="18"/>
        <v>0</v>
      </c>
      <c r="AD18" s="590">
        <f t="shared" si="18"/>
        <v>25206.848560999999</v>
      </c>
      <c r="AE18" s="590">
        <f t="shared" si="18"/>
        <v>22530.582731999999</v>
      </c>
      <c r="AF18" s="590">
        <f t="shared" si="18"/>
        <v>22530.582731999999</v>
      </c>
      <c r="AG18" s="590">
        <f t="shared" si="18"/>
        <v>0</v>
      </c>
      <c r="AH18" s="590">
        <f t="shared" si="18"/>
        <v>2676.2658289999999</v>
      </c>
      <c r="AI18" s="590">
        <f t="shared" si="18"/>
        <v>2676.2658289999999</v>
      </c>
      <c r="AJ18" s="590">
        <f t="shared" si="18"/>
        <v>0</v>
      </c>
      <c r="AK18" s="739">
        <f t="shared" si="3"/>
        <v>91.122862459018862</v>
      </c>
      <c r="AL18" s="739">
        <f t="shared" ref="AL18:AL25" si="19">IF(AND(U18&lt;&gt;0,D18&lt;&gt;0),U18/D18%,"")</f>
        <v>94.118002128252797</v>
      </c>
      <c r="AM18" s="739">
        <f t="shared" ref="AM18:AM25" si="20">IF(AND(V18&lt;&gt;0,E18&lt;&gt;0),V18/E18%,"")</f>
        <v>78.116282896117525</v>
      </c>
      <c r="AN18" s="739">
        <f t="shared" si="4"/>
        <v>95.028731839150581</v>
      </c>
      <c r="AO18" s="739">
        <f t="shared" si="5"/>
        <v>98.459568267123259</v>
      </c>
      <c r="AP18" s="739">
        <f t="shared" si="6"/>
        <v>98.459568267123259</v>
      </c>
      <c r="AQ18" s="739" t="str">
        <f t="shared" si="7"/>
        <v/>
      </c>
      <c r="AR18" s="739">
        <f t="shared" si="8"/>
        <v>81.14905491071427</v>
      </c>
      <c r="AS18" s="739">
        <f t="shared" si="9"/>
        <v>81.14905491071427</v>
      </c>
      <c r="AT18" s="739" t="str">
        <f t="shared" si="10"/>
        <v/>
      </c>
      <c r="AU18" s="739">
        <f t="shared" si="11"/>
        <v>72.669439735347538</v>
      </c>
      <c r="AV18" s="739">
        <f t="shared" si="12"/>
        <v>75.101942440000002</v>
      </c>
      <c r="AW18" s="739">
        <f t="shared" si="13"/>
        <v>75.101942440000002</v>
      </c>
      <c r="AX18" s="739" t="str">
        <f t="shared" si="14"/>
        <v/>
      </c>
      <c r="AY18" s="739">
        <f t="shared" si="15"/>
        <v>57.099761659910392</v>
      </c>
      <c r="AZ18" s="739">
        <f t="shared" si="16"/>
        <v>57.099761659910392</v>
      </c>
      <c r="BA18" s="739" t="str">
        <f t="shared" si="17"/>
        <v/>
      </c>
    </row>
    <row r="19" spans="1:53" s="765" customFormat="1" ht="37.5">
      <c r="A19" s="565">
        <v>1</v>
      </c>
      <c r="B19" s="633" t="s">
        <v>599</v>
      </c>
      <c r="C19" s="590">
        <f t="shared" ref="C19:C26" si="21">D19+E19</f>
        <v>27530</v>
      </c>
      <c r="D19" s="590">
        <f t="shared" ref="D19:D26" si="22">G19+N19</f>
        <v>11230</v>
      </c>
      <c r="E19" s="590">
        <f t="shared" ref="E19:E36" si="23">J19+Q19</f>
        <v>16300</v>
      </c>
      <c r="F19" s="590">
        <f t="shared" ref="F19:F26" si="24">G19+J19</f>
        <v>27530</v>
      </c>
      <c r="G19" s="591">
        <f t="shared" ref="G19:G26" si="25">H19+I19</f>
        <v>11230</v>
      </c>
      <c r="H19" s="591">
        <v>11230</v>
      </c>
      <c r="I19" s="591"/>
      <c r="J19" s="591">
        <f t="shared" ref="J19:J36" si="26">K19+L19</f>
        <v>16300</v>
      </c>
      <c r="K19" s="591">
        <f>6600+2000+900+1700+100+2000+1000+2000</f>
        <v>16300</v>
      </c>
      <c r="L19" s="591"/>
      <c r="M19" s="591">
        <f t="shared" ref="M19:M36" si="27">N19+Q19</f>
        <v>0</v>
      </c>
      <c r="N19" s="591">
        <f t="shared" ref="N19:N36" si="28">O19+P19</f>
        <v>0</v>
      </c>
      <c r="O19" s="591"/>
      <c r="P19" s="591"/>
      <c r="Q19" s="591">
        <f t="shared" ref="Q19:Q36" si="29">R19+S19</f>
        <v>0</v>
      </c>
      <c r="R19" s="591"/>
      <c r="S19" s="591"/>
      <c r="T19" s="591">
        <f t="shared" ref="T19:T35" si="30">U19+V19</f>
        <v>39148.521625000001</v>
      </c>
      <c r="U19" s="591">
        <f t="shared" ref="U19:U35" si="31">X19+AE19</f>
        <v>26118.036</v>
      </c>
      <c r="V19" s="591">
        <f t="shared" ref="V19:V26" si="32">AA19+AH19</f>
        <v>13030.485624999999</v>
      </c>
      <c r="W19" s="591">
        <f t="shared" ref="W19:W35" si="33">X19+AA19</f>
        <v>39148.521625000001</v>
      </c>
      <c r="X19" s="591">
        <f t="shared" ref="X19:X35" si="34">Y19+Z19</f>
        <v>26118.036</v>
      </c>
      <c r="Y19" s="591">
        <f>9149.167+16968.869</f>
        <v>26118.036</v>
      </c>
      <c r="Z19" s="591"/>
      <c r="AA19" s="591">
        <f t="shared" ref="AA19:AA36" si="35">AB19+AC19</f>
        <v>13030.485624999999</v>
      </c>
      <c r="AB19" s="591">
        <f>12883.800625+146.685</f>
        <v>13030.485624999999</v>
      </c>
      <c r="AC19" s="591"/>
      <c r="AD19" s="591">
        <f>AE19+AH19</f>
        <v>0</v>
      </c>
      <c r="AE19" s="591">
        <f t="shared" ref="AE19:AE35" si="36">AF19+AG19</f>
        <v>0</v>
      </c>
      <c r="AF19" s="591"/>
      <c r="AG19" s="591"/>
      <c r="AH19" s="591">
        <f t="shared" ref="AH19:AH36" si="37">AI19+AJ19</f>
        <v>0</v>
      </c>
      <c r="AI19" s="591"/>
      <c r="AJ19" s="591"/>
      <c r="AK19" s="740">
        <f t="shared" si="3"/>
        <v>142.20312976752632</v>
      </c>
      <c r="AL19" s="740">
        <f t="shared" si="19"/>
        <v>232.57378450578807</v>
      </c>
      <c r="AM19" s="740">
        <f t="shared" si="20"/>
        <v>79.941629601226992</v>
      </c>
      <c r="AN19" s="740">
        <f t="shared" si="4"/>
        <v>142.20312976752632</v>
      </c>
      <c r="AO19" s="740">
        <f t="shared" si="5"/>
        <v>232.57378450578807</v>
      </c>
      <c r="AP19" s="740">
        <f t="shared" si="6"/>
        <v>232.57378450578807</v>
      </c>
      <c r="AQ19" s="740" t="str">
        <f t="shared" si="7"/>
        <v/>
      </c>
      <c r="AR19" s="740">
        <f t="shared" si="8"/>
        <v>79.941629601226992</v>
      </c>
      <c r="AS19" s="740">
        <f t="shared" si="9"/>
        <v>79.941629601226992</v>
      </c>
      <c r="AT19" s="740" t="str">
        <f t="shared" si="10"/>
        <v/>
      </c>
      <c r="AU19" s="740" t="str">
        <f t="shared" si="11"/>
        <v/>
      </c>
      <c r="AV19" s="740" t="str">
        <f t="shared" si="12"/>
        <v/>
      </c>
      <c r="AW19" s="740" t="str">
        <f t="shared" si="13"/>
        <v/>
      </c>
      <c r="AX19" s="740" t="str">
        <f t="shared" si="14"/>
        <v/>
      </c>
      <c r="AY19" s="740" t="str">
        <f t="shared" si="15"/>
        <v/>
      </c>
      <c r="AZ19" s="740" t="str">
        <f t="shared" si="16"/>
        <v/>
      </c>
      <c r="BA19" s="740" t="str">
        <f t="shared" si="17"/>
        <v/>
      </c>
    </row>
    <row r="20" spans="1:53" s="765" customFormat="1" ht="18.75">
      <c r="A20" s="565">
        <v>2</v>
      </c>
      <c r="B20" s="633" t="s">
        <v>600</v>
      </c>
      <c r="C20" s="590">
        <f t="shared" si="21"/>
        <v>1520</v>
      </c>
      <c r="D20" s="590">
        <f t="shared" si="22"/>
        <v>0</v>
      </c>
      <c r="E20" s="590">
        <f t="shared" si="23"/>
        <v>1520</v>
      </c>
      <c r="F20" s="590">
        <f t="shared" si="24"/>
        <v>1520</v>
      </c>
      <c r="G20" s="591">
        <f t="shared" si="25"/>
        <v>0</v>
      </c>
      <c r="H20" s="591"/>
      <c r="I20" s="591"/>
      <c r="J20" s="591">
        <f t="shared" si="26"/>
        <v>1520</v>
      </c>
      <c r="K20" s="591">
        <f>980+190+350</f>
        <v>1520</v>
      </c>
      <c r="L20" s="591"/>
      <c r="M20" s="591">
        <f t="shared" si="27"/>
        <v>0</v>
      </c>
      <c r="N20" s="591">
        <f t="shared" si="28"/>
        <v>0</v>
      </c>
      <c r="O20" s="591"/>
      <c r="P20" s="591"/>
      <c r="Q20" s="591">
        <f t="shared" si="29"/>
        <v>0</v>
      </c>
      <c r="R20" s="591"/>
      <c r="S20" s="591"/>
      <c r="T20" s="591">
        <f t="shared" si="30"/>
        <v>1009.46701</v>
      </c>
      <c r="U20" s="591">
        <f t="shared" si="31"/>
        <v>0</v>
      </c>
      <c r="V20" s="591">
        <f t="shared" si="32"/>
        <v>1009.46701</v>
      </c>
      <c r="W20" s="591">
        <f t="shared" si="33"/>
        <v>1009.46701</v>
      </c>
      <c r="X20" s="591">
        <f t="shared" si="34"/>
        <v>0</v>
      </c>
      <c r="Y20" s="591"/>
      <c r="Z20" s="591"/>
      <c r="AA20" s="591">
        <f t="shared" si="35"/>
        <v>1009.46701</v>
      </c>
      <c r="AB20" s="591">
        <v>1009.46701</v>
      </c>
      <c r="AC20" s="591"/>
      <c r="AD20" s="591">
        <f>AE20+AH20</f>
        <v>0</v>
      </c>
      <c r="AE20" s="591">
        <f t="shared" si="36"/>
        <v>0</v>
      </c>
      <c r="AF20" s="591"/>
      <c r="AG20" s="591"/>
      <c r="AH20" s="591">
        <f t="shared" si="37"/>
        <v>0</v>
      </c>
      <c r="AI20" s="591"/>
      <c r="AJ20" s="591"/>
      <c r="AK20" s="740">
        <f t="shared" si="3"/>
        <v>66.412303289473684</v>
      </c>
      <c r="AL20" s="740" t="str">
        <f t="shared" si="19"/>
        <v/>
      </c>
      <c r="AM20" s="740">
        <f t="shared" si="20"/>
        <v>66.412303289473684</v>
      </c>
      <c r="AN20" s="740">
        <f t="shared" si="4"/>
        <v>66.412303289473684</v>
      </c>
      <c r="AO20" s="740" t="str">
        <f t="shared" si="5"/>
        <v/>
      </c>
      <c r="AP20" s="740" t="str">
        <f t="shared" si="6"/>
        <v/>
      </c>
      <c r="AQ20" s="740" t="str">
        <f t="shared" si="7"/>
        <v/>
      </c>
      <c r="AR20" s="740">
        <f t="shared" si="8"/>
        <v>66.412303289473684</v>
      </c>
      <c r="AS20" s="740">
        <f t="shared" si="9"/>
        <v>66.412303289473684</v>
      </c>
      <c r="AT20" s="740" t="str">
        <f t="shared" si="10"/>
        <v/>
      </c>
      <c r="AU20" s="740" t="str">
        <f t="shared" si="11"/>
        <v/>
      </c>
      <c r="AV20" s="740" t="str">
        <f t="shared" si="12"/>
        <v/>
      </c>
      <c r="AW20" s="740" t="str">
        <f t="shared" si="13"/>
        <v/>
      </c>
      <c r="AX20" s="740" t="str">
        <f t="shared" si="14"/>
        <v/>
      </c>
      <c r="AY20" s="740" t="str">
        <f t="shared" si="15"/>
        <v/>
      </c>
      <c r="AZ20" s="740" t="str">
        <f t="shared" si="16"/>
        <v/>
      </c>
      <c r="BA20" s="740" t="str">
        <f t="shared" si="17"/>
        <v/>
      </c>
    </row>
    <row r="21" spans="1:53" s="765" customFormat="1" ht="37.5">
      <c r="A21" s="565">
        <v>3</v>
      </c>
      <c r="B21" s="633" t="s">
        <v>610</v>
      </c>
      <c r="C21" s="590">
        <f t="shared" si="21"/>
        <v>7407</v>
      </c>
      <c r="D21" s="590">
        <f t="shared" si="22"/>
        <v>0</v>
      </c>
      <c r="E21" s="590">
        <f t="shared" si="23"/>
        <v>7407</v>
      </c>
      <c r="F21" s="590">
        <f t="shared" si="24"/>
        <v>3640</v>
      </c>
      <c r="G21" s="591">
        <f t="shared" si="25"/>
        <v>0</v>
      </c>
      <c r="H21" s="591"/>
      <c r="I21" s="591"/>
      <c r="J21" s="591">
        <f t="shared" si="26"/>
        <v>3640</v>
      </c>
      <c r="K21" s="591">
        <f>600+40+3000</f>
        <v>3640</v>
      </c>
      <c r="L21" s="591"/>
      <c r="M21" s="591">
        <f>N21+Q21</f>
        <v>3767</v>
      </c>
      <c r="N21" s="591">
        <f t="shared" si="28"/>
        <v>0</v>
      </c>
      <c r="O21" s="591"/>
      <c r="P21" s="591"/>
      <c r="Q21" s="591">
        <f t="shared" si="29"/>
        <v>3767</v>
      </c>
      <c r="R21" s="591">
        <f>2405+419+943</f>
        <v>3767</v>
      </c>
      <c r="S21" s="591"/>
      <c r="T21" s="591">
        <f t="shared" si="30"/>
        <v>4837.1901289999996</v>
      </c>
      <c r="U21" s="591">
        <f t="shared" si="31"/>
        <v>0</v>
      </c>
      <c r="V21" s="591">
        <f t="shared" si="32"/>
        <v>4837.1901289999996</v>
      </c>
      <c r="W21" s="591">
        <f t="shared" si="33"/>
        <v>2976.6102999999998</v>
      </c>
      <c r="X21" s="591">
        <f t="shared" si="34"/>
        <v>0</v>
      </c>
      <c r="Y21" s="591"/>
      <c r="Z21" s="591"/>
      <c r="AA21" s="591">
        <f t="shared" si="35"/>
        <v>2976.6102999999998</v>
      </c>
      <c r="AB21" s="591">
        <f>2472.812+503.7983</f>
        <v>2976.6102999999998</v>
      </c>
      <c r="AC21" s="591"/>
      <c r="AD21" s="591">
        <f>AE21+AH21</f>
        <v>1860.579829</v>
      </c>
      <c r="AE21" s="591">
        <f t="shared" si="36"/>
        <v>0</v>
      </c>
      <c r="AF21" s="591"/>
      <c r="AG21" s="591"/>
      <c r="AH21" s="591">
        <f t="shared" si="37"/>
        <v>1860.579829</v>
      </c>
      <c r="AI21" s="591">
        <v>1860.579829</v>
      </c>
      <c r="AJ21" s="591"/>
      <c r="AK21" s="740">
        <f t="shared" si="3"/>
        <v>65.305658552720402</v>
      </c>
      <c r="AL21" s="740" t="str">
        <f t="shared" si="19"/>
        <v/>
      </c>
      <c r="AM21" s="740">
        <f t="shared" si="20"/>
        <v>65.305658552720402</v>
      </c>
      <c r="AN21" s="740">
        <f t="shared" si="4"/>
        <v>81.775008241758243</v>
      </c>
      <c r="AO21" s="740" t="str">
        <f t="shared" si="5"/>
        <v/>
      </c>
      <c r="AP21" s="740" t="str">
        <f t="shared" si="6"/>
        <v/>
      </c>
      <c r="AQ21" s="740" t="str">
        <f t="shared" si="7"/>
        <v/>
      </c>
      <c r="AR21" s="740">
        <f t="shared" si="8"/>
        <v>81.775008241758243</v>
      </c>
      <c r="AS21" s="740">
        <f t="shared" si="9"/>
        <v>81.775008241758243</v>
      </c>
      <c r="AT21" s="740" t="str">
        <f t="shared" si="10"/>
        <v/>
      </c>
      <c r="AU21" s="740">
        <f t="shared" si="11"/>
        <v>49.391553729758428</v>
      </c>
      <c r="AV21" s="740" t="str">
        <f t="shared" si="12"/>
        <v/>
      </c>
      <c r="AW21" s="740" t="str">
        <f t="shared" si="13"/>
        <v/>
      </c>
      <c r="AX21" s="740" t="str">
        <f t="shared" si="14"/>
        <v/>
      </c>
      <c r="AY21" s="740">
        <f t="shared" si="15"/>
        <v>49.391553729758428</v>
      </c>
      <c r="AZ21" s="740">
        <f t="shared" si="16"/>
        <v>49.391553729758428</v>
      </c>
      <c r="BA21" s="740" t="str">
        <f t="shared" si="17"/>
        <v/>
      </c>
    </row>
    <row r="22" spans="1:53" s="765" customFormat="1" ht="18.75">
      <c r="A22" s="565">
        <v>4</v>
      </c>
      <c r="B22" s="633" t="s">
        <v>611</v>
      </c>
      <c r="C22" s="590">
        <f t="shared" si="21"/>
        <v>5020</v>
      </c>
      <c r="D22" s="590">
        <f t="shared" si="22"/>
        <v>0</v>
      </c>
      <c r="E22" s="590">
        <f t="shared" si="23"/>
        <v>5020</v>
      </c>
      <c r="F22" s="590">
        <f t="shared" si="24"/>
        <v>5020</v>
      </c>
      <c r="G22" s="591">
        <f t="shared" si="25"/>
        <v>0</v>
      </c>
      <c r="H22" s="591"/>
      <c r="I22" s="591"/>
      <c r="J22" s="591">
        <f t="shared" si="26"/>
        <v>5020</v>
      </c>
      <c r="K22" s="591">
        <f>3020+2000</f>
        <v>5020</v>
      </c>
      <c r="L22" s="591"/>
      <c r="M22" s="591">
        <f t="shared" si="27"/>
        <v>0</v>
      </c>
      <c r="N22" s="591">
        <f t="shared" si="28"/>
        <v>0</v>
      </c>
      <c r="O22" s="591"/>
      <c r="P22" s="591"/>
      <c r="Q22" s="591">
        <f t="shared" si="29"/>
        <v>0</v>
      </c>
      <c r="R22" s="591"/>
      <c r="S22" s="591"/>
      <c r="T22" s="591">
        <f t="shared" si="30"/>
        <v>5373.0634</v>
      </c>
      <c r="U22" s="591">
        <f>X22+AE22</f>
        <v>0</v>
      </c>
      <c r="V22" s="591">
        <f t="shared" si="32"/>
        <v>5373.0634</v>
      </c>
      <c r="W22" s="591">
        <f t="shared" si="33"/>
        <v>5373.0634</v>
      </c>
      <c r="X22" s="591">
        <f t="shared" si="34"/>
        <v>0</v>
      </c>
      <c r="Y22" s="591"/>
      <c r="Z22" s="591"/>
      <c r="AA22" s="591">
        <f t="shared" si="35"/>
        <v>5373.0634</v>
      </c>
      <c r="AB22" s="591">
        <f>5087.861+285.2024</f>
        <v>5373.0634</v>
      </c>
      <c r="AC22" s="591"/>
      <c r="AD22" s="591">
        <f t="shared" ref="AD22:AD35" si="38">AE22+AH22</f>
        <v>0</v>
      </c>
      <c r="AE22" s="591">
        <f t="shared" si="36"/>
        <v>0</v>
      </c>
      <c r="AF22" s="591"/>
      <c r="AG22" s="591"/>
      <c r="AH22" s="591">
        <f t="shared" si="37"/>
        <v>0</v>
      </c>
      <c r="AI22" s="591"/>
      <c r="AJ22" s="591"/>
      <c r="AK22" s="740">
        <f t="shared" si="3"/>
        <v>107.03313545816732</v>
      </c>
      <c r="AL22" s="740" t="str">
        <f t="shared" si="19"/>
        <v/>
      </c>
      <c r="AM22" s="740">
        <f t="shared" si="20"/>
        <v>107.03313545816732</v>
      </c>
      <c r="AN22" s="740">
        <f t="shared" si="4"/>
        <v>107.03313545816732</v>
      </c>
      <c r="AO22" s="740" t="str">
        <f t="shared" si="5"/>
        <v/>
      </c>
      <c r="AP22" s="740" t="str">
        <f t="shared" si="6"/>
        <v/>
      </c>
      <c r="AQ22" s="740" t="str">
        <f t="shared" si="7"/>
        <v/>
      </c>
      <c r="AR22" s="740">
        <f t="shared" si="8"/>
        <v>107.03313545816732</v>
      </c>
      <c r="AS22" s="740">
        <f t="shared" si="9"/>
        <v>107.03313545816732</v>
      </c>
      <c r="AT22" s="740" t="str">
        <f t="shared" si="10"/>
        <v/>
      </c>
      <c r="AU22" s="740" t="str">
        <f t="shared" si="11"/>
        <v/>
      </c>
      <c r="AV22" s="740" t="str">
        <f t="shared" si="12"/>
        <v/>
      </c>
      <c r="AW22" s="740" t="str">
        <f t="shared" si="13"/>
        <v/>
      </c>
      <c r="AX22" s="740" t="str">
        <f t="shared" si="14"/>
        <v/>
      </c>
      <c r="AY22" s="740" t="str">
        <f t="shared" si="15"/>
        <v/>
      </c>
      <c r="AZ22" s="740" t="str">
        <f t="shared" si="16"/>
        <v/>
      </c>
      <c r="BA22" s="740" t="str">
        <f t="shared" si="17"/>
        <v/>
      </c>
    </row>
    <row r="23" spans="1:53" s="46" customFormat="1" ht="18.75">
      <c r="A23" s="565">
        <v>5</v>
      </c>
      <c r="B23" s="736" t="s">
        <v>613</v>
      </c>
      <c r="C23" s="590">
        <f t="shared" si="21"/>
        <v>5620</v>
      </c>
      <c r="D23" s="590">
        <f t="shared" si="22"/>
        <v>0</v>
      </c>
      <c r="E23" s="590">
        <f t="shared" si="23"/>
        <v>5620</v>
      </c>
      <c r="F23" s="590">
        <f t="shared" si="24"/>
        <v>5000</v>
      </c>
      <c r="G23" s="591">
        <f t="shared" si="25"/>
        <v>0</v>
      </c>
      <c r="H23" s="591"/>
      <c r="I23" s="591"/>
      <c r="J23" s="591">
        <f t="shared" si="26"/>
        <v>5000</v>
      </c>
      <c r="K23" s="591">
        <f>5000</f>
        <v>5000</v>
      </c>
      <c r="L23" s="591">
        <v>0</v>
      </c>
      <c r="M23" s="591">
        <f t="shared" si="27"/>
        <v>620</v>
      </c>
      <c r="N23" s="591">
        <f t="shared" si="28"/>
        <v>0</v>
      </c>
      <c r="O23" s="591"/>
      <c r="P23" s="591"/>
      <c r="Q23" s="591">
        <f t="shared" si="29"/>
        <v>620</v>
      </c>
      <c r="R23" s="591">
        <f>620</f>
        <v>620</v>
      </c>
      <c r="S23" s="591"/>
      <c r="T23" s="591">
        <f t="shared" si="30"/>
        <v>799.89049999999997</v>
      </c>
      <c r="U23" s="591">
        <f t="shared" si="31"/>
        <v>0</v>
      </c>
      <c r="V23" s="591">
        <f t="shared" si="32"/>
        <v>799.89049999999997</v>
      </c>
      <c r="W23" s="591">
        <f t="shared" si="33"/>
        <v>284.2045</v>
      </c>
      <c r="X23" s="591">
        <f t="shared" si="34"/>
        <v>0</v>
      </c>
      <c r="Y23" s="591"/>
      <c r="Z23" s="591"/>
      <c r="AA23" s="591">
        <f t="shared" si="35"/>
        <v>284.2045</v>
      </c>
      <c r="AB23" s="591">
        <v>284.2045</v>
      </c>
      <c r="AC23" s="591"/>
      <c r="AD23" s="591">
        <f t="shared" si="38"/>
        <v>515.68600000000004</v>
      </c>
      <c r="AE23" s="591">
        <f t="shared" si="36"/>
        <v>0</v>
      </c>
      <c r="AF23" s="591"/>
      <c r="AG23" s="591"/>
      <c r="AH23" s="591">
        <f t="shared" si="37"/>
        <v>515.68600000000004</v>
      </c>
      <c r="AI23" s="591">
        <v>515.68600000000004</v>
      </c>
      <c r="AJ23" s="591"/>
      <c r="AK23" s="740">
        <f t="shared" si="3"/>
        <v>14.232927046263343</v>
      </c>
      <c r="AL23" s="740" t="str">
        <f t="shared" si="19"/>
        <v/>
      </c>
      <c r="AM23" s="740">
        <f t="shared" si="20"/>
        <v>14.232927046263343</v>
      </c>
      <c r="AN23" s="740">
        <f t="shared" si="4"/>
        <v>5.6840900000000003</v>
      </c>
      <c r="AO23" s="740" t="str">
        <f t="shared" si="5"/>
        <v/>
      </c>
      <c r="AP23" s="740" t="str">
        <f t="shared" si="6"/>
        <v/>
      </c>
      <c r="AQ23" s="740" t="str">
        <f t="shared" si="7"/>
        <v/>
      </c>
      <c r="AR23" s="740">
        <f t="shared" si="8"/>
        <v>5.6840900000000003</v>
      </c>
      <c r="AS23" s="740">
        <f t="shared" si="9"/>
        <v>5.6840900000000003</v>
      </c>
      <c r="AT23" s="740" t="str">
        <f t="shared" si="10"/>
        <v/>
      </c>
      <c r="AU23" s="740">
        <f t="shared" si="11"/>
        <v>83.175161290322578</v>
      </c>
      <c r="AV23" s="740" t="str">
        <f t="shared" si="12"/>
        <v/>
      </c>
      <c r="AW23" s="740" t="str">
        <f t="shared" si="13"/>
        <v/>
      </c>
      <c r="AX23" s="740" t="str">
        <f t="shared" si="14"/>
        <v/>
      </c>
      <c r="AY23" s="740">
        <f t="shared" si="15"/>
        <v>83.175161290322578</v>
      </c>
      <c r="AZ23" s="740">
        <f t="shared" si="16"/>
        <v>83.175161290322578</v>
      </c>
      <c r="BA23" s="740" t="str">
        <f t="shared" si="17"/>
        <v/>
      </c>
    </row>
    <row r="24" spans="1:53" s="46" customFormat="1" ht="18.75">
      <c r="A24" s="565">
        <v>6</v>
      </c>
      <c r="B24" s="736" t="s">
        <v>614</v>
      </c>
      <c r="C24" s="590">
        <f t="shared" si="21"/>
        <v>1000</v>
      </c>
      <c r="D24" s="590">
        <f t="shared" si="22"/>
        <v>0</v>
      </c>
      <c r="E24" s="590">
        <f t="shared" si="23"/>
        <v>1000</v>
      </c>
      <c r="F24" s="590">
        <f t="shared" si="24"/>
        <v>1000</v>
      </c>
      <c r="G24" s="591">
        <f t="shared" si="25"/>
        <v>0</v>
      </c>
      <c r="H24" s="591"/>
      <c r="I24" s="591"/>
      <c r="J24" s="591">
        <f t="shared" si="26"/>
        <v>1000</v>
      </c>
      <c r="K24" s="591">
        <v>1000</v>
      </c>
      <c r="L24" s="591"/>
      <c r="M24" s="591">
        <f t="shared" si="27"/>
        <v>0</v>
      </c>
      <c r="N24" s="591">
        <f t="shared" si="28"/>
        <v>0</v>
      </c>
      <c r="O24" s="591"/>
      <c r="P24" s="591"/>
      <c r="Q24" s="591">
        <f t="shared" si="29"/>
        <v>0</v>
      </c>
      <c r="R24" s="591"/>
      <c r="S24" s="591"/>
      <c r="T24" s="591">
        <f t="shared" si="30"/>
        <v>743.99080000000004</v>
      </c>
      <c r="U24" s="591">
        <f t="shared" si="31"/>
        <v>0</v>
      </c>
      <c r="V24" s="591">
        <f t="shared" si="32"/>
        <v>743.99080000000004</v>
      </c>
      <c r="W24" s="591">
        <f t="shared" si="33"/>
        <v>743.99080000000004</v>
      </c>
      <c r="X24" s="591">
        <f t="shared" si="34"/>
        <v>0</v>
      </c>
      <c r="Y24" s="591"/>
      <c r="Z24" s="591"/>
      <c r="AA24" s="591">
        <f t="shared" si="35"/>
        <v>743.99080000000004</v>
      </c>
      <c r="AB24" s="591">
        <f>743.9908</f>
        <v>743.99080000000004</v>
      </c>
      <c r="AC24" s="591"/>
      <c r="AD24" s="591">
        <f t="shared" si="38"/>
        <v>0</v>
      </c>
      <c r="AE24" s="591">
        <f t="shared" si="36"/>
        <v>0</v>
      </c>
      <c r="AF24" s="591"/>
      <c r="AG24" s="591"/>
      <c r="AH24" s="591">
        <f t="shared" si="37"/>
        <v>0</v>
      </c>
      <c r="AI24" s="591"/>
      <c r="AJ24" s="591"/>
      <c r="AK24" s="740">
        <f t="shared" si="3"/>
        <v>74.399079999999998</v>
      </c>
      <c r="AL24" s="740" t="str">
        <f t="shared" si="19"/>
        <v/>
      </c>
      <c r="AM24" s="740">
        <f t="shared" si="20"/>
        <v>74.399079999999998</v>
      </c>
      <c r="AN24" s="740">
        <f t="shared" si="4"/>
        <v>74.399079999999998</v>
      </c>
      <c r="AO24" s="740" t="str">
        <f t="shared" si="5"/>
        <v/>
      </c>
      <c r="AP24" s="740" t="str">
        <f t="shared" si="6"/>
        <v/>
      </c>
      <c r="AQ24" s="740" t="str">
        <f t="shared" si="7"/>
        <v/>
      </c>
      <c r="AR24" s="740">
        <f t="shared" si="8"/>
        <v>74.399079999999998</v>
      </c>
      <c r="AS24" s="740">
        <f t="shared" si="9"/>
        <v>74.399079999999998</v>
      </c>
      <c r="AT24" s="740" t="str">
        <f t="shared" si="10"/>
        <v/>
      </c>
      <c r="AU24" s="740" t="str">
        <f t="shared" si="11"/>
        <v/>
      </c>
      <c r="AV24" s="740" t="str">
        <f t="shared" si="12"/>
        <v/>
      </c>
      <c r="AW24" s="740" t="str">
        <f t="shared" si="13"/>
        <v/>
      </c>
      <c r="AX24" s="740" t="str">
        <f t="shared" si="14"/>
        <v/>
      </c>
      <c r="AY24" s="740" t="str">
        <f t="shared" si="15"/>
        <v/>
      </c>
      <c r="AZ24" s="740" t="str">
        <f t="shared" si="16"/>
        <v/>
      </c>
      <c r="BA24" s="740" t="str">
        <f t="shared" si="17"/>
        <v/>
      </c>
    </row>
    <row r="25" spans="1:53" s="46" customFormat="1" ht="18.75">
      <c r="A25" s="565">
        <v>7</v>
      </c>
      <c r="B25" s="736" t="s">
        <v>623</v>
      </c>
      <c r="C25" s="590">
        <f t="shared" si="21"/>
        <v>100</v>
      </c>
      <c r="D25" s="590">
        <f t="shared" si="22"/>
        <v>0</v>
      </c>
      <c r="E25" s="590">
        <f t="shared" si="23"/>
        <v>100</v>
      </c>
      <c r="F25" s="590">
        <f t="shared" si="24"/>
        <v>0</v>
      </c>
      <c r="G25" s="591">
        <f t="shared" si="25"/>
        <v>0</v>
      </c>
      <c r="H25" s="591"/>
      <c r="I25" s="591"/>
      <c r="J25" s="591">
        <f t="shared" si="26"/>
        <v>0</v>
      </c>
      <c r="K25" s="591"/>
      <c r="L25" s="591"/>
      <c r="M25" s="591">
        <f t="shared" si="27"/>
        <v>100</v>
      </c>
      <c r="N25" s="591">
        <f t="shared" si="28"/>
        <v>0</v>
      </c>
      <c r="O25" s="591"/>
      <c r="P25" s="591"/>
      <c r="Q25" s="591">
        <f t="shared" si="29"/>
        <v>100</v>
      </c>
      <c r="R25" s="591">
        <v>100</v>
      </c>
      <c r="S25" s="591"/>
      <c r="T25" s="591">
        <f t="shared" si="30"/>
        <v>100</v>
      </c>
      <c r="U25" s="591">
        <f t="shared" si="31"/>
        <v>0</v>
      </c>
      <c r="V25" s="591">
        <f t="shared" si="32"/>
        <v>100</v>
      </c>
      <c r="W25" s="591">
        <f t="shared" si="33"/>
        <v>0</v>
      </c>
      <c r="X25" s="591">
        <f t="shared" si="34"/>
        <v>0</v>
      </c>
      <c r="Y25" s="591"/>
      <c r="Z25" s="591"/>
      <c r="AA25" s="591">
        <f t="shared" si="35"/>
        <v>0</v>
      </c>
      <c r="AB25" s="591"/>
      <c r="AC25" s="591"/>
      <c r="AD25" s="591">
        <f t="shared" si="38"/>
        <v>100</v>
      </c>
      <c r="AE25" s="591">
        <f t="shared" si="36"/>
        <v>0</v>
      </c>
      <c r="AF25" s="591"/>
      <c r="AG25" s="591"/>
      <c r="AH25" s="591">
        <f t="shared" si="37"/>
        <v>100</v>
      </c>
      <c r="AI25" s="591">
        <v>100</v>
      </c>
      <c r="AJ25" s="591"/>
      <c r="AK25" s="740">
        <f t="shared" si="3"/>
        <v>100</v>
      </c>
      <c r="AL25" s="740" t="str">
        <f t="shared" si="19"/>
        <v/>
      </c>
      <c r="AM25" s="740">
        <f t="shared" si="20"/>
        <v>100</v>
      </c>
      <c r="AN25" s="740" t="str">
        <f t="shared" si="4"/>
        <v/>
      </c>
      <c r="AO25" s="740" t="str">
        <f t="shared" si="5"/>
        <v/>
      </c>
      <c r="AP25" s="740" t="str">
        <f t="shared" si="6"/>
        <v/>
      </c>
      <c r="AQ25" s="740" t="str">
        <f t="shared" si="7"/>
        <v/>
      </c>
      <c r="AR25" s="740" t="str">
        <f t="shared" si="8"/>
        <v/>
      </c>
      <c r="AS25" s="740" t="str">
        <f t="shared" si="9"/>
        <v/>
      </c>
      <c r="AT25" s="740" t="str">
        <f t="shared" si="10"/>
        <v/>
      </c>
      <c r="AU25" s="740">
        <f t="shared" si="11"/>
        <v>100</v>
      </c>
      <c r="AV25" s="740" t="str">
        <f t="shared" si="12"/>
        <v/>
      </c>
      <c r="AW25" s="740" t="str">
        <f t="shared" si="13"/>
        <v/>
      </c>
      <c r="AX25" s="740" t="str">
        <f t="shared" si="14"/>
        <v/>
      </c>
      <c r="AY25" s="740">
        <f t="shared" si="15"/>
        <v>100</v>
      </c>
      <c r="AZ25" s="740">
        <f t="shared" si="16"/>
        <v>100</v>
      </c>
      <c r="BA25" s="740" t="str">
        <f t="shared" si="17"/>
        <v/>
      </c>
    </row>
    <row r="26" spans="1:53" s="46" customFormat="1" ht="18.75">
      <c r="A26" s="565">
        <v>8</v>
      </c>
      <c r="B26" s="736" t="s">
        <v>624</v>
      </c>
      <c r="C26" s="590">
        <f t="shared" si="21"/>
        <v>200</v>
      </c>
      <c r="D26" s="590">
        <f t="shared" si="22"/>
        <v>0</v>
      </c>
      <c r="E26" s="590">
        <f t="shared" si="23"/>
        <v>200</v>
      </c>
      <c r="F26" s="590">
        <f t="shared" si="24"/>
        <v>0</v>
      </c>
      <c r="G26" s="591">
        <f t="shared" si="25"/>
        <v>0</v>
      </c>
      <c r="H26" s="591"/>
      <c r="I26" s="591"/>
      <c r="J26" s="591">
        <f t="shared" si="26"/>
        <v>0</v>
      </c>
      <c r="K26" s="591"/>
      <c r="L26" s="591"/>
      <c r="M26" s="591">
        <f t="shared" si="27"/>
        <v>200</v>
      </c>
      <c r="N26" s="591">
        <f t="shared" si="28"/>
        <v>0</v>
      </c>
      <c r="O26" s="591"/>
      <c r="P26" s="591"/>
      <c r="Q26" s="591">
        <f t="shared" si="29"/>
        <v>200</v>
      </c>
      <c r="R26" s="591">
        <v>200</v>
      </c>
      <c r="S26" s="591"/>
      <c r="T26" s="591">
        <f t="shared" si="30"/>
        <v>200</v>
      </c>
      <c r="U26" s="591">
        <f t="shared" si="31"/>
        <v>0</v>
      </c>
      <c r="V26" s="591">
        <f t="shared" si="32"/>
        <v>200</v>
      </c>
      <c r="W26" s="591">
        <f t="shared" si="33"/>
        <v>0</v>
      </c>
      <c r="X26" s="591">
        <f t="shared" si="34"/>
        <v>0</v>
      </c>
      <c r="Y26" s="591"/>
      <c r="Z26" s="591"/>
      <c r="AA26" s="591">
        <f t="shared" si="35"/>
        <v>0</v>
      </c>
      <c r="AB26" s="591"/>
      <c r="AC26" s="591"/>
      <c r="AD26" s="591">
        <f t="shared" si="38"/>
        <v>200</v>
      </c>
      <c r="AE26" s="591">
        <f t="shared" si="36"/>
        <v>0</v>
      </c>
      <c r="AF26" s="591"/>
      <c r="AG26" s="591"/>
      <c r="AH26" s="591">
        <f t="shared" si="37"/>
        <v>200</v>
      </c>
      <c r="AI26" s="591">
        <v>200</v>
      </c>
      <c r="AJ26" s="591"/>
      <c r="AK26" s="740">
        <f>IF(AND(T26&lt;&gt;0,C26&lt;&gt;0),T26/C26%,"")</f>
        <v>100</v>
      </c>
      <c r="AL26" s="740" t="str">
        <f>IF(AND(U26&lt;&gt;0,D26&lt;&gt;0),U26/D26%,"")</f>
        <v/>
      </c>
      <c r="AM26" s="740">
        <f>IF(AND(V26&lt;&gt;0,E26&lt;&gt;0),V26/E26%,"")</f>
        <v>100</v>
      </c>
      <c r="AN26" s="740" t="str">
        <f t="shared" si="4"/>
        <v/>
      </c>
      <c r="AO26" s="740" t="str">
        <f t="shared" si="5"/>
        <v/>
      </c>
      <c r="AP26" s="740" t="str">
        <f t="shared" si="6"/>
        <v/>
      </c>
      <c r="AQ26" s="740" t="str">
        <f t="shared" si="7"/>
        <v/>
      </c>
      <c r="AR26" s="740" t="str">
        <f t="shared" si="8"/>
        <v/>
      </c>
      <c r="AS26" s="740" t="str">
        <f t="shared" si="9"/>
        <v/>
      </c>
      <c r="AT26" s="740" t="str">
        <f t="shared" si="10"/>
        <v/>
      </c>
      <c r="AU26" s="740">
        <f t="shared" si="11"/>
        <v>100</v>
      </c>
      <c r="AV26" s="740" t="str">
        <f t="shared" si="12"/>
        <v/>
      </c>
      <c r="AW26" s="740" t="str">
        <f t="shared" si="13"/>
        <v/>
      </c>
      <c r="AX26" s="740" t="str">
        <f t="shared" si="14"/>
        <v/>
      </c>
      <c r="AY26" s="740">
        <f t="shared" si="15"/>
        <v>100</v>
      </c>
      <c r="AZ26" s="740">
        <f t="shared" si="16"/>
        <v>100</v>
      </c>
      <c r="BA26" s="740" t="str">
        <f t="shared" si="17"/>
        <v/>
      </c>
    </row>
    <row r="27" spans="1:53" s="46" customFormat="1" ht="18.75">
      <c r="A27" s="565">
        <v>9</v>
      </c>
      <c r="B27" s="737" t="s">
        <v>556</v>
      </c>
      <c r="C27" s="590">
        <f t="shared" ref="C27:C33" si="39">D27+E27</f>
        <v>3535</v>
      </c>
      <c r="D27" s="590">
        <f t="shared" ref="D27:D33" si="40">G27+N27</f>
        <v>3535</v>
      </c>
      <c r="E27" s="590">
        <f t="shared" si="23"/>
        <v>0</v>
      </c>
      <c r="F27" s="590">
        <f t="shared" ref="F27:F33" si="41">G27+J27</f>
        <v>3535</v>
      </c>
      <c r="G27" s="591">
        <f t="shared" ref="G27:G33" si="42">H27+I27</f>
        <v>3535</v>
      </c>
      <c r="H27" s="591">
        <f>3535</f>
        <v>3535</v>
      </c>
      <c r="I27" s="591"/>
      <c r="J27" s="591">
        <f t="shared" si="26"/>
        <v>0</v>
      </c>
      <c r="K27" s="591"/>
      <c r="L27" s="591"/>
      <c r="M27" s="591">
        <f t="shared" ref="M27:M33" si="43">N27+Q27</f>
        <v>0</v>
      </c>
      <c r="N27" s="591">
        <f t="shared" ref="N27:N33" si="44">O27+P27</f>
        <v>0</v>
      </c>
      <c r="O27" s="591"/>
      <c r="P27" s="591"/>
      <c r="Q27" s="591">
        <f t="shared" si="29"/>
        <v>0</v>
      </c>
      <c r="R27" s="591"/>
      <c r="S27" s="591"/>
      <c r="T27" s="591">
        <f t="shared" si="30"/>
        <v>3039.1092159999998</v>
      </c>
      <c r="U27" s="591">
        <f t="shared" ref="U27:U33" si="45">X27+AE27</f>
        <v>3039.1092159999998</v>
      </c>
      <c r="V27" s="591">
        <f t="shared" ref="V27:V33" si="46">AA27+AH27</f>
        <v>0</v>
      </c>
      <c r="W27" s="591">
        <f t="shared" ref="W27:W33" si="47">X27+AA27</f>
        <v>3039.1092159999998</v>
      </c>
      <c r="X27" s="591">
        <f t="shared" ref="X27:X33" si="48">Y27+Z27</f>
        <v>3039.1092159999998</v>
      </c>
      <c r="Y27" s="591">
        <v>3039.1092159999998</v>
      </c>
      <c r="Z27" s="591"/>
      <c r="AA27" s="591">
        <f t="shared" si="35"/>
        <v>0</v>
      </c>
      <c r="AB27" s="591"/>
      <c r="AC27" s="591"/>
      <c r="AD27" s="591">
        <f t="shared" ref="AD27:AD33" si="49">AE27+AH27</f>
        <v>0</v>
      </c>
      <c r="AE27" s="591">
        <f t="shared" ref="AE27:AE33" si="50">AF27+AG27</f>
        <v>0</v>
      </c>
      <c r="AF27" s="591">
        <v>0</v>
      </c>
      <c r="AG27" s="591"/>
      <c r="AH27" s="591">
        <f t="shared" si="37"/>
        <v>0</v>
      </c>
      <c r="AI27" s="591"/>
      <c r="AJ27" s="591"/>
      <c r="AK27" s="740">
        <f t="shared" ref="AK27:AK33" si="51">IF(AND(T27&lt;&gt;0,C27&lt;&gt;0),T27/C27%,"")</f>
        <v>85.971972164073549</v>
      </c>
      <c r="AL27" s="740">
        <f t="shared" ref="AL27:AL33" si="52">IF(AND(U27&lt;&gt;0,D27&lt;&gt;0),U27/D27%,"")</f>
        <v>85.971972164073549</v>
      </c>
      <c r="AM27" s="740" t="str">
        <f t="shared" ref="AM27:AM33" si="53">IF(AND(V27&lt;&gt;0,E27&lt;&gt;0),V27/E27%,"")</f>
        <v/>
      </c>
      <c r="AN27" s="740">
        <f t="shared" ref="AN27:AN33" si="54">IF(AND(W27&lt;&gt;0,F27&lt;&gt;0),W27/F27%,"")</f>
        <v>85.971972164073549</v>
      </c>
      <c r="AO27" s="740">
        <f t="shared" ref="AO27:AO33" si="55">IF(AND(X27&lt;&gt;0,G27&lt;&gt;0),X27/G27%,"")</f>
        <v>85.971972164073549</v>
      </c>
      <c r="AP27" s="740">
        <f t="shared" ref="AP27:AP33" si="56">IF(AND(Y27&lt;&gt;0,H27&lt;&gt;0),Y27/H27%,"")</f>
        <v>85.971972164073549</v>
      </c>
      <c r="AQ27" s="740" t="str">
        <f t="shared" ref="AQ27:AQ33" si="57">IF(AND(Z27&lt;&gt;0,I27&lt;&gt;0),Z27/I27%,"")</f>
        <v/>
      </c>
      <c r="AR27" s="740" t="str">
        <f t="shared" ref="AR27:AR33" si="58">IF(AND(AA27&lt;&gt;0,J27&lt;&gt;0),AA27/J27%,"")</f>
        <v/>
      </c>
      <c r="AS27" s="740" t="str">
        <f t="shared" ref="AS27:AS33" si="59">IF(AND(AB27&lt;&gt;0,K27&lt;&gt;0),AB27/K27%,"")</f>
        <v/>
      </c>
      <c r="AT27" s="740" t="str">
        <f t="shared" ref="AT27:AT33" si="60">IF(AND(AC27&lt;&gt;0,L27&lt;&gt;0),AC27/L27%,"")</f>
        <v/>
      </c>
      <c r="AU27" s="740" t="str">
        <f t="shared" ref="AU27:AU33" si="61">IF(AND(AD27&lt;&gt;0,M27&lt;&gt;0),AD27/M27%,"")</f>
        <v/>
      </c>
      <c r="AV27" s="740" t="str">
        <f t="shared" ref="AV27:AV33" si="62">IF(AND(AE27&lt;&gt;0,N27&lt;&gt;0),AE27/N27%,"")</f>
        <v/>
      </c>
      <c r="AW27" s="740" t="str">
        <f t="shared" ref="AW27:AW33" si="63">IF(AND(AF27&lt;&gt;0,O27&lt;&gt;0),AF27/O27%,"")</f>
        <v/>
      </c>
      <c r="AX27" s="740" t="str">
        <f t="shared" ref="AX27:AX33" si="64">IF(AND(AG27&lt;&gt;0,P27&lt;&gt;0),AG27/P27%,"")</f>
        <v/>
      </c>
      <c r="AY27" s="740" t="str">
        <f t="shared" ref="AY27:AY33" si="65">IF(AND(AH27&lt;&gt;0,Q27&lt;&gt;0),AH27/Q27%,"")</f>
        <v/>
      </c>
      <c r="AZ27" s="740" t="str">
        <f t="shared" ref="AZ27:AZ33" si="66">IF(AND(AI27&lt;&gt;0,R27&lt;&gt;0),AI27/R27%,"")</f>
        <v/>
      </c>
      <c r="BA27" s="740" t="str">
        <f t="shared" ref="BA27:BA33" si="67">IF(AND(AJ27&lt;&gt;0,S27&lt;&gt;0),AJ27/S27%,"")</f>
        <v/>
      </c>
    </row>
    <row r="28" spans="1:53" s="46" customFormat="1" ht="18.75">
      <c r="A28" s="565">
        <v>10</v>
      </c>
      <c r="B28" s="737" t="s">
        <v>557</v>
      </c>
      <c r="C28" s="590">
        <f t="shared" si="39"/>
        <v>13185</v>
      </c>
      <c r="D28" s="590">
        <f t="shared" si="40"/>
        <v>13185</v>
      </c>
      <c r="E28" s="590">
        <f t="shared" si="23"/>
        <v>0</v>
      </c>
      <c r="F28" s="590">
        <f t="shared" si="41"/>
        <v>12120</v>
      </c>
      <c r="G28" s="591">
        <f t="shared" si="42"/>
        <v>12120</v>
      </c>
      <c r="H28" s="591">
        <f>12120</f>
        <v>12120</v>
      </c>
      <c r="I28" s="591"/>
      <c r="J28" s="591">
        <f t="shared" si="26"/>
        <v>0</v>
      </c>
      <c r="K28" s="591"/>
      <c r="L28" s="591"/>
      <c r="M28" s="591">
        <f t="shared" si="43"/>
        <v>1065</v>
      </c>
      <c r="N28" s="591">
        <f t="shared" si="44"/>
        <v>1065</v>
      </c>
      <c r="O28" s="591">
        <v>1065</v>
      </c>
      <c r="P28" s="591"/>
      <c r="Q28" s="591">
        <f t="shared" si="29"/>
        <v>0</v>
      </c>
      <c r="R28" s="591"/>
      <c r="S28" s="591"/>
      <c r="T28" s="591">
        <f t="shared" si="30"/>
        <v>18574.958638</v>
      </c>
      <c r="U28" s="591">
        <f t="shared" si="45"/>
        <v>18574.958638</v>
      </c>
      <c r="V28" s="591">
        <f t="shared" si="46"/>
        <v>0</v>
      </c>
      <c r="W28" s="591">
        <f t="shared" si="47"/>
        <v>17509.958638</v>
      </c>
      <c r="X28" s="591">
        <f t="shared" si="48"/>
        <v>17509.958638</v>
      </c>
      <c r="Y28" s="591">
        <f>17389.972638+119.986</f>
        <v>17509.958638</v>
      </c>
      <c r="Z28" s="591"/>
      <c r="AA28" s="591">
        <f t="shared" si="35"/>
        <v>0</v>
      </c>
      <c r="AB28" s="591"/>
      <c r="AC28" s="591"/>
      <c r="AD28" s="591">
        <f t="shared" si="49"/>
        <v>1065</v>
      </c>
      <c r="AE28" s="591">
        <f t="shared" si="50"/>
        <v>1065</v>
      </c>
      <c r="AF28" s="591">
        <f>1065</f>
        <v>1065</v>
      </c>
      <c r="AG28" s="591"/>
      <c r="AH28" s="591">
        <f t="shared" si="37"/>
        <v>0</v>
      </c>
      <c r="AI28" s="591"/>
      <c r="AJ28" s="591"/>
      <c r="AK28" s="740">
        <f t="shared" si="51"/>
        <v>140.87947393249905</v>
      </c>
      <c r="AL28" s="740">
        <f t="shared" si="52"/>
        <v>140.87947393249905</v>
      </c>
      <c r="AM28" s="740" t="str">
        <f t="shared" si="53"/>
        <v/>
      </c>
      <c r="AN28" s="740">
        <f t="shared" si="54"/>
        <v>144.47160592409242</v>
      </c>
      <c r="AO28" s="740">
        <f t="shared" si="55"/>
        <v>144.47160592409242</v>
      </c>
      <c r="AP28" s="740">
        <f t="shared" si="56"/>
        <v>144.47160592409242</v>
      </c>
      <c r="AQ28" s="740" t="str">
        <f t="shared" si="57"/>
        <v/>
      </c>
      <c r="AR28" s="740" t="str">
        <f t="shared" si="58"/>
        <v/>
      </c>
      <c r="AS28" s="740" t="str">
        <f t="shared" si="59"/>
        <v/>
      </c>
      <c r="AT28" s="740" t="str">
        <f t="shared" si="60"/>
        <v/>
      </c>
      <c r="AU28" s="740">
        <f t="shared" si="61"/>
        <v>100</v>
      </c>
      <c r="AV28" s="740">
        <f t="shared" si="62"/>
        <v>100</v>
      </c>
      <c r="AW28" s="740">
        <f t="shared" si="63"/>
        <v>100</v>
      </c>
      <c r="AX28" s="740" t="str">
        <f t="shared" si="64"/>
        <v/>
      </c>
      <c r="AY28" s="740" t="str">
        <f t="shared" si="65"/>
        <v/>
      </c>
      <c r="AZ28" s="740" t="str">
        <f t="shared" si="66"/>
        <v/>
      </c>
      <c r="BA28" s="740" t="str">
        <f t="shared" si="67"/>
        <v/>
      </c>
    </row>
    <row r="29" spans="1:53" s="46" customFormat="1" ht="18.75">
      <c r="A29" s="565">
        <v>11</v>
      </c>
      <c r="B29" s="737" t="s">
        <v>558</v>
      </c>
      <c r="C29" s="590">
        <f t="shared" si="39"/>
        <v>15790</v>
      </c>
      <c r="D29" s="590">
        <f t="shared" si="40"/>
        <v>15790</v>
      </c>
      <c r="E29" s="590">
        <f t="shared" si="23"/>
        <v>0</v>
      </c>
      <c r="F29" s="590">
        <f t="shared" si="41"/>
        <v>13790</v>
      </c>
      <c r="G29" s="591">
        <f t="shared" si="42"/>
        <v>13790</v>
      </c>
      <c r="H29" s="591">
        <f>13790</f>
        <v>13790</v>
      </c>
      <c r="I29" s="591"/>
      <c r="J29" s="591">
        <f t="shared" si="26"/>
        <v>0</v>
      </c>
      <c r="K29" s="591"/>
      <c r="L29" s="591"/>
      <c r="M29" s="591">
        <f t="shared" si="43"/>
        <v>2000</v>
      </c>
      <c r="N29" s="591">
        <f t="shared" si="44"/>
        <v>2000</v>
      </c>
      <c r="O29" s="591">
        <v>2000</v>
      </c>
      <c r="P29" s="591"/>
      <c r="Q29" s="591">
        <f t="shared" si="29"/>
        <v>0</v>
      </c>
      <c r="R29" s="591"/>
      <c r="S29" s="591"/>
      <c r="T29" s="591">
        <f t="shared" si="30"/>
        <v>14212.663</v>
      </c>
      <c r="U29" s="591">
        <f t="shared" si="45"/>
        <v>14212.663</v>
      </c>
      <c r="V29" s="591">
        <f t="shared" si="46"/>
        <v>0</v>
      </c>
      <c r="W29" s="591">
        <f t="shared" si="47"/>
        <v>12804.617</v>
      </c>
      <c r="X29" s="591">
        <f t="shared" si="48"/>
        <v>12804.617</v>
      </c>
      <c r="Y29" s="591">
        <v>12804.617</v>
      </c>
      <c r="Z29" s="591"/>
      <c r="AA29" s="591">
        <f t="shared" si="35"/>
        <v>0</v>
      </c>
      <c r="AB29" s="591"/>
      <c r="AC29" s="591"/>
      <c r="AD29" s="591">
        <f t="shared" si="49"/>
        <v>1408.046</v>
      </c>
      <c r="AE29" s="591">
        <f t="shared" si="50"/>
        <v>1408.046</v>
      </c>
      <c r="AF29" s="591">
        <v>1408.046</v>
      </c>
      <c r="AG29" s="591"/>
      <c r="AH29" s="591">
        <f t="shared" si="37"/>
        <v>0</v>
      </c>
      <c r="AI29" s="591"/>
      <c r="AJ29" s="591"/>
      <c r="AK29" s="740">
        <f t="shared" si="51"/>
        <v>90.010531982267253</v>
      </c>
      <c r="AL29" s="740">
        <f t="shared" si="52"/>
        <v>90.010531982267253</v>
      </c>
      <c r="AM29" s="740" t="str">
        <f t="shared" si="53"/>
        <v/>
      </c>
      <c r="AN29" s="740">
        <f t="shared" si="54"/>
        <v>92.854365482233504</v>
      </c>
      <c r="AO29" s="740">
        <f t="shared" si="55"/>
        <v>92.854365482233504</v>
      </c>
      <c r="AP29" s="740">
        <f t="shared" si="56"/>
        <v>92.854365482233504</v>
      </c>
      <c r="AQ29" s="740" t="str">
        <f t="shared" si="57"/>
        <v/>
      </c>
      <c r="AR29" s="740" t="str">
        <f t="shared" si="58"/>
        <v/>
      </c>
      <c r="AS29" s="740" t="str">
        <f t="shared" si="59"/>
        <v/>
      </c>
      <c r="AT29" s="740" t="str">
        <f t="shared" si="60"/>
        <v/>
      </c>
      <c r="AU29" s="740">
        <f t="shared" si="61"/>
        <v>70.402299999999997</v>
      </c>
      <c r="AV29" s="740">
        <f t="shared" si="62"/>
        <v>70.402299999999997</v>
      </c>
      <c r="AW29" s="740">
        <f t="shared" si="63"/>
        <v>70.402299999999997</v>
      </c>
      <c r="AX29" s="740" t="str">
        <f t="shared" si="64"/>
        <v/>
      </c>
      <c r="AY29" s="740" t="str">
        <f t="shared" si="65"/>
        <v/>
      </c>
      <c r="AZ29" s="740" t="str">
        <f t="shared" si="66"/>
        <v/>
      </c>
      <c r="BA29" s="740" t="str">
        <f t="shared" si="67"/>
        <v/>
      </c>
    </row>
    <row r="30" spans="1:53" s="46" customFormat="1" ht="18.75">
      <c r="A30" s="565">
        <v>12</v>
      </c>
      <c r="B30" s="737" t="s">
        <v>559</v>
      </c>
      <c r="C30" s="590">
        <f t="shared" si="39"/>
        <v>15625</v>
      </c>
      <c r="D30" s="590">
        <f t="shared" si="40"/>
        <v>15625</v>
      </c>
      <c r="E30" s="590">
        <f t="shared" si="23"/>
        <v>0</v>
      </c>
      <c r="F30" s="590">
        <f t="shared" si="41"/>
        <v>12625</v>
      </c>
      <c r="G30" s="591">
        <f t="shared" si="42"/>
        <v>12625</v>
      </c>
      <c r="H30" s="591">
        <v>12625</v>
      </c>
      <c r="I30" s="591"/>
      <c r="J30" s="591">
        <f t="shared" si="26"/>
        <v>0</v>
      </c>
      <c r="K30" s="591"/>
      <c r="L30" s="591"/>
      <c r="M30" s="591">
        <f t="shared" si="43"/>
        <v>3000</v>
      </c>
      <c r="N30" s="591">
        <f t="shared" si="44"/>
        <v>3000</v>
      </c>
      <c r="O30" s="591">
        <v>3000</v>
      </c>
      <c r="P30" s="591"/>
      <c r="Q30" s="591">
        <f t="shared" si="29"/>
        <v>0</v>
      </c>
      <c r="R30" s="591"/>
      <c r="S30" s="591"/>
      <c r="T30" s="591">
        <f t="shared" si="30"/>
        <v>16098.564533999999</v>
      </c>
      <c r="U30" s="591">
        <f t="shared" si="45"/>
        <v>16098.564533999999</v>
      </c>
      <c r="V30" s="591">
        <f t="shared" si="46"/>
        <v>0</v>
      </c>
      <c r="W30" s="591">
        <f t="shared" si="47"/>
        <v>13421.966533999999</v>
      </c>
      <c r="X30" s="591">
        <f t="shared" si="48"/>
        <v>13421.966533999999</v>
      </c>
      <c r="Y30" s="591">
        <f>13421.966534</f>
        <v>13421.966533999999</v>
      </c>
      <c r="Z30" s="591"/>
      <c r="AA30" s="591">
        <f t="shared" si="35"/>
        <v>0</v>
      </c>
      <c r="AB30" s="591"/>
      <c r="AC30" s="591"/>
      <c r="AD30" s="591">
        <f t="shared" si="49"/>
        <v>2676.598</v>
      </c>
      <c r="AE30" s="591">
        <f t="shared" si="50"/>
        <v>2676.598</v>
      </c>
      <c r="AF30" s="591">
        <v>2676.598</v>
      </c>
      <c r="AG30" s="591"/>
      <c r="AH30" s="591">
        <f t="shared" si="37"/>
        <v>0</v>
      </c>
      <c r="AI30" s="591"/>
      <c r="AJ30" s="591"/>
      <c r="AK30" s="740">
        <f t="shared" si="51"/>
        <v>103.0308130176</v>
      </c>
      <c r="AL30" s="740">
        <f t="shared" si="52"/>
        <v>103.0308130176</v>
      </c>
      <c r="AM30" s="740" t="str">
        <f t="shared" si="53"/>
        <v/>
      </c>
      <c r="AN30" s="740">
        <f t="shared" si="54"/>
        <v>106.31260620990098</v>
      </c>
      <c r="AO30" s="740">
        <f t="shared" si="55"/>
        <v>106.31260620990098</v>
      </c>
      <c r="AP30" s="740">
        <f t="shared" si="56"/>
        <v>106.31260620990098</v>
      </c>
      <c r="AQ30" s="740" t="str">
        <f t="shared" si="57"/>
        <v/>
      </c>
      <c r="AR30" s="740" t="str">
        <f t="shared" si="58"/>
        <v/>
      </c>
      <c r="AS30" s="740" t="str">
        <f t="shared" si="59"/>
        <v/>
      </c>
      <c r="AT30" s="740" t="str">
        <f t="shared" si="60"/>
        <v/>
      </c>
      <c r="AU30" s="740">
        <f t="shared" si="61"/>
        <v>89.21993333333333</v>
      </c>
      <c r="AV30" s="740">
        <f t="shared" si="62"/>
        <v>89.21993333333333</v>
      </c>
      <c r="AW30" s="740">
        <f t="shared" si="63"/>
        <v>89.21993333333333</v>
      </c>
      <c r="AX30" s="740" t="str">
        <f t="shared" si="64"/>
        <v/>
      </c>
      <c r="AY30" s="740" t="str">
        <f t="shared" si="65"/>
        <v/>
      </c>
      <c r="AZ30" s="740" t="str">
        <f t="shared" si="66"/>
        <v/>
      </c>
      <c r="BA30" s="740" t="str">
        <f t="shared" si="67"/>
        <v/>
      </c>
    </row>
    <row r="31" spans="1:53" s="46" customFormat="1" ht="18.75">
      <c r="A31" s="565">
        <v>13</v>
      </c>
      <c r="B31" s="737" t="s">
        <v>560</v>
      </c>
      <c r="C31" s="590">
        <f t="shared" si="39"/>
        <v>6565</v>
      </c>
      <c r="D31" s="590">
        <f t="shared" si="40"/>
        <v>6565</v>
      </c>
      <c r="E31" s="590">
        <f>J31+Q31</f>
        <v>0</v>
      </c>
      <c r="F31" s="590">
        <f t="shared" si="41"/>
        <v>6565</v>
      </c>
      <c r="G31" s="591">
        <f t="shared" si="42"/>
        <v>6565</v>
      </c>
      <c r="H31" s="591">
        <f>6565</f>
        <v>6565</v>
      </c>
      <c r="I31" s="591"/>
      <c r="J31" s="591">
        <f t="shared" si="26"/>
        <v>0</v>
      </c>
      <c r="K31" s="591"/>
      <c r="L31" s="591"/>
      <c r="M31" s="591">
        <f t="shared" si="43"/>
        <v>0</v>
      </c>
      <c r="N31" s="591">
        <f t="shared" si="44"/>
        <v>0</v>
      </c>
      <c r="O31" s="591"/>
      <c r="P31" s="591"/>
      <c r="Q31" s="591">
        <f t="shared" si="29"/>
        <v>0</v>
      </c>
      <c r="R31" s="591"/>
      <c r="S31" s="591"/>
      <c r="T31" s="591">
        <f t="shared" si="30"/>
        <v>9002.625</v>
      </c>
      <c r="U31" s="591">
        <f t="shared" si="45"/>
        <v>9002.625</v>
      </c>
      <c r="V31" s="591">
        <f t="shared" si="46"/>
        <v>0</v>
      </c>
      <c r="W31" s="591">
        <f t="shared" si="47"/>
        <v>9002.625</v>
      </c>
      <c r="X31" s="591">
        <f t="shared" si="48"/>
        <v>9002.625</v>
      </c>
      <c r="Y31" s="591">
        <v>9002.625</v>
      </c>
      <c r="Z31" s="591"/>
      <c r="AA31" s="591">
        <f t="shared" si="35"/>
        <v>0</v>
      </c>
      <c r="AB31" s="591"/>
      <c r="AC31" s="591"/>
      <c r="AD31" s="591">
        <f t="shared" si="49"/>
        <v>0</v>
      </c>
      <c r="AE31" s="591">
        <f t="shared" si="50"/>
        <v>0</v>
      </c>
      <c r="AF31" s="591">
        <v>0</v>
      </c>
      <c r="AG31" s="591"/>
      <c r="AH31" s="591">
        <f t="shared" si="37"/>
        <v>0</v>
      </c>
      <c r="AI31" s="591"/>
      <c r="AJ31" s="591"/>
      <c r="AK31" s="740">
        <f t="shared" si="51"/>
        <v>137.13061690784463</v>
      </c>
      <c r="AL31" s="740">
        <f t="shared" si="52"/>
        <v>137.13061690784463</v>
      </c>
      <c r="AM31" s="740" t="str">
        <f t="shared" si="53"/>
        <v/>
      </c>
      <c r="AN31" s="740">
        <f t="shared" si="54"/>
        <v>137.13061690784463</v>
      </c>
      <c r="AO31" s="740">
        <f t="shared" si="55"/>
        <v>137.13061690784463</v>
      </c>
      <c r="AP31" s="740">
        <f t="shared" si="56"/>
        <v>137.13061690784463</v>
      </c>
      <c r="AQ31" s="740" t="str">
        <f t="shared" si="57"/>
        <v/>
      </c>
      <c r="AR31" s="740" t="str">
        <f t="shared" si="58"/>
        <v/>
      </c>
      <c r="AS31" s="740" t="str">
        <f t="shared" si="59"/>
        <v/>
      </c>
      <c r="AT31" s="740" t="str">
        <f t="shared" si="60"/>
        <v/>
      </c>
      <c r="AU31" s="740" t="str">
        <f t="shared" si="61"/>
        <v/>
      </c>
      <c r="AV31" s="740" t="str">
        <f t="shared" si="62"/>
        <v/>
      </c>
      <c r="AW31" s="740" t="str">
        <f t="shared" si="63"/>
        <v/>
      </c>
      <c r="AX31" s="740" t="str">
        <f t="shared" si="64"/>
        <v/>
      </c>
      <c r="AY31" s="740" t="str">
        <f t="shared" si="65"/>
        <v/>
      </c>
      <c r="AZ31" s="740" t="str">
        <f t="shared" si="66"/>
        <v/>
      </c>
      <c r="BA31" s="740" t="str">
        <f t="shared" si="67"/>
        <v/>
      </c>
    </row>
    <row r="32" spans="1:53" s="46" customFormat="1" ht="18.75">
      <c r="A32" s="565">
        <v>14</v>
      </c>
      <c r="B32" s="737" t="s">
        <v>561</v>
      </c>
      <c r="C32" s="590">
        <f t="shared" si="39"/>
        <v>5070</v>
      </c>
      <c r="D32" s="590">
        <f t="shared" si="40"/>
        <v>5070</v>
      </c>
      <c r="E32" s="590">
        <f t="shared" si="23"/>
        <v>0</v>
      </c>
      <c r="F32" s="590">
        <f t="shared" si="41"/>
        <v>5070</v>
      </c>
      <c r="G32" s="591">
        <f t="shared" si="42"/>
        <v>5070</v>
      </c>
      <c r="H32" s="591">
        <f>5070</f>
        <v>5070</v>
      </c>
      <c r="I32" s="591"/>
      <c r="J32" s="591">
        <f t="shared" si="26"/>
        <v>0</v>
      </c>
      <c r="K32" s="591"/>
      <c r="L32" s="591"/>
      <c r="M32" s="591">
        <f t="shared" si="43"/>
        <v>0</v>
      </c>
      <c r="N32" s="591">
        <f t="shared" si="44"/>
        <v>0</v>
      </c>
      <c r="O32" s="591"/>
      <c r="P32" s="591"/>
      <c r="Q32" s="591">
        <f t="shared" si="29"/>
        <v>0</v>
      </c>
      <c r="R32" s="591"/>
      <c r="S32" s="591"/>
      <c r="T32" s="591">
        <f t="shared" si="30"/>
        <v>5014.9063599999999</v>
      </c>
      <c r="U32" s="591">
        <f t="shared" si="45"/>
        <v>5014.9063599999999</v>
      </c>
      <c r="V32" s="591">
        <f t="shared" si="46"/>
        <v>0</v>
      </c>
      <c r="W32" s="591">
        <f t="shared" si="47"/>
        <v>5014.9063599999999</v>
      </c>
      <c r="X32" s="591">
        <f t="shared" si="48"/>
        <v>5014.9063599999999</v>
      </c>
      <c r="Y32" s="591">
        <v>5014.9063599999999</v>
      </c>
      <c r="Z32" s="591"/>
      <c r="AA32" s="591">
        <f t="shared" si="35"/>
        <v>0</v>
      </c>
      <c r="AB32" s="591"/>
      <c r="AC32" s="591"/>
      <c r="AD32" s="591">
        <f t="shared" si="49"/>
        <v>0</v>
      </c>
      <c r="AE32" s="591">
        <f t="shared" si="50"/>
        <v>0</v>
      </c>
      <c r="AF32" s="591">
        <v>0</v>
      </c>
      <c r="AG32" s="591"/>
      <c r="AH32" s="591">
        <f t="shared" si="37"/>
        <v>0</v>
      </c>
      <c r="AI32" s="591"/>
      <c r="AJ32" s="591"/>
      <c r="AK32" s="740">
        <f t="shared" si="51"/>
        <v>98.913340433925043</v>
      </c>
      <c r="AL32" s="740">
        <f t="shared" si="52"/>
        <v>98.913340433925043</v>
      </c>
      <c r="AM32" s="740" t="str">
        <f t="shared" si="53"/>
        <v/>
      </c>
      <c r="AN32" s="740">
        <f t="shared" si="54"/>
        <v>98.913340433925043</v>
      </c>
      <c r="AO32" s="740">
        <f t="shared" si="55"/>
        <v>98.913340433925043</v>
      </c>
      <c r="AP32" s="740">
        <f t="shared" si="56"/>
        <v>98.913340433925043</v>
      </c>
      <c r="AQ32" s="740" t="str">
        <f t="shared" si="57"/>
        <v/>
      </c>
      <c r="AR32" s="740" t="str">
        <f t="shared" si="58"/>
        <v/>
      </c>
      <c r="AS32" s="740" t="str">
        <f t="shared" si="59"/>
        <v/>
      </c>
      <c r="AT32" s="740" t="str">
        <f t="shared" si="60"/>
        <v/>
      </c>
      <c r="AU32" s="740" t="str">
        <f t="shared" si="61"/>
        <v/>
      </c>
      <c r="AV32" s="740" t="str">
        <f t="shared" si="62"/>
        <v/>
      </c>
      <c r="AW32" s="740" t="str">
        <f t="shared" si="63"/>
        <v/>
      </c>
      <c r="AX32" s="740" t="str">
        <f t="shared" si="64"/>
        <v/>
      </c>
      <c r="AY32" s="740" t="str">
        <f t="shared" si="65"/>
        <v/>
      </c>
      <c r="AZ32" s="740" t="str">
        <f t="shared" si="66"/>
        <v/>
      </c>
      <c r="BA32" s="740" t="str">
        <f t="shared" si="67"/>
        <v/>
      </c>
    </row>
    <row r="33" spans="1:53" s="46" customFormat="1" ht="18.75">
      <c r="A33" s="565">
        <v>15</v>
      </c>
      <c r="B33" s="737" t="s">
        <v>562</v>
      </c>
      <c r="C33" s="590">
        <f t="shared" si="39"/>
        <v>31220</v>
      </c>
      <c r="D33" s="590">
        <f t="shared" si="40"/>
        <v>31220</v>
      </c>
      <c r="E33" s="590">
        <f t="shared" si="23"/>
        <v>0</v>
      </c>
      <c r="F33" s="590">
        <f t="shared" si="41"/>
        <v>22220</v>
      </c>
      <c r="G33" s="591">
        <f t="shared" si="42"/>
        <v>22220</v>
      </c>
      <c r="H33" s="591">
        <f>22220</f>
        <v>22220</v>
      </c>
      <c r="I33" s="591"/>
      <c r="J33" s="591">
        <f t="shared" si="26"/>
        <v>0</v>
      </c>
      <c r="K33" s="591"/>
      <c r="L33" s="591"/>
      <c r="M33" s="591">
        <f t="shared" si="43"/>
        <v>9000</v>
      </c>
      <c r="N33" s="591">
        <f t="shared" si="44"/>
        <v>9000</v>
      </c>
      <c r="O33" s="591">
        <f>9000</f>
        <v>9000</v>
      </c>
      <c r="P33" s="591"/>
      <c r="Q33" s="591">
        <f t="shared" si="29"/>
        <v>0</v>
      </c>
      <c r="R33" s="591"/>
      <c r="S33" s="591"/>
      <c r="T33" s="591">
        <f t="shared" si="30"/>
        <v>24798.843707</v>
      </c>
      <c r="U33" s="591">
        <f t="shared" si="45"/>
        <v>24798.843707</v>
      </c>
      <c r="V33" s="591">
        <f t="shared" si="46"/>
        <v>0</v>
      </c>
      <c r="W33" s="591">
        <f t="shared" si="47"/>
        <v>16678.413971000002</v>
      </c>
      <c r="X33" s="591">
        <f t="shared" si="48"/>
        <v>16678.413971000002</v>
      </c>
      <c r="Y33" s="591">
        <v>16678.413971000002</v>
      </c>
      <c r="Z33" s="591"/>
      <c r="AA33" s="591">
        <f t="shared" si="35"/>
        <v>0</v>
      </c>
      <c r="AB33" s="591"/>
      <c r="AC33" s="591"/>
      <c r="AD33" s="591">
        <f t="shared" si="49"/>
        <v>8120.429736</v>
      </c>
      <c r="AE33" s="591">
        <f t="shared" si="50"/>
        <v>8120.429736</v>
      </c>
      <c r="AF33" s="591">
        <v>8120.429736</v>
      </c>
      <c r="AG33" s="591"/>
      <c r="AH33" s="591">
        <f t="shared" si="37"/>
        <v>0</v>
      </c>
      <c r="AI33" s="591"/>
      <c r="AJ33" s="591"/>
      <c r="AK33" s="740">
        <f t="shared" si="51"/>
        <v>79.432555115310706</v>
      </c>
      <c r="AL33" s="740">
        <f t="shared" si="52"/>
        <v>79.432555115310706</v>
      </c>
      <c r="AM33" s="740" t="str">
        <f t="shared" si="53"/>
        <v/>
      </c>
      <c r="AN33" s="740">
        <f t="shared" si="54"/>
        <v>75.06036890639065</v>
      </c>
      <c r="AO33" s="740">
        <f t="shared" si="55"/>
        <v>75.06036890639065</v>
      </c>
      <c r="AP33" s="740">
        <f t="shared" si="56"/>
        <v>75.06036890639065</v>
      </c>
      <c r="AQ33" s="740" t="str">
        <f t="shared" si="57"/>
        <v/>
      </c>
      <c r="AR33" s="740" t="str">
        <f t="shared" si="58"/>
        <v/>
      </c>
      <c r="AS33" s="740" t="str">
        <f t="shared" si="59"/>
        <v/>
      </c>
      <c r="AT33" s="740" t="str">
        <f t="shared" si="60"/>
        <v/>
      </c>
      <c r="AU33" s="740">
        <f t="shared" si="61"/>
        <v>90.226997066666669</v>
      </c>
      <c r="AV33" s="740">
        <f t="shared" si="62"/>
        <v>90.226997066666669</v>
      </c>
      <c r="AW33" s="740">
        <f t="shared" si="63"/>
        <v>90.226997066666669</v>
      </c>
      <c r="AX33" s="740" t="str">
        <f t="shared" si="64"/>
        <v/>
      </c>
      <c r="AY33" s="740" t="str">
        <f t="shared" si="65"/>
        <v/>
      </c>
      <c r="AZ33" s="740" t="str">
        <f t="shared" si="66"/>
        <v/>
      </c>
      <c r="BA33" s="740" t="str">
        <f t="shared" si="67"/>
        <v/>
      </c>
    </row>
    <row r="34" spans="1:53" s="46" customFormat="1" ht="18.75">
      <c r="A34" s="565">
        <v>16</v>
      </c>
      <c r="B34" s="737" t="s">
        <v>563</v>
      </c>
      <c r="C34" s="590">
        <f>D34+E34</f>
        <v>34405</v>
      </c>
      <c r="D34" s="590">
        <f>G34+N34</f>
        <v>34405</v>
      </c>
      <c r="E34" s="590">
        <f t="shared" si="23"/>
        <v>0</v>
      </c>
      <c r="F34" s="590">
        <f>G34+J34</f>
        <v>25405</v>
      </c>
      <c r="G34" s="591">
        <f>H34+I34</f>
        <v>25405</v>
      </c>
      <c r="H34" s="591">
        <v>25405</v>
      </c>
      <c r="I34" s="591"/>
      <c r="J34" s="591">
        <f t="shared" si="26"/>
        <v>0</v>
      </c>
      <c r="K34" s="591"/>
      <c r="L34" s="591"/>
      <c r="M34" s="591">
        <f t="shared" si="27"/>
        <v>9000</v>
      </c>
      <c r="N34" s="591">
        <f t="shared" si="28"/>
        <v>9000</v>
      </c>
      <c r="O34" s="591">
        <f>1470+7530</f>
        <v>9000</v>
      </c>
      <c r="P34" s="591"/>
      <c r="Q34" s="591">
        <f t="shared" si="29"/>
        <v>0</v>
      </c>
      <c r="R34" s="591"/>
      <c r="S34" s="591"/>
      <c r="T34" s="591">
        <f t="shared" si="30"/>
        <v>8325.2625459999999</v>
      </c>
      <c r="U34" s="591">
        <f t="shared" si="31"/>
        <v>8325.2625459999999</v>
      </c>
      <c r="V34" s="591">
        <f>AA34+AH34</f>
        <v>0</v>
      </c>
      <c r="W34" s="591">
        <f t="shared" si="33"/>
        <v>4691.1475499999997</v>
      </c>
      <c r="X34" s="591">
        <f t="shared" si="34"/>
        <v>4691.1475499999997</v>
      </c>
      <c r="Y34" s="591">
        <f>4579.53655+111.611</f>
        <v>4691.1475499999997</v>
      </c>
      <c r="Z34" s="591"/>
      <c r="AA34" s="591">
        <f t="shared" si="35"/>
        <v>0</v>
      </c>
      <c r="AB34" s="591"/>
      <c r="AC34" s="591"/>
      <c r="AD34" s="591">
        <f t="shared" si="38"/>
        <v>3634.1149959999998</v>
      </c>
      <c r="AE34" s="591">
        <f t="shared" si="36"/>
        <v>3634.1149959999998</v>
      </c>
      <c r="AF34" s="591">
        <v>3634.1149959999998</v>
      </c>
      <c r="AG34" s="591"/>
      <c r="AH34" s="591">
        <f t="shared" si="37"/>
        <v>0</v>
      </c>
      <c r="AI34" s="591"/>
      <c r="AJ34" s="591"/>
      <c r="AK34" s="740">
        <f t="shared" ref="AK34:AM38" si="68">IF(AND(T34&lt;&gt;0,C34&lt;&gt;0),T34/C34%,"")</f>
        <v>24.197827484377271</v>
      </c>
      <c r="AL34" s="740">
        <f t="shared" si="68"/>
        <v>24.197827484377271</v>
      </c>
      <c r="AM34" s="740" t="str">
        <f t="shared" si="68"/>
        <v/>
      </c>
      <c r="AN34" s="740">
        <f t="shared" si="4"/>
        <v>18.465449911434757</v>
      </c>
      <c r="AO34" s="740">
        <f t="shared" si="5"/>
        <v>18.465449911434757</v>
      </c>
      <c r="AP34" s="740">
        <f t="shared" si="6"/>
        <v>18.465449911434757</v>
      </c>
      <c r="AQ34" s="740" t="str">
        <f t="shared" si="7"/>
        <v/>
      </c>
      <c r="AR34" s="740" t="str">
        <f t="shared" si="8"/>
        <v/>
      </c>
      <c r="AS34" s="740" t="str">
        <f t="shared" si="9"/>
        <v/>
      </c>
      <c r="AT34" s="740" t="str">
        <f t="shared" si="10"/>
        <v/>
      </c>
      <c r="AU34" s="740">
        <f t="shared" si="11"/>
        <v>40.379055511111112</v>
      </c>
      <c r="AV34" s="740">
        <f t="shared" si="12"/>
        <v>40.379055511111112</v>
      </c>
      <c r="AW34" s="740">
        <f t="shared" si="13"/>
        <v>40.379055511111112</v>
      </c>
      <c r="AX34" s="740" t="str">
        <f t="shared" si="14"/>
        <v/>
      </c>
      <c r="AY34" s="740" t="str">
        <f t="shared" si="15"/>
        <v/>
      </c>
      <c r="AZ34" s="740" t="str">
        <f t="shared" si="16"/>
        <v/>
      </c>
      <c r="BA34" s="740" t="str">
        <f t="shared" si="17"/>
        <v/>
      </c>
    </row>
    <row r="35" spans="1:53" s="46" customFormat="1" ht="18.75">
      <c r="A35" s="565">
        <v>17</v>
      </c>
      <c r="B35" s="737" t="s">
        <v>564</v>
      </c>
      <c r="C35" s="590">
        <f>D35+E35</f>
        <v>24775</v>
      </c>
      <c r="D35" s="590">
        <f>G35+N35</f>
        <v>24775</v>
      </c>
      <c r="E35" s="590">
        <f t="shared" si="23"/>
        <v>0</v>
      </c>
      <c r="F35" s="590">
        <f>G35+J35</f>
        <v>18840</v>
      </c>
      <c r="G35" s="591">
        <f>H35+I35</f>
        <v>18840</v>
      </c>
      <c r="H35" s="591">
        <v>18840</v>
      </c>
      <c r="I35" s="591"/>
      <c r="J35" s="591">
        <f t="shared" si="26"/>
        <v>0</v>
      </c>
      <c r="K35" s="591"/>
      <c r="L35" s="591"/>
      <c r="M35" s="591">
        <f t="shared" si="27"/>
        <v>5935</v>
      </c>
      <c r="N35" s="591">
        <f t="shared" si="28"/>
        <v>5935</v>
      </c>
      <c r="O35" s="591">
        <f>5935</f>
        <v>5935</v>
      </c>
      <c r="P35" s="591"/>
      <c r="Q35" s="591">
        <f t="shared" si="29"/>
        <v>0</v>
      </c>
      <c r="R35" s="591"/>
      <c r="S35" s="591"/>
      <c r="T35" s="591">
        <f t="shared" si="30"/>
        <v>26721.486433999999</v>
      </c>
      <c r="U35" s="591">
        <f t="shared" si="31"/>
        <v>26721.486433999999</v>
      </c>
      <c r="V35" s="591">
        <f>AA35+AH35</f>
        <v>0</v>
      </c>
      <c r="W35" s="591">
        <f t="shared" si="33"/>
        <v>21095.092433999998</v>
      </c>
      <c r="X35" s="591">
        <f t="shared" si="34"/>
        <v>21095.092433999998</v>
      </c>
      <c r="Y35" s="591">
        <f>1491.2407+19603.851734</f>
        <v>21095.092433999998</v>
      </c>
      <c r="Z35" s="591"/>
      <c r="AA35" s="591">
        <f t="shared" si="35"/>
        <v>0</v>
      </c>
      <c r="AB35" s="591"/>
      <c r="AC35" s="591"/>
      <c r="AD35" s="591">
        <f t="shared" si="38"/>
        <v>5626.3939999999993</v>
      </c>
      <c r="AE35" s="591">
        <f t="shared" si="36"/>
        <v>5626.3939999999993</v>
      </c>
      <c r="AF35" s="591">
        <f>898.3614+4728.0326</f>
        <v>5626.3939999999993</v>
      </c>
      <c r="AG35" s="591"/>
      <c r="AH35" s="591">
        <f t="shared" si="37"/>
        <v>0</v>
      </c>
      <c r="AI35" s="591"/>
      <c r="AJ35" s="591"/>
      <c r="AK35" s="740">
        <f t="shared" si="68"/>
        <v>107.85665563673057</v>
      </c>
      <c r="AL35" s="740">
        <f t="shared" si="68"/>
        <v>107.85665563673057</v>
      </c>
      <c r="AM35" s="740" t="str">
        <f t="shared" si="68"/>
        <v/>
      </c>
      <c r="AN35" s="740">
        <f t="shared" si="4"/>
        <v>111.96970506369425</v>
      </c>
      <c r="AO35" s="740">
        <f t="shared" si="5"/>
        <v>111.96970506369425</v>
      </c>
      <c r="AP35" s="740">
        <f t="shared" si="6"/>
        <v>111.96970506369425</v>
      </c>
      <c r="AQ35" s="740" t="str">
        <f t="shared" si="7"/>
        <v/>
      </c>
      <c r="AR35" s="740" t="str">
        <f t="shared" si="8"/>
        <v/>
      </c>
      <c r="AS35" s="740" t="str">
        <f t="shared" si="9"/>
        <v/>
      </c>
      <c r="AT35" s="740" t="str">
        <f t="shared" si="10"/>
        <v/>
      </c>
      <c r="AU35" s="740">
        <f t="shared" si="11"/>
        <v>94.800235888795271</v>
      </c>
      <c r="AV35" s="740">
        <f t="shared" si="12"/>
        <v>94.800235888795271</v>
      </c>
      <c r="AW35" s="740">
        <f t="shared" si="13"/>
        <v>94.800235888795271</v>
      </c>
      <c r="AX35" s="740" t="str">
        <f t="shared" si="14"/>
        <v/>
      </c>
      <c r="AY35" s="740" t="str">
        <f t="shared" si="15"/>
        <v/>
      </c>
      <c r="AZ35" s="740" t="str">
        <f t="shared" si="16"/>
        <v/>
      </c>
      <c r="BA35" s="740" t="str">
        <f t="shared" si="17"/>
        <v/>
      </c>
    </row>
    <row r="36" spans="1:53" s="46" customFormat="1" ht="18.75">
      <c r="A36" s="565">
        <v>18</v>
      </c>
      <c r="B36" s="736" t="s">
        <v>649</v>
      </c>
      <c r="C36" s="590">
        <f>D36+E36</f>
        <v>0</v>
      </c>
      <c r="D36" s="590">
        <f>G36+N36</f>
        <v>0</v>
      </c>
      <c r="E36" s="590">
        <f t="shared" si="23"/>
        <v>0</v>
      </c>
      <c r="F36" s="590">
        <f>G36+J36</f>
        <v>0</v>
      </c>
      <c r="G36" s="591">
        <f>H36+I36</f>
        <v>0</v>
      </c>
      <c r="H36" s="591"/>
      <c r="I36" s="591"/>
      <c r="J36" s="591">
        <f t="shared" si="26"/>
        <v>0</v>
      </c>
      <c r="K36" s="591"/>
      <c r="L36" s="591"/>
      <c r="M36" s="591">
        <f t="shared" si="27"/>
        <v>0</v>
      </c>
      <c r="N36" s="591">
        <f t="shared" si="28"/>
        <v>0</v>
      </c>
      <c r="O36" s="591"/>
      <c r="P36" s="591"/>
      <c r="Q36" s="591">
        <f t="shared" si="29"/>
        <v>0</v>
      </c>
      <c r="R36" s="591"/>
      <c r="S36" s="591"/>
      <c r="T36" s="591">
        <f>U36+V36</f>
        <v>2939.3914</v>
      </c>
      <c r="U36" s="591">
        <f>X36+AE36</f>
        <v>0</v>
      </c>
      <c r="V36" s="591">
        <f>AA36+AH36</f>
        <v>2939.3914</v>
      </c>
      <c r="W36" s="591">
        <f>X36+AA36</f>
        <v>2939.3914</v>
      </c>
      <c r="X36" s="591">
        <f>Y36+Z36</f>
        <v>0</v>
      </c>
      <c r="Y36" s="591"/>
      <c r="Z36" s="591"/>
      <c r="AA36" s="591">
        <f t="shared" si="35"/>
        <v>2939.3914</v>
      </c>
      <c r="AB36" s="591">
        <v>2939.3914</v>
      </c>
      <c r="AC36" s="591"/>
      <c r="AD36" s="591">
        <f>AE36+AH36</f>
        <v>0</v>
      </c>
      <c r="AE36" s="591">
        <f>AF36+AG36</f>
        <v>0</v>
      </c>
      <c r="AF36" s="591"/>
      <c r="AG36" s="591"/>
      <c r="AH36" s="591">
        <f t="shared" si="37"/>
        <v>0</v>
      </c>
      <c r="AI36" s="591"/>
      <c r="AJ36" s="591"/>
      <c r="AK36" s="740" t="str">
        <f t="shared" si="68"/>
        <v/>
      </c>
      <c r="AL36" s="740" t="str">
        <f t="shared" si="68"/>
        <v/>
      </c>
      <c r="AM36" s="740" t="str">
        <f t="shared" si="68"/>
        <v/>
      </c>
      <c r="AN36" s="740" t="str">
        <f t="shared" si="4"/>
        <v/>
      </c>
      <c r="AO36" s="740" t="str">
        <f t="shared" si="5"/>
        <v/>
      </c>
      <c r="AP36" s="740" t="str">
        <f t="shared" si="6"/>
        <v/>
      </c>
      <c r="AQ36" s="740" t="str">
        <f t="shared" si="7"/>
        <v/>
      </c>
      <c r="AR36" s="739" t="str">
        <f t="shared" si="8"/>
        <v/>
      </c>
      <c r="AS36" s="740" t="str">
        <f t="shared" si="9"/>
        <v/>
      </c>
      <c r="AT36" s="740" t="str">
        <f t="shared" si="10"/>
        <v/>
      </c>
      <c r="AU36" s="740" t="str">
        <f t="shared" si="11"/>
        <v/>
      </c>
      <c r="AV36" s="740" t="str">
        <f t="shared" si="12"/>
        <v/>
      </c>
      <c r="AW36" s="740" t="str">
        <f t="shared" si="13"/>
        <v/>
      </c>
      <c r="AX36" s="740" t="str">
        <f t="shared" si="14"/>
        <v/>
      </c>
      <c r="AY36" s="740" t="str">
        <f t="shared" si="15"/>
        <v/>
      </c>
      <c r="AZ36" s="740" t="str">
        <f t="shared" si="16"/>
        <v/>
      </c>
      <c r="BA36" s="740" t="str">
        <f t="shared" si="17"/>
        <v/>
      </c>
    </row>
    <row r="37" spans="1:53" s="664" customFormat="1" ht="18.75">
      <c r="A37" s="659" t="s">
        <v>33</v>
      </c>
      <c r="B37" s="660" t="s">
        <v>319</v>
      </c>
      <c r="C37" s="590">
        <f>SUM(C38:C46)</f>
        <v>31879</v>
      </c>
      <c r="D37" s="590">
        <f t="shared" ref="D37:AJ37" si="69">SUM(D38:D46)</f>
        <v>0</v>
      </c>
      <c r="E37" s="590">
        <f t="shared" si="69"/>
        <v>31879</v>
      </c>
      <c r="F37" s="590">
        <f t="shared" si="69"/>
        <v>19320</v>
      </c>
      <c r="G37" s="590">
        <f t="shared" si="69"/>
        <v>0</v>
      </c>
      <c r="H37" s="590">
        <f t="shared" si="69"/>
        <v>0</v>
      </c>
      <c r="I37" s="590">
        <f t="shared" si="69"/>
        <v>0</v>
      </c>
      <c r="J37" s="590">
        <f t="shared" si="69"/>
        <v>19320</v>
      </c>
      <c r="K37" s="590">
        <f t="shared" si="69"/>
        <v>19320</v>
      </c>
      <c r="L37" s="590">
        <f t="shared" si="69"/>
        <v>0</v>
      </c>
      <c r="M37" s="590">
        <f t="shared" si="69"/>
        <v>12559</v>
      </c>
      <c r="N37" s="590">
        <f t="shared" si="69"/>
        <v>0</v>
      </c>
      <c r="O37" s="590">
        <f t="shared" si="69"/>
        <v>0</v>
      </c>
      <c r="P37" s="590">
        <f t="shared" si="69"/>
        <v>0</v>
      </c>
      <c r="Q37" s="590">
        <f t="shared" si="69"/>
        <v>12559</v>
      </c>
      <c r="R37" s="590">
        <f t="shared" si="69"/>
        <v>12559</v>
      </c>
      <c r="S37" s="590">
        <f t="shared" si="69"/>
        <v>0</v>
      </c>
      <c r="T37" s="590">
        <f t="shared" si="69"/>
        <v>30940.008637000003</v>
      </c>
      <c r="U37" s="590">
        <f t="shared" si="69"/>
        <v>0</v>
      </c>
      <c r="V37" s="590">
        <f t="shared" si="69"/>
        <v>30940.008637000003</v>
      </c>
      <c r="W37" s="590">
        <f t="shared" si="69"/>
        <v>16487.151461000001</v>
      </c>
      <c r="X37" s="590">
        <f t="shared" si="69"/>
        <v>0</v>
      </c>
      <c r="Y37" s="590">
        <f t="shared" si="69"/>
        <v>0</v>
      </c>
      <c r="Z37" s="590">
        <f t="shared" si="69"/>
        <v>0</v>
      </c>
      <c r="AA37" s="590">
        <f t="shared" si="69"/>
        <v>16487.151461000001</v>
      </c>
      <c r="AB37" s="590">
        <f t="shared" si="69"/>
        <v>16487.151461000001</v>
      </c>
      <c r="AC37" s="590">
        <f t="shared" si="69"/>
        <v>0</v>
      </c>
      <c r="AD37" s="590">
        <f t="shared" si="69"/>
        <v>14452.857176</v>
      </c>
      <c r="AE37" s="590">
        <f t="shared" si="69"/>
        <v>0</v>
      </c>
      <c r="AF37" s="590">
        <f t="shared" si="69"/>
        <v>0</v>
      </c>
      <c r="AG37" s="590">
        <f t="shared" si="69"/>
        <v>0</v>
      </c>
      <c r="AH37" s="590">
        <f t="shared" si="69"/>
        <v>14452.857176</v>
      </c>
      <c r="AI37" s="590">
        <f t="shared" si="69"/>
        <v>14452.857176</v>
      </c>
      <c r="AJ37" s="590">
        <f t="shared" si="69"/>
        <v>0</v>
      </c>
      <c r="AK37" s="739">
        <f t="shared" si="68"/>
        <v>97.054514373098286</v>
      </c>
      <c r="AL37" s="739" t="str">
        <f t="shared" si="68"/>
        <v/>
      </c>
      <c r="AM37" s="739">
        <f t="shared" si="68"/>
        <v>97.054514373098286</v>
      </c>
      <c r="AN37" s="739">
        <f t="shared" si="4"/>
        <v>85.33722288302279</v>
      </c>
      <c r="AO37" s="739" t="str">
        <f t="shared" si="5"/>
        <v/>
      </c>
      <c r="AP37" s="739" t="str">
        <f t="shared" si="6"/>
        <v/>
      </c>
      <c r="AQ37" s="739" t="str">
        <f t="shared" si="7"/>
        <v/>
      </c>
      <c r="AR37" s="739">
        <f t="shared" si="8"/>
        <v>85.33722288302279</v>
      </c>
      <c r="AS37" s="739">
        <f t="shared" si="9"/>
        <v>85.33722288302279</v>
      </c>
      <c r="AT37" s="739" t="str">
        <f t="shared" si="10"/>
        <v/>
      </c>
      <c r="AU37" s="739">
        <f t="shared" si="11"/>
        <v>115.07968131220638</v>
      </c>
      <c r="AV37" s="739" t="str">
        <f t="shared" si="12"/>
        <v/>
      </c>
      <c r="AW37" s="739" t="str">
        <f t="shared" si="13"/>
        <v/>
      </c>
      <c r="AX37" s="739" t="str">
        <f t="shared" si="14"/>
        <v/>
      </c>
      <c r="AY37" s="739">
        <f t="shared" si="15"/>
        <v>115.07968131220638</v>
      </c>
      <c r="AZ37" s="739">
        <f t="shared" si="16"/>
        <v>115.07968131220638</v>
      </c>
      <c r="BA37" s="739" t="str">
        <f t="shared" si="17"/>
        <v/>
      </c>
    </row>
    <row r="38" spans="1:53" s="46" customFormat="1" ht="18.75">
      <c r="A38" s="565">
        <v>1</v>
      </c>
      <c r="B38" s="661" t="s">
        <v>556</v>
      </c>
      <c r="C38" s="590">
        <f t="shared" ref="C38:C46" si="70">D38+E38</f>
        <v>2230</v>
      </c>
      <c r="D38" s="590">
        <f t="shared" ref="D38:D46" si="71">G38+N38</f>
        <v>0</v>
      </c>
      <c r="E38" s="590">
        <f t="shared" ref="E38:E46" si="72">J38+Q38</f>
        <v>2230</v>
      </c>
      <c r="F38" s="590">
        <f t="shared" ref="F38:F46" si="73">G38+J38</f>
        <v>2190</v>
      </c>
      <c r="G38" s="591">
        <f t="shared" ref="G38:G46" si="74">H38+I38</f>
        <v>0</v>
      </c>
      <c r="H38" s="591"/>
      <c r="I38" s="591"/>
      <c r="J38" s="591">
        <f t="shared" ref="J38:J46" si="75">K38+L38</f>
        <v>2190</v>
      </c>
      <c r="K38" s="731">
        <f>200+800+750+160+280</f>
        <v>2190</v>
      </c>
      <c r="L38" s="591"/>
      <c r="M38" s="591">
        <f t="shared" ref="M38:M46" si="76">N38+Q38</f>
        <v>40</v>
      </c>
      <c r="N38" s="591">
        <f t="shared" ref="N38:N46" si="77">O38+P38</f>
        <v>0</v>
      </c>
      <c r="O38" s="591"/>
      <c r="P38" s="591"/>
      <c r="Q38" s="591">
        <f t="shared" ref="Q38:Q46" si="78">R38+S38</f>
        <v>40</v>
      </c>
      <c r="R38" s="731">
        <f>40</f>
        <v>40</v>
      </c>
      <c r="S38" s="591"/>
      <c r="T38" s="591">
        <f t="shared" ref="T38:T46" si="79">U38+V38</f>
        <v>1545.7563010000001</v>
      </c>
      <c r="U38" s="591">
        <f t="shared" ref="U38:U46" si="80">X38+AE38</f>
        <v>0</v>
      </c>
      <c r="V38" s="591">
        <f t="shared" ref="V38:V46" si="81">AA38+AH38</f>
        <v>1545.7563010000001</v>
      </c>
      <c r="W38" s="591">
        <f t="shared" ref="W38:W46" si="82">X38+AA38</f>
        <v>1505.7563010000001</v>
      </c>
      <c r="X38" s="591">
        <f t="shared" ref="X38:X46" si="83">Y38+Z38</f>
        <v>0</v>
      </c>
      <c r="Y38" s="591"/>
      <c r="Z38" s="591"/>
      <c r="AA38" s="591">
        <f t="shared" ref="AA38:AA46" si="84">AB38+AC38</f>
        <v>1505.7563010000001</v>
      </c>
      <c r="AB38" s="591">
        <f>1502.844301+2.912</f>
        <v>1505.7563010000001</v>
      </c>
      <c r="AC38" s="591"/>
      <c r="AD38" s="591">
        <f t="shared" ref="AD38:AD46" si="85">AE38+AH38</f>
        <v>40</v>
      </c>
      <c r="AE38" s="591">
        <f t="shared" ref="AE38:AE46" si="86">AF38+AG38</f>
        <v>0</v>
      </c>
      <c r="AF38" s="591"/>
      <c r="AG38" s="591"/>
      <c r="AH38" s="591">
        <f t="shared" ref="AH38:AH46" si="87">AI38+AJ38</f>
        <v>40</v>
      </c>
      <c r="AI38" s="591">
        <f>40</f>
        <v>40</v>
      </c>
      <c r="AJ38" s="591"/>
      <c r="AK38" s="740">
        <f t="shared" si="68"/>
        <v>69.316426053811668</v>
      </c>
      <c r="AL38" s="740" t="str">
        <f t="shared" si="68"/>
        <v/>
      </c>
      <c r="AM38" s="740">
        <f t="shared" si="68"/>
        <v>69.316426053811668</v>
      </c>
      <c r="AN38" s="740">
        <f t="shared" si="4"/>
        <v>68.755995479452068</v>
      </c>
      <c r="AO38" s="740" t="str">
        <f t="shared" si="5"/>
        <v/>
      </c>
      <c r="AP38" s="740" t="str">
        <f t="shared" si="6"/>
        <v/>
      </c>
      <c r="AQ38" s="740" t="str">
        <f t="shared" si="7"/>
        <v/>
      </c>
      <c r="AR38" s="740">
        <f t="shared" si="8"/>
        <v>68.755995479452068</v>
      </c>
      <c r="AS38" s="740">
        <f t="shared" si="9"/>
        <v>68.755995479452068</v>
      </c>
      <c r="AT38" s="740" t="str">
        <f t="shared" si="10"/>
        <v/>
      </c>
      <c r="AU38" s="740">
        <f t="shared" si="11"/>
        <v>100</v>
      </c>
      <c r="AV38" s="740" t="str">
        <f t="shared" si="12"/>
        <v/>
      </c>
      <c r="AW38" s="740" t="str">
        <f t="shared" si="13"/>
        <v/>
      </c>
      <c r="AX38" s="740" t="str">
        <f t="shared" si="14"/>
        <v/>
      </c>
      <c r="AY38" s="740">
        <f t="shared" si="15"/>
        <v>100</v>
      </c>
      <c r="AZ38" s="740">
        <f t="shared" si="16"/>
        <v>100</v>
      </c>
      <c r="BA38" s="740" t="str">
        <f t="shared" si="17"/>
        <v/>
      </c>
    </row>
    <row r="39" spans="1:53" s="46" customFormat="1" ht="18.75">
      <c r="A39" s="565">
        <f>A38+1</f>
        <v>2</v>
      </c>
      <c r="B39" s="661" t="s">
        <v>557</v>
      </c>
      <c r="C39" s="590">
        <f t="shared" si="70"/>
        <v>2946</v>
      </c>
      <c r="D39" s="590">
        <f t="shared" si="71"/>
        <v>0</v>
      </c>
      <c r="E39" s="590">
        <f t="shared" si="72"/>
        <v>2946</v>
      </c>
      <c r="F39" s="590">
        <f t="shared" si="73"/>
        <v>2410</v>
      </c>
      <c r="G39" s="591">
        <f t="shared" si="74"/>
        <v>0</v>
      </c>
      <c r="H39" s="591"/>
      <c r="I39" s="591"/>
      <c r="J39" s="591">
        <f t="shared" si="75"/>
        <v>2410</v>
      </c>
      <c r="K39" s="731">
        <f>600+800+250+260+500</f>
        <v>2410</v>
      </c>
      <c r="L39" s="591"/>
      <c r="M39" s="591">
        <f t="shared" si="76"/>
        <v>536</v>
      </c>
      <c r="N39" s="591">
        <f t="shared" si="77"/>
        <v>0</v>
      </c>
      <c r="O39" s="591"/>
      <c r="P39" s="591"/>
      <c r="Q39" s="591">
        <f t="shared" si="78"/>
        <v>536</v>
      </c>
      <c r="R39" s="731">
        <f>(61+115+170+90+100)</f>
        <v>536</v>
      </c>
      <c r="S39" s="591"/>
      <c r="T39" s="591">
        <f t="shared" si="79"/>
        <v>2161.6422000000002</v>
      </c>
      <c r="U39" s="591">
        <f t="shared" si="80"/>
        <v>0</v>
      </c>
      <c r="V39" s="591">
        <f t="shared" si="81"/>
        <v>2161.6422000000002</v>
      </c>
      <c r="W39" s="591">
        <f t="shared" si="82"/>
        <v>1632.3422</v>
      </c>
      <c r="X39" s="591">
        <f t="shared" si="83"/>
        <v>0</v>
      </c>
      <c r="Y39" s="591"/>
      <c r="Z39" s="591"/>
      <c r="AA39" s="591">
        <f t="shared" si="84"/>
        <v>1632.3422</v>
      </c>
      <c r="AB39" s="591">
        <v>1632.3422</v>
      </c>
      <c r="AC39" s="591"/>
      <c r="AD39" s="591">
        <f t="shared" si="85"/>
        <v>529.29999999999995</v>
      </c>
      <c r="AE39" s="591">
        <f t="shared" si="86"/>
        <v>0</v>
      </c>
      <c r="AF39" s="591"/>
      <c r="AG39" s="591"/>
      <c r="AH39" s="591">
        <f t="shared" si="87"/>
        <v>529.29999999999995</v>
      </c>
      <c r="AI39" s="591">
        <v>529.29999999999995</v>
      </c>
      <c r="AJ39" s="591"/>
      <c r="AK39" s="740">
        <f t="shared" ref="AK39:AK46" si="88">IF(AND(T39&lt;&gt;0,C39&lt;&gt;0),T39/C39%,"")</f>
        <v>73.375498981670063</v>
      </c>
      <c r="AL39" s="740" t="str">
        <f t="shared" ref="AL39:AL46" si="89">IF(AND(U39&lt;&gt;0,D39&lt;&gt;0),U39/D39%,"")</f>
        <v/>
      </c>
      <c r="AM39" s="740">
        <f t="shared" ref="AM39:AM46" si="90">IF(AND(V39&lt;&gt;0,E39&lt;&gt;0),V39/E39%,"")</f>
        <v>73.375498981670063</v>
      </c>
      <c r="AN39" s="740">
        <f t="shared" si="4"/>
        <v>67.732041493775938</v>
      </c>
      <c r="AO39" s="740" t="str">
        <f t="shared" si="5"/>
        <v/>
      </c>
      <c r="AP39" s="740" t="str">
        <f t="shared" si="6"/>
        <v/>
      </c>
      <c r="AQ39" s="740" t="str">
        <f t="shared" si="7"/>
        <v/>
      </c>
      <c r="AR39" s="740">
        <f t="shared" si="8"/>
        <v>67.732041493775938</v>
      </c>
      <c r="AS39" s="740">
        <f t="shared" si="9"/>
        <v>67.732041493775938</v>
      </c>
      <c r="AT39" s="740" t="str">
        <f t="shared" si="10"/>
        <v/>
      </c>
      <c r="AU39" s="740">
        <f t="shared" si="11"/>
        <v>98.749999999999986</v>
      </c>
      <c r="AV39" s="740" t="str">
        <f t="shared" si="12"/>
        <v/>
      </c>
      <c r="AW39" s="740" t="str">
        <f t="shared" si="13"/>
        <v/>
      </c>
      <c r="AX39" s="740" t="str">
        <f t="shared" si="14"/>
        <v/>
      </c>
      <c r="AY39" s="740">
        <f t="shared" si="15"/>
        <v>98.749999999999986</v>
      </c>
      <c r="AZ39" s="740">
        <f t="shared" si="16"/>
        <v>98.749999999999986</v>
      </c>
      <c r="BA39" s="740" t="str">
        <f t="shared" si="17"/>
        <v/>
      </c>
    </row>
    <row r="40" spans="1:53" s="46" customFormat="1" ht="18.75">
      <c r="A40" s="565">
        <f t="shared" ref="A40:A46" si="91">A39+1</f>
        <v>3</v>
      </c>
      <c r="B40" s="661" t="s">
        <v>558</v>
      </c>
      <c r="C40" s="590">
        <f t="shared" si="70"/>
        <v>3217</v>
      </c>
      <c r="D40" s="590">
        <f t="shared" si="71"/>
        <v>0</v>
      </c>
      <c r="E40" s="590">
        <f t="shared" si="72"/>
        <v>3217</v>
      </c>
      <c r="F40" s="590">
        <f t="shared" si="73"/>
        <v>2110</v>
      </c>
      <c r="G40" s="591">
        <f t="shared" si="74"/>
        <v>0</v>
      </c>
      <c r="H40" s="591"/>
      <c r="I40" s="591"/>
      <c r="J40" s="591">
        <f t="shared" si="75"/>
        <v>2110</v>
      </c>
      <c r="K40" s="731">
        <f>270+800+250+270+520</f>
        <v>2110</v>
      </c>
      <c r="L40" s="591"/>
      <c r="M40" s="591">
        <f t="shared" si="76"/>
        <v>1107</v>
      </c>
      <c r="N40" s="591">
        <f t="shared" si="77"/>
        <v>0</v>
      </c>
      <c r="O40" s="591"/>
      <c r="P40" s="591"/>
      <c r="Q40" s="591">
        <f t="shared" si="78"/>
        <v>1107</v>
      </c>
      <c r="R40" s="731">
        <f>(120+227+340+190+230)</f>
        <v>1107</v>
      </c>
      <c r="S40" s="591"/>
      <c r="T40" s="591">
        <f t="shared" si="79"/>
        <v>3239.9577090000002</v>
      </c>
      <c r="U40" s="591">
        <f t="shared" si="80"/>
        <v>0</v>
      </c>
      <c r="V40" s="591">
        <f t="shared" si="81"/>
        <v>3239.9577090000002</v>
      </c>
      <c r="W40" s="591">
        <f t="shared" si="82"/>
        <v>2153.6645870000002</v>
      </c>
      <c r="X40" s="591">
        <f t="shared" si="83"/>
        <v>0</v>
      </c>
      <c r="Y40" s="591"/>
      <c r="Z40" s="591"/>
      <c r="AA40" s="591">
        <f t="shared" si="84"/>
        <v>2153.6645870000002</v>
      </c>
      <c r="AB40" s="591">
        <v>2153.6645870000002</v>
      </c>
      <c r="AC40" s="591"/>
      <c r="AD40" s="591">
        <f t="shared" si="85"/>
        <v>1086.293122</v>
      </c>
      <c r="AE40" s="591">
        <f t="shared" si="86"/>
        <v>0</v>
      </c>
      <c r="AF40" s="591"/>
      <c r="AG40" s="591"/>
      <c r="AH40" s="591">
        <f t="shared" si="87"/>
        <v>1086.293122</v>
      </c>
      <c r="AI40" s="591">
        <v>1086.293122</v>
      </c>
      <c r="AJ40" s="591"/>
      <c r="AK40" s="740">
        <f t="shared" si="88"/>
        <v>100.71363720857943</v>
      </c>
      <c r="AL40" s="740" t="str">
        <f t="shared" si="89"/>
        <v/>
      </c>
      <c r="AM40" s="740">
        <f t="shared" si="90"/>
        <v>100.71363720857943</v>
      </c>
      <c r="AN40" s="740">
        <f t="shared" si="4"/>
        <v>102.06941170616113</v>
      </c>
      <c r="AO40" s="740" t="str">
        <f t="shared" si="5"/>
        <v/>
      </c>
      <c r="AP40" s="740" t="str">
        <f t="shared" si="6"/>
        <v/>
      </c>
      <c r="AQ40" s="740" t="str">
        <f t="shared" si="7"/>
        <v/>
      </c>
      <c r="AR40" s="740">
        <f t="shared" si="8"/>
        <v>102.06941170616113</v>
      </c>
      <c r="AS40" s="740">
        <f t="shared" si="9"/>
        <v>102.06941170616113</v>
      </c>
      <c r="AT40" s="740" t="str">
        <f t="shared" si="10"/>
        <v/>
      </c>
      <c r="AU40" s="740">
        <f t="shared" si="11"/>
        <v>98.129459981933152</v>
      </c>
      <c r="AV40" s="740" t="str">
        <f t="shared" si="12"/>
        <v/>
      </c>
      <c r="AW40" s="740" t="str">
        <f t="shared" si="13"/>
        <v/>
      </c>
      <c r="AX40" s="740" t="str">
        <f t="shared" si="14"/>
        <v/>
      </c>
      <c r="AY40" s="740">
        <f t="shared" si="15"/>
        <v>98.129459981933152</v>
      </c>
      <c r="AZ40" s="740">
        <f t="shared" si="16"/>
        <v>98.129459981933152</v>
      </c>
      <c r="BA40" s="740" t="str">
        <f t="shared" si="17"/>
        <v/>
      </c>
    </row>
    <row r="41" spans="1:53" s="46" customFormat="1" ht="18.75">
      <c r="A41" s="565">
        <f t="shared" si="91"/>
        <v>4</v>
      </c>
      <c r="B41" s="661" t="s">
        <v>559</v>
      </c>
      <c r="C41" s="590">
        <f t="shared" si="70"/>
        <v>3111</v>
      </c>
      <c r="D41" s="590">
        <f t="shared" si="71"/>
        <v>0</v>
      </c>
      <c r="E41" s="590">
        <f t="shared" si="72"/>
        <v>3111</v>
      </c>
      <c r="F41" s="590">
        <f t="shared" si="73"/>
        <v>1860</v>
      </c>
      <c r="G41" s="591">
        <f t="shared" si="74"/>
        <v>0</v>
      </c>
      <c r="H41" s="591"/>
      <c r="I41" s="591"/>
      <c r="J41" s="591">
        <f t="shared" si="75"/>
        <v>1860</v>
      </c>
      <c r="K41" s="731">
        <f>200+800+250+210+400</f>
        <v>1860</v>
      </c>
      <c r="L41" s="591"/>
      <c r="M41" s="591">
        <f t="shared" si="76"/>
        <v>1251</v>
      </c>
      <c r="N41" s="591">
        <f t="shared" si="77"/>
        <v>0</v>
      </c>
      <c r="O41" s="591"/>
      <c r="P41" s="591"/>
      <c r="Q41" s="591">
        <f t="shared" si="78"/>
        <v>1251</v>
      </c>
      <c r="R41" s="731">
        <f>(181+340+510+120+100)</f>
        <v>1251</v>
      </c>
      <c r="S41" s="591"/>
      <c r="T41" s="591">
        <f t="shared" si="79"/>
        <v>2136.2374680000003</v>
      </c>
      <c r="U41" s="591">
        <f t="shared" si="80"/>
        <v>0</v>
      </c>
      <c r="V41" s="591">
        <f t="shared" si="81"/>
        <v>2136.2374680000003</v>
      </c>
      <c r="W41" s="591">
        <f t="shared" si="82"/>
        <v>885.25746800000002</v>
      </c>
      <c r="X41" s="591">
        <f t="shared" si="83"/>
        <v>0</v>
      </c>
      <c r="Y41" s="591"/>
      <c r="Z41" s="591"/>
      <c r="AA41" s="591">
        <f t="shared" si="84"/>
        <v>885.25746800000002</v>
      </c>
      <c r="AB41" s="591">
        <v>885.25746800000002</v>
      </c>
      <c r="AC41" s="591"/>
      <c r="AD41" s="591">
        <f t="shared" si="85"/>
        <v>1250.98</v>
      </c>
      <c r="AE41" s="591">
        <f t="shared" si="86"/>
        <v>0</v>
      </c>
      <c r="AF41" s="591"/>
      <c r="AG41" s="591"/>
      <c r="AH41" s="591">
        <f t="shared" si="87"/>
        <v>1250.98</v>
      </c>
      <c r="AI41" s="591">
        <v>1250.98</v>
      </c>
      <c r="AJ41" s="591"/>
      <c r="AK41" s="740">
        <f t="shared" si="88"/>
        <v>68.667228158148518</v>
      </c>
      <c r="AL41" s="740" t="str">
        <f t="shared" si="89"/>
        <v/>
      </c>
      <c r="AM41" s="740">
        <f t="shared" si="90"/>
        <v>68.667228158148518</v>
      </c>
      <c r="AN41" s="740">
        <f t="shared" si="4"/>
        <v>47.594487526881714</v>
      </c>
      <c r="AO41" s="740" t="str">
        <f t="shared" si="5"/>
        <v/>
      </c>
      <c r="AP41" s="740" t="str">
        <f t="shared" si="6"/>
        <v/>
      </c>
      <c r="AQ41" s="740" t="str">
        <f t="shared" si="7"/>
        <v/>
      </c>
      <c r="AR41" s="740">
        <f t="shared" si="8"/>
        <v>47.594487526881714</v>
      </c>
      <c r="AS41" s="740">
        <f t="shared" si="9"/>
        <v>47.594487526881714</v>
      </c>
      <c r="AT41" s="740" t="str">
        <f t="shared" si="10"/>
        <v/>
      </c>
      <c r="AU41" s="740">
        <f t="shared" si="11"/>
        <v>99.998401278976829</v>
      </c>
      <c r="AV41" s="740" t="str">
        <f t="shared" si="12"/>
        <v/>
      </c>
      <c r="AW41" s="740" t="str">
        <f t="shared" si="13"/>
        <v/>
      </c>
      <c r="AX41" s="740" t="str">
        <f t="shared" si="14"/>
        <v/>
      </c>
      <c r="AY41" s="740">
        <f t="shared" si="15"/>
        <v>99.998401278976829</v>
      </c>
      <c r="AZ41" s="740">
        <f t="shared" si="16"/>
        <v>99.998401278976829</v>
      </c>
      <c r="BA41" s="740" t="str">
        <f t="shared" si="17"/>
        <v/>
      </c>
    </row>
    <row r="42" spans="1:53" s="46" customFormat="1" ht="18.75">
      <c r="A42" s="565">
        <f t="shared" si="91"/>
        <v>5</v>
      </c>
      <c r="B42" s="661" t="s">
        <v>560</v>
      </c>
      <c r="C42" s="590">
        <f t="shared" si="70"/>
        <v>2010</v>
      </c>
      <c r="D42" s="590">
        <f t="shared" si="71"/>
        <v>0</v>
      </c>
      <c r="E42" s="590">
        <f t="shared" si="72"/>
        <v>2010</v>
      </c>
      <c r="F42" s="590">
        <f t="shared" si="73"/>
        <v>1820</v>
      </c>
      <c r="G42" s="591">
        <f t="shared" si="74"/>
        <v>0</v>
      </c>
      <c r="H42" s="591"/>
      <c r="I42" s="591"/>
      <c r="J42" s="591">
        <f t="shared" si="75"/>
        <v>1820</v>
      </c>
      <c r="K42" s="731">
        <f>250+800+250+180+340</f>
        <v>1820</v>
      </c>
      <c r="L42" s="591"/>
      <c r="M42" s="591">
        <f t="shared" si="76"/>
        <v>190</v>
      </c>
      <c r="N42" s="591">
        <f t="shared" si="77"/>
        <v>0</v>
      </c>
      <c r="O42" s="591"/>
      <c r="P42" s="591"/>
      <c r="Q42" s="591">
        <f t="shared" si="78"/>
        <v>190</v>
      </c>
      <c r="R42" s="731">
        <f>(90+100)</f>
        <v>190</v>
      </c>
      <c r="S42" s="591"/>
      <c r="T42" s="591">
        <f t="shared" si="79"/>
        <v>1949.7322429999999</v>
      </c>
      <c r="U42" s="591">
        <f t="shared" si="80"/>
        <v>0</v>
      </c>
      <c r="V42" s="591">
        <f t="shared" si="81"/>
        <v>1949.7322429999999</v>
      </c>
      <c r="W42" s="591">
        <f t="shared" si="82"/>
        <v>1759.7322429999999</v>
      </c>
      <c r="X42" s="591">
        <f t="shared" si="83"/>
        <v>0</v>
      </c>
      <c r="Y42" s="591"/>
      <c r="Z42" s="591"/>
      <c r="AA42" s="591">
        <f t="shared" si="84"/>
        <v>1759.7322429999999</v>
      </c>
      <c r="AB42" s="591">
        <v>1759.7322429999999</v>
      </c>
      <c r="AC42" s="591"/>
      <c r="AD42" s="591">
        <f t="shared" si="85"/>
        <v>190</v>
      </c>
      <c r="AE42" s="591">
        <f t="shared" si="86"/>
        <v>0</v>
      </c>
      <c r="AF42" s="591"/>
      <c r="AG42" s="591"/>
      <c r="AH42" s="591">
        <f t="shared" si="87"/>
        <v>190</v>
      </c>
      <c r="AI42" s="591">
        <v>190</v>
      </c>
      <c r="AJ42" s="591"/>
      <c r="AK42" s="740">
        <f t="shared" si="88"/>
        <v>97.001604129353225</v>
      </c>
      <c r="AL42" s="740" t="str">
        <f t="shared" si="89"/>
        <v/>
      </c>
      <c r="AM42" s="740">
        <f t="shared" si="90"/>
        <v>97.001604129353225</v>
      </c>
      <c r="AN42" s="740">
        <f t="shared" si="4"/>
        <v>96.688584780219784</v>
      </c>
      <c r="AO42" s="740" t="str">
        <f t="shared" si="5"/>
        <v/>
      </c>
      <c r="AP42" s="740" t="str">
        <f t="shared" si="6"/>
        <v/>
      </c>
      <c r="AQ42" s="740" t="str">
        <f t="shared" si="7"/>
        <v/>
      </c>
      <c r="AR42" s="740">
        <f t="shared" si="8"/>
        <v>96.688584780219784</v>
      </c>
      <c r="AS42" s="740">
        <f t="shared" si="9"/>
        <v>96.688584780219784</v>
      </c>
      <c r="AT42" s="740" t="str">
        <f t="shared" si="10"/>
        <v/>
      </c>
      <c r="AU42" s="740">
        <f t="shared" si="11"/>
        <v>100</v>
      </c>
      <c r="AV42" s="740" t="str">
        <f t="shared" si="12"/>
        <v/>
      </c>
      <c r="AW42" s="740" t="str">
        <f t="shared" si="13"/>
        <v/>
      </c>
      <c r="AX42" s="740" t="str">
        <f t="shared" si="14"/>
        <v/>
      </c>
      <c r="AY42" s="740">
        <f t="shared" si="15"/>
        <v>100</v>
      </c>
      <c r="AZ42" s="740">
        <f t="shared" si="16"/>
        <v>100</v>
      </c>
      <c r="BA42" s="740" t="str">
        <f t="shared" si="17"/>
        <v/>
      </c>
    </row>
    <row r="43" spans="1:53" s="46" customFormat="1" ht="18.75">
      <c r="A43" s="565">
        <f t="shared" si="91"/>
        <v>6</v>
      </c>
      <c r="B43" s="566" t="s">
        <v>561</v>
      </c>
      <c r="C43" s="590">
        <f t="shared" si="70"/>
        <v>2206</v>
      </c>
      <c r="D43" s="590">
        <f t="shared" si="71"/>
        <v>0</v>
      </c>
      <c r="E43" s="590">
        <f t="shared" si="72"/>
        <v>2206</v>
      </c>
      <c r="F43" s="590">
        <f t="shared" si="73"/>
        <v>2020</v>
      </c>
      <c r="G43" s="591">
        <f t="shared" si="74"/>
        <v>0</v>
      </c>
      <c r="H43" s="591"/>
      <c r="I43" s="591"/>
      <c r="J43" s="591">
        <f t="shared" si="75"/>
        <v>2020</v>
      </c>
      <c r="K43" s="731">
        <f>240+800+500+170+310</f>
        <v>2020</v>
      </c>
      <c r="L43" s="591"/>
      <c r="M43" s="591">
        <f t="shared" si="76"/>
        <v>186</v>
      </c>
      <c r="N43" s="591">
        <f t="shared" si="77"/>
        <v>0</v>
      </c>
      <c r="O43" s="591"/>
      <c r="P43" s="591"/>
      <c r="Q43" s="591">
        <f t="shared" si="78"/>
        <v>186</v>
      </c>
      <c r="R43" s="731">
        <f>(86+100)</f>
        <v>186</v>
      </c>
      <c r="S43" s="591"/>
      <c r="T43" s="591">
        <f t="shared" si="79"/>
        <v>2124.8024999999998</v>
      </c>
      <c r="U43" s="591">
        <f t="shared" si="80"/>
        <v>0</v>
      </c>
      <c r="V43" s="591">
        <f t="shared" si="81"/>
        <v>2124.8024999999998</v>
      </c>
      <c r="W43" s="591">
        <f t="shared" si="82"/>
        <v>1943.1524999999999</v>
      </c>
      <c r="X43" s="591">
        <f t="shared" si="83"/>
        <v>0</v>
      </c>
      <c r="Y43" s="591"/>
      <c r="Z43" s="591"/>
      <c r="AA43" s="591">
        <f t="shared" si="84"/>
        <v>1943.1524999999999</v>
      </c>
      <c r="AB43" s="591">
        <v>1943.1524999999999</v>
      </c>
      <c r="AC43" s="591"/>
      <c r="AD43" s="591">
        <f t="shared" si="85"/>
        <v>181.65</v>
      </c>
      <c r="AE43" s="591">
        <f t="shared" si="86"/>
        <v>0</v>
      </c>
      <c r="AF43" s="591"/>
      <c r="AG43" s="591"/>
      <c r="AH43" s="591">
        <f t="shared" si="87"/>
        <v>181.65</v>
      </c>
      <c r="AI43" s="591">
        <v>181.65</v>
      </c>
      <c r="AJ43" s="591"/>
      <c r="AK43" s="740">
        <f t="shared" si="88"/>
        <v>96.319242973708072</v>
      </c>
      <c r="AL43" s="740" t="str">
        <f t="shared" si="89"/>
        <v/>
      </c>
      <c r="AM43" s="740">
        <f t="shared" si="90"/>
        <v>96.319242973708072</v>
      </c>
      <c r="AN43" s="740">
        <f t="shared" si="4"/>
        <v>96.195668316831686</v>
      </c>
      <c r="AO43" s="740" t="str">
        <f t="shared" si="5"/>
        <v/>
      </c>
      <c r="AP43" s="740" t="str">
        <f t="shared" si="6"/>
        <v/>
      </c>
      <c r="AQ43" s="740" t="str">
        <f t="shared" si="7"/>
        <v/>
      </c>
      <c r="AR43" s="740">
        <f t="shared" si="8"/>
        <v>96.195668316831686</v>
      </c>
      <c r="AS43" s="740">
        <f t="shared" si="9"/>
        <v>96.195668316831686</v>
      </c>
      <c r="AT43" s="740" t="str">
        <f t="shared" si="10"/>
        <v/>
      </c>
      <c r="AU43" s="740">
        <f t="shared" si="11"/>
        <v>97.661290322580641</v>
      </c>
      <c r="AV43" s="740" t="str">
        <f t="shared" si="12"/>
        <v/>
      </c>
      <c r="AW43" s="740" t="str">
        <f t="shared" si="13"/>
        <v/>
      </c>
      <c r="AX43" s="740" t="str">
        <f t="shared" si="14"/>
        <v/>
      </c>
      <c r="AY43" s="740">
        <f t="shared" si="15"/>
        <v>97.661290322580641</v>
      </c>
      <c r="AZ43" s="740">
        <f t="shared" si="16"/>
        <v>97.661290322580641</v>
      </c>
      <c r="BA43" s="740" t="str">
        <f t="shared" si="17"/>
        <v/>
      </c>
    </row>
    <row r="44" spans="1:53" s="46" customFormat="1" ht="18.75">
      <c r="A44" s="565">
        <f t="shared" si="91"/>
        <v>7</v>
      </c>
      <c r="B44" s="566" t="s">
        <v>562</v>
      </c>
      <c r="C44" s="590">
        <f t="shared" si="70"/>
        <v>5470</v>
      </c>
      <c r="D44" s="590">
        <f t="shared" si="71"/>
        <v>0</v>
      </c>
      <c r="E44" s="590">
        <f t="shared" si="72"/>
        <v>5470</v>
      </c>
      <c r="F44" s="590">
        <f t="shared" si="73"/>
        <v>2090</v>
      </c>
      <c r="G44" s="591">
        <f t="shared" si="74"/>
        <v>0</v>
      </c>
      <c r="H44" s="591"/>
      <c r="I44" s="591"/>
      <c r="J44" s="591">
        <f t="shared" si="75"/>
        <v>2090</v>
      </c>
      <c r="K44" s="731">
        <f>400+800+250+220+420</f>
        <v>2090</v>
      </c>
      <c r="L44" s="591"/>
      <c r="M44" s="591">
        <f t="shared" si="76"/>
        <v>3380</v>
      </c>
      <c r="N44" s="591">
        <f t="shared" si="77"/>
        <v>0</v>
      </c>
      <c r="O44" s="591"/>
      <c r="P44" s="591"/>
      <c r="Q44" s="591">
        <f t="shared" si="78"/>
        <v>3380</v>
      </c>
      <c r="R44" s="731">
        <f>(542+1021+1532+130+155)</f>
        <v>3380</v>
      </c>
      <c r="S44" s="591"/>
      <c r="T44" s="591">
        <f t="shared" si="79"/>
        <v>7626.0624230000003</v>
      </c>
      <c r="U44" s="591">
        <f t="shared" si="80"/>
        <v>0</v>
      </c>
      <c r="V44" s="591">
        <f t="shared" si="81"/>
        <v>7626.0624230000003</v>
      </c>
      <c r="W44" s="591">
        <f t="shared" si="82"/>
        <v>2462.4052689999999</v>
      </c>
      <c r="X44" s="591">
        <f t="shared" si="83"/>
        <v>0</v>
      </c>
      <c r="Y44" s="591"/>
      <c r="Z44" s="591"/>
      <c r="AA44" s="591">
        <f t="shared" si="84"/>
        <v>2462.4052689999999</v>
      </c>
      <c r="AB44" s="591">
        <v>2462.4052689999999</v>
      </c>
      <c r="AC44" s="591"/>
      <c r="AD44" s="591">
        <f t="shared" si="85"/>
        <v>5163.6571540000004</v>
      </c>
      <c r="AE44" s="591">
        <f t="shared" si="86"/>
        <v>0</v>
      </c>
      <c r="AF44" s="591"/>
      <c r="AG44" s="591"/>
      <c r="AH44" s="591">
        <f t="shared" si="87"/>
        <v>5163.6571540000004</v>
      </c>
      <c r="AI44" s="591">
        <v>5163.6571540000004</v>
      </c>
      <c r="AJ44" s="591"/>
      <c r="AK44" s="740">
        <f t="shared" si="88"/>
        <v>139.41613204753199</v>
      </c>
      <c r="AL44" s="740" t="str">
        <f t="shared" si="89"/>
        <v/>
      </c>
      <c r="AM44" s="740">
        <f t="shared" si="90"/>
        <v>139.41613204753199</v>
      </c>
      <c r="AN44" s="740">
        <f t="shared" si="4"/>
        <v>117.81843392344497</v>
      </c>
      <c r="AO44" s="740" t="str">
        <f t="shared" si="5"/>
        <v/>
      </c>
      <c r="AP44" s="740" t="str">
        <f t="shared" si="6"/>
        <v/>
      </c>
      <c r="AQ44" s="740" t="str">
        <f t="shared" si="7"/>
        <v/>
      </c>
      <c r="AR44" s="740">
        <f t="shared" si="8"/>
        <v>117.81843392344497</v>
      </c>
      <c r="AS44" s="740">
        <f t="shared" si="9"/>
        <v>117.81843392344497</v>
      </c>
      <c r="AT44" s="740" t="str">
        <f t="shared" si="10"/>
        <v/>
      </c>
      <c r="AU44" s="740">
        <f t="shared" si="11"/>
        <v>152.77092171597636</v>
      </c>
      <c r="AV44" s="740" t="str">
        <f t="shared" si="12"/>
        <v/>
      </c>
      <c r="AW44" s="740" t="str">
        <f t="shared" si="13"/>
        <v/>
      </c>
      <c r="AX44" s="740" t="str">
        <f t="shared" si="14"/>
        <v/>
      </c>
      <c r="AY44" s="740">
        <f t="shared" si="15"/>
        <v>152.77092171597636</v>
      </c>
      <c r="AZ44" s="740">
        <f t="shared" si="16"/>
        <v>152.77092171597636</v>
      </c>
      <c r="BA44" s="740" t="str">
        <f t="shared" si="17"/>
        <v/>
      </c>
    </row>
    <row r="45" spans="1:53" s="46" customFormat="1" ht="18.75">
      <c r="A45" s="565">
        <f t="shared" si="91"/>
        <v>8</v>
      </c>
      <c r="B45" s="566" t="s">
        <v>563</v>
      </c>
      <c r="C45" s="590">
        <f t="shared" si="70"/>
        <v>6315</v>
      </c>
      <c r="D45" s="590">
        <f t="shared" si="71"/>
        <v>0</v>
      </c>
      <c r="E45" s="590">
        <f t="shared" si="72"/>
        <v>6315</v>
      </c>
      <c r="F45" s="590">
        <f t="shared" si="73"/>
        <v>2770</v>
      </c>
      <c r="G45" s="591">
        <f t="shared" si="74"/>
        <v>0</v>
      </c>
      <c r="H45" s="591"/>
      <c r="I45" s="591"/>
      <c r="J45" s="591">
        <f t="shared" si="75"/>
        <v>2770</v>
      </c>
      <c r="K45" s="731">
        <f>300+800+750+320+600</f>
        <v>2770</v>
      </c>
      <c r="L45" s="591"/>
      <c r="M45" s="591">
        <f t="shared" si="76"/>
        <v>3545</v>
      </c>
      <c r="N45" s="591">
        <f t="shared" si="77"/>
        <v>0</v>
      </c>
      <c r="O45" s="591"/>
      <c r="P45" s="591"/>
      <c r="Q45" s="591">
        <f t="shared" si="78"/>
        <v>3545</v>
      </c>
      <c r="R45" s="731">
        <f>(542+1021+1532+200+250)</f>
        <v>3545</v>
      </c>
      <c r="S45" s="591"/>
      <c r="T45" s="591">
        <f t="shared" si="79"/>
        <v>6171.6749930000005</v>
      </c>
      <c r="U45" s="591">
        <f t="shared" si="80"/>
        <v>0</v>
      </c>
      <c r="V45" s="591">
        <f t="shared" si="81"/>
        <v>6171.6749930000005</v>
      </c>
      <c r="W45" s="591">
        <f t="shared" si="82"/>
        <v>2474.774993</v>
      </c>
      <c r="X45" s="591">
        <f t="shared" si="83"/>
        <v>0</v>
      </c>
      <c r="Y45" s="591"/>
      <c r="Z45" s="591"/>
      <c r="AA45" s="591">
        <f t="shared" si="84"/>
        <v>2474.774993</v>
      </c>
      <c r="AB45" s="591">
        <v>2474.774993</v>
      </c>
      <c r="AC45" s="591"/>
      <c r="AD45" s="591">
        <f t="shared" si="85"/>
        <v>3696.9</v>
      </c>
      <c r="AE45" s="591">
        <f t="shared" si="86"/>
        <v>0</v>
      </c>
      <c r="AF45" s="591"/>
      <c r="AG45" s="591"/>
      <c r="AH45" s="591">
        <f t="shared" si="87"/>
        <v>3696.9</v>
      </c>
      <c r="AI45" s="591">
        <v>3696.9</v>
      </c>
      <c r="AJ45" s="591"/>
      <c r="AK45" s="740">
        <f t="shared" si="88"/>
        <v>97.730403689627877</v>
      </c>
      <c r="AL45" s="740" t="str">
        <f t="shared" si="89"/>
        <v/>
      </c>
      <c r="AM45" s="740">
        <f t="shared" si="90"/>
        <v>97.730403689627877</v>
      </c>
      <c r="AN45" s="740">
        <f t="shared" si="4"/>
        <v>89.342057509025267</v>
      </c>
      <c r="AO45" s="740" t="str">
        <f t="shared" si="5"/>
        <v/>
      </c>
      <c r="AP45" s="740" t="str">
        <f t="shared" si="6"/>
        <v/>
      </c>
      <c r="AQ45" s="740" t="str">
        <f t="shared" si="7"/>
        <v/>
      </c>
      <c r="AR45" s="740">
        <f t="shared" si="8"/>
        <v>89.342057509025267</v>
      </c>
      <c r="AS45" s="740">
        <f t="shared" si="9"/>
        <v>89.342057509025267</v>
      </c>
      <c r="AT45" s="740" t="str">
        <f t="shared" si="10"/>
        <v/>
      </c>
      <c r="AU45" s="740">
        <f t="shared" si="11"/>
        <v>104.28490832157968</v>
      </c>
      <c r="AV45" s="740" t="str">
        <f t="shared" si="12"/>
        <v/>
      </c>
      <c r="AW45" s="740" t="str">
        <f t="shared" si="13"/>
        <v/>
      </c>
      <c r="AX45" s="740" t="str">
        <f t="shared" si="14"/>
        <v/>
      </c>
      <c r="AY45" s="740">
        <f t="shared" si="15"/>
        <v>104.28490832157968</v>
      </c>
      <c r="AZ45" s="740">
        <f t="shared" si="16"/>
        <v>104.28490832157968</v>
      </c>
      <c r="BA45" s="740" t="str">
        <f t="shared" si="17"/>
        <v/>
      </c>
    </row>
    <row r="46" spans="1:53" s="46" customFormat="1" ht="18.75">
      <c r="A46" s="662">
        <f t="shared" si="91"/>
        <v>9</v>
      </c>
      <c r="B46" s="663" t="s">
        <v>564</v>
      </c>
      <c r="C46" s="596">
        <f t="shared" si="70"/>
        <v>4374</v>
      </c>
      <c r="D46" s="596">
        <f t="shared" si="71"/>
        <v>0</v>
      </c>
      <c r="E46" s="596">
        <f t="shared" si="72"/>
        <v>4374</v>
      </c>
      <c r="F46" s="596">
        <f t="shared" si="73"/>
        <v>2050</v>
      </c>
      <c r="G46" s="612">
        <f t="shared" si="74"/>
        <v>0</v>
      </c>
      <c r="H46" s="612"/>
      <c r="I46" s="612"/>
      <c r="J46" s="612">
        <f t="shared" si="75"/>
        <v>2050</v>
      </c>
      <c r="K46" s="732">
        <f>300+800+250+240+460</f>
        <v>2050</v>
      </c>
      <c r="L46" s="612"/>
      <c r="M46" s="612">
        <f t="shared" si="76"/>
        <v>2324</v>
      </c>
      <c r="N46" s="612">
        <f t="shared" si="77"/>
        <v>0</v>
      </c>
      <c r="O46" s="612"/>
      <c r="P46" s="612"/>
      <c r="Q46" s="612">
        <f t="shared" si="78"/>
        <v>2324</v>
      </c>
      <c r="R46" s="732">
        <f>(361+681+1022+110+150)</f>
        <v>2324</v>
      </c>
      <c r="S46" s="612"/>
      <c r="T46" s="612">
        <f t="shared" si="79"/>
        <v>3984.1428000000001</v>
      </c>
      <c r="U46" s="612">
        <f t="shared" si="80"/>
        <v>0</v>
      </c>
      <c r="V46" s="612">
        <f t="shared" si="81"/>
        <v>3984.1428000000001</v>
      </c>
      <c r="W46" s="612">
        <f t="shared" si="82"/>
        <v>1670.0659000000001</v>
      </c>
      <c r="X46" s="612">
        <f t="shared" si="83"/>
        <v>0</v>
      </c>
      <c r="Y46" s="612"/>
      <c r="Z46" s="612"/>
      <c r="AA46" s="612">
        <f t="shared" si="84"/>
        <v>1670.0659000000001</v>
      </c>
      <c r="AB46" s="612">
        <v>1670.0659000000001</v>
      </c>
      <c r="AC46" s="612"/>
      <c r="AD46" s="612">
        <f t="shared" si="85"/>
        <v>2314.0769</v>
      </c>
      <c r="AE46" s="612">
        <f t="shared" si="86"/>
        <v>0</v>
      </c>
      <c r="AF46" s="612"/>
      <c r="AG46" s="612"/>
      <c r="AH46" s="612">
        <f t="shared" si="87"/>
        <v>2314.0769</v>
      </c>
      <c r="AI46" s="612">
        <v>2314.0769</v>
      </c>
      <c r="AJ46" s="612"/>
      <c r="AK46" s="741">
        <f t="shared" si="88"/>
        <v>91.086941015089167</v>
      </c>
      <c r="AL46" s="741" t="str">
        <f t="shared" si="89"/>
        <v/>
      </c>
      <c r="AM46" s="741">
        <f t="shared" si="90"/>
        <v>91.086941015089167</v>
      </c>
      <c r="AN46" s="741">
        <f t="shared" si="4"/>
        <v>81.466629268292692</v>
      </c>
      <c r="AO46" s="741" t="str">
        <f t="shared" si="5"/>
        <v/>
      </c>
      <c r="AP46" s="741" t="str">
        <f t="shared" si="6"/>
        <v/>
      </c>
      <c r="AQ46" s="741" t="str">
        <f t="shared" si="7"/>
        <v/>
      </c>
      <c r="AR46" s="741">
        <f t="shared" si="8"/>
        <v>81.466629268292692</v>
      </c>
      <c r="AS46" s="741">
        <f t="shared" si="9"/>
        <v>81.466629268292692</v>
      </c>
      <c r="AT46" s="741" t="str">
        <f t="shared" si="10"/>
        <v/>
      </c>
      <c r="AU46" s="741">
        <f t="shared" si="11"/>
        <v>99.573016351118767</v>
      </c>
      <c r="AV46" s="741" t="str">
        <f t="shared" si="12"/>
        <v/>
      </c>
      <c r="AW46" s="741" t="str">
        <f t="shared" si="13"/>
        <v/>
      </c>
      <c r="AX46" s="741" t="str">
        <f t="shared" si="14"/>
        <v/>
      </c>
      <c r="AY46" s="741">
        <f t="shared" si="15"/>
        <v>99.573016351118767</v>
      </c>
      <c r="AZ46" s="741">
        <f t="shared" si="16"/>
        <v>99.573016351118767</v>
      </c>
      <c r="BA46" s="741" t="str">
        <f t="shared" si="17"/>
        <v/>
      </c>
    </row>
    <row r="47" spans="1:53" ht="18.75">
      <c r="A47" s="46"/>
      <c r="B47" s="46"/>
      <c r="C47" s="664"/>
      <c r="D47" s="664"/>
      <c r="E47" s="664"/>
      <c r="F47" s="66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row>
    <row r="48" spans="1:53" ht="18.75">
      <c r="A48" s="46"/>
      <c r="B48" s="46"/>
      <c r="C48" s="664"/>
      <c r="D48" s="664"/>
      <c r="E48" s="664"/>
      <c r="F48" s="664"/>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row>
    <row r="49" spans="1:53" ht="18.75">
      <c r="A49" s="46"/>
      <c r="B49" s="46"/>
      <c r="C49" s="664"/>
      <c r="D49" s="664"/>
      <c r="E49" s="664"/>
      <c r="F49" s="664"/>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row>
    <row r="50" spans="1:53" ht="18.75">
      <c r="A50" s="46"/>
      <c r="B50" s="46"/>
      <c r="C50" s="664"/>
      <c r="D50" s="664"/>
      <c r="E50" s="664"/>
      <c r="F50" s="664"/>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row>
    <row r="51" spans="1:53" ht="18.75">
      <c r="A51" s="46"/>
      <c r="B51" s="46"/>
      <c r="C51" s="664"/>
      <c r="D51" s="664"/>
      <c r="E51" s="664"/>
      <c r="F51" s="664"/>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row>
    <row r="52" spans="1:53" ht="18.75">
      <c r="A52" s="46"/>
      <c r="B52" s="46"/>
      <c r="C52" s="664"/>
      <c r="D52" s="664"/>
      <c r="E52" s="664"/>
      <c r="F52" s="66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row>
    <row r="53" spans="1:53" ht="18.75">
      <c r="A53" s="46"/>
      <c r="B53" s="46"/>
      <c r="C53" s="664"/>
      <c r="D53" s="664"/>
      <c r="E53" s="664"/>
      <c r="F53" s="664"/>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row>
    <row r="54" spans="1:53" ht="18.75">
      <c r="A54" s="46"/>
      <c r="B54" s="46"/>
      <c r="C54" s="664"/>
      <c r="D54" s="664"/>
      <c r="E54" s="664"/>
      <c r="F54" s="664"/>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row>
    <row r="55" spans="1:53" ht="22.5" customHeight="1">
      <c r="A55" s="46"/>
      <c r="B55" s="46"/>
      <c r="C55" s="664"/>
      <c r="D55" s="664"/>
      <c r="E55" s="664"/>
      <c r="F55" s="664"/>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row>
    <row r="56" spans="1:53" ht="18.75">
      <c r="A56" s="46"/>
      <c r="B56" s="46"/>
      <c r="C56" s="664"/>
      <c r="D56" s="664"/>
      <c r="E56" s="664"/>
      <c r="F56" s="664"/>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row>
    <row r="57" spans="1:53" ht="18.75">
      <c r="A57" s="46"/>
      <c r="B57" s="46"/>
      <c r="C57" s="664"/>
      <c r="D57" s="664"/>
      <c r="E57" s="664"/>
      <c r="F57" s="664"/>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row>
    <row r="58" spans="1:53" ht="18.75">
      <c r="A58" s="46"/>
      <c r="B58" s="46"/>
      <c r="C58" s="664"/>
      <c r="D58" s="664"/>
      <c r="E58" s="664"/>
      <c r="F58" s="664"/>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row>
    <row r="59" spans="1:53" ht="18.75">
      <c r="A59" s="46"/>
      <c r="B59" s="46"/>
      <c r="C59" s="664"/>
      <c r="D59" s="664"/>
      <c r="E59" s="664"/>
      <c r="F59" s="664"/>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row>
  </sheetData>
  <mergeCells count="95">
    <mergeCell ref="J12:J15"/>
    <mergeCell ref="K12:L12"/>
    <mergeCell ref="AY11:BA11"/>
    <mergeCell ref="AO12:AO15"/>
    <mergeCell ref="AP12:AQ12"/>
    <mergeCell ref="AR12:AR15"/>
    <mergeCell ref="AS12:AT12"/>
    <mergeCell ref="AQ13:AQ15"/>
    <mergeCell ref="AS13:AS15"/>
    <mergeCell ref="AN11:AN15"/>
    <mergeCell ref="AO11:AQ11"/>
    <mergeCell ref="AR11:AT11"/>
    <mergeCell ref="AU11:AU15"/>
    <mergeCell ref="AV11:AX11"/>
    <mergeCell ref="AP13:AP15"/>
    <mergeCell ref="AZ12:BA12"/>
    <mergeCell ref="AX13:AX15"/>
    <mergeCell ref="AI13:AI15"/>
    <mergeCell ref="AJ13:AJ15"/>
    <mergeCell ref="K8:L8"/>
    <mergeCell ref="R8:S8"/>
    <mergeCell ref="F10:L10"/>
    <mergeCell ref="M10:S10"/>
    <mergeCell ref="F11:F15"/>
    <mergeCell ref="G11:I11"/>
    <mergeCell ref="J11:L11"/>
    <mergeCell ref="M11:M15"/>
    <mergeCell ref="N11:P11"/>
    <mergeCell ref="Q11:S11"/>
    <mergeCell ref="G12:G15"/>
    <mergeCell ref="H12:I12"/>
    <mergeCell ref="L13:L15"/>
    <mergeCell ref="O13:O15"/>
    <mergeCell ref="P13:P15"/>
    <mergeCell ref="AK9:BA9"/>
    <mergeCell ref="AK10:AK15"/>
    <mergeCell ref="AL10:AM10"/>
    <mergeCell ref="AL11:AL15"/>
    <mergeCell ref="AM11:AM15"/>
    <mergeCell ref="AN10:AT10"/>
    <mergeCell ref="AT13:AT15"/>
    <mergeCell ref="AW13:AW15"/>
    <mergeCell ref="AZ13:AZ15"/>
    <mergeCell ref="BA13:BA15"/>
    <mergeCell ref="AV12:AV15"/>
    <mergeCell ref="AW12:AX12"/>
    <mergeCell ref="AY12:AY15"/>
    <mergeCell ref="Y12:Z12"/>
    <mergeCell ref="R13:R15"/>
    <mergeCell ref="S13:S15"/>
    <mergeCell ref="A9:A15"/>
    <mergeCell ref="B9:B15"/>
    <mergeCell ref="C9:S9"/>
    <mergeCell ref="D10:E10"/>
    <mergeCell ref="C10:C15"/>
    <mergeCell ref="D11:D15"/>
    <mergeCell ref="E11:E15"/>
    <mergeCell ref="N12:N15"/>
    <mergeCell ref="Q12:Q15"/>
    <mergeCell ref="R12:S12"/>
    <mergeCell ref="H13:H15"/>
    <mergeCell ref="I13:I15"/>
    <mergeCell ref="K13:K15"/>
    <mergeCell ref="O12:P12"/>
    <mergeCell ref="AB8:AC8"/>
    <mergeCell ref="AB12:AC12"/>
    <mergeCell ref="T9:AJ9"/>
    <mergeCell ref="AA12:AA15"/>
    <mergeCell ref="AE11:AG11"/>
    <mergeCell ref="AH11:AJ11"/>
    <mergeCell ref="AE12:AE15"/>
    <mergeCell ref="AF12:AG12"/>
    <mergeCell ref="AH12:AH15"/>
    <mergeCell ref="AI12:AJ12"/>
    <mergeCell ref="AF13:AF15"/>
    <mergeCell ref="AG13:AG15"/>
    <mergeCell ref="X11:Z11"/>
    <mergeCell ref="AA11:AC11"/>
    <mergeCell ref="X12:X15"/>
    <mergeCell ref="A3:BA3"/>
    <mergeCell ref="AI8:AJ8"/>
    <mergeCell ref="AD10:AJ10"/>
    <mergeCell ref="AD11:AD15"/>
    <mergeCell ref="AU10:BA10"/>
    <mergeCell ref="T10:T15"/>
    <mergeCell ref="U10:V10"/>
    <mergeCell ref="W10:AC10"/>
    <mergeCell ref="U11:U15"/>
    <mergeCell ref="V11:V15"/>
    <mergeCell ref="Z13:Z15"/>
    <mergeCell ref="AB13:AB15"/>
    <mergeCell ref="AC13:AC15"/>
    <mergeCell ref="Y13:Y15"/>
    <mergeCell ref="W11:W15"/>
    <mergeCell ref="A4:BA4"/>
  </mergeCells>
  <printOptions horizontalCentered="1"/>
  <pageMargins left="0.23622047244094491" right="0.15748031496062992" top="0.59055118110236227" bottom="0.19685039370078741" header="0.35433070866141736" footer="0.15748031496062992"/>
  <pageSetup paperSize="8" scale="37" fitToHeight="5" orientation="landscape" r:id="rId1"/>
  <headerFooter alignWithMargins="0">
    <oddHeader xml:space="preserve">&amp;C&amp;"Times New Roman,Regular"         &amp;".VnTime,Regular"                                                                                                                    </oddHeader>
    <oddFooter>&amp;C&amp;".VnTime,Italic"&amp;8</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V65"/>
  <sheetViews>
    <sheetView topLeftCell="A28" workbookViewId="0">
      <selection activeCell="B60" sqref="B60"/>
    </sheetView>
  </sheetViews>
  <sheetFormatPr defaultColWidth="6.875" defaultRowHeight="16.5"/>
  <cols>
    <col min="1" max="1" width="7" style="469" customWidth="1"/>
    <col min="2" max="2" width="49.75" style="123" customWidth="1"/>
    <col min="3" max="5" width="9.625" style="112" customWidth="1"/>
    <col min="6" max="9" width="9.625" style="124" customWidth="1"/>
    <col min="10" max="31" width="6.875" style="112"/>
    <col min="32" max="32" width="5.625" style="112" customWidth="1"/>
    <col min="33" max="33" width="30.125" style="112" customWidth="1"/>
    <col min="34" max="183" width="0" style="112" hidden="1" customWidth="1"/>
    <col min="184" max="186" width="10.75" style="112" customWidth="1"/>
    <col min="187" max="189" width="0" style="112" hidden="1" customWidth="1"/>
    <col min="190" max="192" width="10.75" style="112" customWidth="1"/>
    <col min="193" max="195" width="0" style="112" hidden="1" customWidth="1"/>
    <col min="196" max="196" width="10.75" style="112" customWidth="1"/>
    <col min="197" max="197" width="9.625" style="112" customWidth="1"/>
    <col min="198" max="198" width="10" style="112" customWidth="1"/>
    <col min="199" max="201" width="0" style="112" hidden="1" customWidth="1"/>
    <col min="202" max="203" width="9.25" style="112" customWidth="1"/>
    <col min="204" max="204" width="9.625" style="112" customWidth="1"/>
    <col min="205" max="205" width="9.375" style="112" customWidth="1"/>
    <col min="206" max="206" width="9.625" style="112" customWidth="1"/>
    <col min="207" max="207" width="9.5" style="112" customWidth="1"/>
    <col min="208" max="210" width="9.125" style="112" customWidth="1"/>
    <col min="211" max="219" width="0" style="112" hidden="1" customWidth="1"/>
    <col min="220" max="220" width="16.375" style="112" customWidth="1"/>
    <col min="221" max="222" width="10.375" style="112" customWidth="1"/>
    <col min="223" max="223" width="12.25" style="112" customWidth="1"/>
    <col min="224" max="224" width="10.375" style="112" customWidth="1"/>
    <col min="225" max="227" width="10.25" style="112" customWidth="1"/>
    <col min="228" max="230" width="16.625" style="112" customWidth="1"/>
    <col min="231" max="232" width="12.625" style="112" customWidth="1"/>
    <col min="233" max="233" width="91.5" style="112" customWidth="1"/>
    <col min="234" max="16384" width="6.875" style="112"/>
  </cols>
  <sheetData>
    <row r="1" spans="1:256" ht="19.5" customHeight="1">
      <c r="A1" s="468"/>
      <c r="B1" s="111"/>
      <c r="C1" s="111"/>
      <c r="D1" s="111"/>
      <c r="E1" s="111"/>
      <c r="F1" s="111"/>
      <c r="G1" s="111"/>
      <c r="H1" s="111"/>
      <c r="I1" s="39" t="s">
        <v>164</v>
      </c>
    </row>
    <row r="2" spans="1:256" ht="21" customHeight="1">
      <c r="A2" s="468"/>
      <c r="B2" s="111"/>
      <c r="C2" s="111"/>
      <c r="D2" s="111"/>
      <c r="E2" s="111"/>
      <c r="F2" s="111"/>
      <c r="G2" s="111"/>
      <c r="H2" s="111"/>
      <c r="I2" s="111"/>
    </row>
    <row r="3" spans="1:256" ht="18.75">
      <c r="A3" s="823" t="s">
        <v>387</v>
      </c>
      <c r="B3" s="823"/>
      <c r="C3" s="823"/>
      <c r="D3" s="823"/>
      <c r="E3" s="823"/>
      <c r="F3" s="823"/>
      <c r="G3" s="823"/>
      <c r="H3" s="823"/>
      <c r="I3" s="823"/>
    </row>
    <row r="4" spans="1:256" ht="18.75">
      <c r="A4" s="823" t="s">
        <v>67</v>
      </c>
      <c r="B4" s="823"/>
      <c r="C4" s="823"/>
      <c r="D4" s="823"/>
      <c r="E4" s="823"/>
      <c r="F4" s="823"/>
      <c r="G4" s="823"/>
      <c r="H4" s="823"/>
      <c r="I4" s="82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19.5" thickBot="1">
      <c r="B5" s="114"/>
      <c r="C5" s="114"/>
      <c r="D5" s="114"/>
      <c r="E5" s="114"/>
      <c r="F5" s="114"/>
      <c r="G5" s="114"/>
      <c r="H5" s="818" t="s">
        <v>187</v>
      </c>
      <c r="I5" s="818"/>
    </row>
    <row r="6" spans="1:256" s="32" customFormat="1" ht="69" customHeight="1">
      <c r="A6" s="824" t="s">
        <v>110</v>
      </c>
      <c r="B6" s="826" t="s">
        <v>11</v>
      </c>
      <c r="C6" s="828" t="s">
        <v>403</v>
      </c>
      <c r="D6" s="828"/>
      <c r="E6" s="828"/>
      <c r="F6" s="828" t="s">
        <v>404</v>
      </c>
      <c r="G6" s="828"/>
      <c r="H6" s="828"/>
      <c r="I6" s="829" t="s">
        <v>248</v>
      </c>
      <c r="J6" s="178"/>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8"/>
      <c r="CF6" s="178"/>
      <c r="CG6" s="178"/>
      <c r="CH6" s="178"/>
      <c r="CI6" s="178"/>
      <c r="CJ6" s="178"/>
      <c r="CK6" s="178"/>
      <c r="CL6" s="178"/>
      <c r="CM6" s="178"/>
      <c r="CN6" s="178"/>
      <c r="CO6" s="178"/>
      <c r="CP6" s="178"/>
      <c r="CQ6" s="178"/>
      <c r="CR6" s="178"/>
      <c r="CS6" s="178"/>
      <c r="CT6" s="178"/>
      <c r="CU6" s="178"/>
      <c r="CV6" s="178"/>
      <c r="CW6" s="178"/>
      <c r="CX6" s="178"/>
      <c r="CY6" s="178"/>
      <c r="CZ6" s="178"/>
      <c r="DA6" s="178"/>
      <c r="DB6" s="178"/>
      <c r="DC6" s="178"/>
      <c r="DD6" s="178"/>
      <c r="DE6" s="178"/>
      <c r="DF6" s="178"/>
      <c r="DG6" s="178"/>
      <c r="DH6" s="178"/>
      <c r="DI6" s="178"/>
      <c r="DJ6" s="178"/>
      <c r="DK6" s="178"/>
      <c r="DL6" s="178"/>
      <c r="DM6" s="178"/>
      <c r="DN6" s="178"/>
      <c r="DO6" s="178"/>
      <c r="DP6" s="178"/>
      <c r="DQ6" s="178"/>
      <c r="DR6" s="178"/>
      <c r="DS6" s="178"/>
      <c r="DT6" s="178"/>
      <c r="DU6" s="178"/>
      <c r="DV6" s="178"/>
      <c r="DW6" s="178"/>
      <c r="DX6" s="178"/>
      <c r="DY6" s="178"/>
      <c r="DZ6" s="178"/>
      <c r="EA6" s="178"/>
      <c r="EB6" s="178"/>
      <c r="EC6" s="178"/>
      <c r="ED6" s="178"/>
      <c r="EE6" s="178"/>
      <c r="EF6" s="178"/>
      <c r="EG6" s="178"/>
      <c r="EH6" s="178"/>
      <c r="EI6" s="178"/>
      <c r="EJ6" s="178"/>
      <c r="EK6" s="178"/>
      <c r="EL6" s="178"/>
      <c r="EM6" s="178"/>
      <c r="EN6" s="178"/>
      <c r="EO6" s="178"/>
      <c r="EP6" s="178"/>
      <c r="EQ6" s="178"/>
      <c r="ER6" s="178"/>
      <c r="ES6" s="178"/>
      <c r="ET6" s="178"/>
      <c r="EU6" s="178"/>
      <c r="EV6" s="178"/>
      <c r="EW6" s="178"/>
      <c r="EX6" s="178"/>
      <c r="EY6" s="178"/>
      <c r="EZ6" s="178"/>
      <c r="FA6" s="178"/>
      <c r="FB6" s="178"/>
      <c r="FC6" s="178"/>
      <c r="FD6" s="178"/>
      <c r="FE6" s="178"/>
      <c r="FF6" s="178"/>
      <c r="FG6" s="178"/>
      <c r="FH6" s="178"/>
      <c r="FI6" s="178"/>
      <c r="FJ6" s="178"/>
      <c r="FK6" s="178"/>
      <c r="FL6" s="178"/>
      <c r="FM6" s="178"/>
      <c r="FN6" s="178"/>
      <c r="FO6" s="178"/>
      <c r="FP6" s="178"/>
      <c r="FQ6" s="178"/>
      <c r="FR6" s="178"/>
      <c r="FS6" s="178"/>
      <c r="FT6" s="178"/>
      <c r="FU6" s="178"/>
      <c r="FV6" s="178"/>
      <c r="FW6" s="178"/>
      <c r="FX6" s="178"/>
      <c r="FY6" s="178"/>
      <c r="FZ6" s="178"/>
      <c r="GA6" s="178"/>
      <c r="GB6" s="178"/>
      <c r="GC6" s="178"/>
      <c r="GD6" s="178"/>
      <c r="GE6" s="178"/>
      <c r="GF6" s="178"/>
      <c r="GG6" s="178"/>
      <c r="GH6" s="178"/>
      <c r="GI6" s="178"/>
      <c r="GJ6" s="178"/>
      <c r="GK6" s="178"/>
      <c r="GL6" s="178"/>
      <c r="GM6" s="178"/>
      <c r="GN6" s="178"/>
      <c r="GO6" s="178"/>
      <c r="GP6" s="178"/>
      <c r="GQ6" s="178"/>
      <c r="GR6" s="178"/>
      <c r="GS6" s="178"/>
      <c r="GT6" s="178"/>
      <c r="GU6" s="178"/>
      <c r="GV6" s="178"/>
      <c r="GW6" s="178"/>
      <c r="GX6" s="178"/>
      <c r="GY6" s="178"/>
      <c r="GZ6" s="178"/>
      <c r="HA6" s="178"/>
      <c r="HB6" s="178"/>
      <c r="HC6" s="178"/>
      <c r="HD6" s="178"/>
      <c r="HE6" s="178"/>
      <c r="HF6" s="178"/>
      <c r="HG6" s="178"/>
      <c r="HH6" s="178"/>
      <c r="HI6" s="178"/>
      <c r="HJ6" s="178"/>
      <c r="HK6" s="178"/>
      <c r="HL6" s="178"/>
      <c r="HM6" s="178"/>
      <c r="HN6" s="178"/>
      <c r="HO6" s="178"/>
      <c r="HP6" s="178"/>
      <c r="HQ6" s="178"/>
      <c r="HR6" s="178"/>
      <c r="HS6" s="178"/>
      <c r="HT6" s="178"/>
      <c r="HU6" s="178"/>
      <c r="HV6" s="178"/>
      <c r="HW6" s="178"/>
      <c r="HX6" s="178"/>
      <c r="HY6" s="178"/>
      <c r="HZ6" s="178"/>
      <c r="IA6" s="178"/>
      <c r="IB6" s="178"/>
      <c r="IC6" s="178"/>
      <c r="ID6" s="178"/>
      <c r="IE6" s="178"/>
      <c r="IF6" s="178"/>
      <c r="IG6" s="178"/>
      <c r="IH6" s="178"/>
      <c r="II6" s="178"/>
      <c r="IJ6" s="178"/>
      <c r="IK6" s="178"/>
      <c r="IL6" s="178"/>
      <c r="IM6" s="178"/>
      <c r="IN6" s="178"/>
      <c r="IO6" s="178"/>
      <c r="IP6" s="178"/>
      <c r="IQ6" s="178"/>
      <c r="IR6" s="178"/>
      <c r="IS6" s="178"/>
      <c r="IT6" s="178"/>
      <c r="IU6" s="178"/>
      <c r="IV6" s="178"/>
    </row>
    <row r="7" spans="1:256" s="32" customFormat="1" ht="96" customHeight="1">
      <c r="A7" s="825"/>
      <c r="B7" s="827"/>
      <c r="C7" s="179" t="s">
        <v>180</v>
      </c>
      <c r="D7" s="179" t="s">
        <v>225</v>
      </c>
      <c r="E7" s="533" t="s">
        <v>405</v>
      </c>
      <c r="F7" s="179" t="s">
        <v>180</v>
      </c>
      <c r="G7" s="179" t="s">
        <v>225</v>
      </c>
      <c r="H7" s="533" t="s">
        <v>405</v>
      </c>
      <c r="I7" s="830"/>
      <c r="J7" s="178"/>
      <c r="K7" s="178"/>
      <c r="L7" s="178"/>
      <c r="M7" s="178"/>
      <c r="N7" s="178"/>
      <c r="O7" s="178"/>
      <c r="P7" s="178"/>
      <c r="Q7" s="178"/>
      <c r="R7" s="178"/>
      <c r="S7" s="178"/>
      <c r="T7" s="178"/>
      <c r="U7" s="178"/>
      <c r="V7" s="178"/>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8"/>
      <c r="CF7" s="178"/>
      <c r="CG7" s="178"/>
      <c r="CH7" s="178"/>
      <c r="CI7" s="178"/>
      <c r="CJ7" s="178"/>
      <c r="CK7" s="178"/>
      <c r="CL7" s="178"/>
      <c r="CM7" s="178"/>
      <c r="CN7" s="178"/>
      <c r="CO7" s="178"/>
      <c r="CP7" s="178"/>
      <c r="CQ7" s="178"/>
      <c r="CR7" s="178"/>
      <c r="CS7" s="178"/>
      <c r="CT7" s="178"/>
      <c r="CU7" s="178"/>
      <c r="CV7" s="178"/>
      <c r="CW7" s="178"/>
      <c r="CX7" s="178"/>
      <c r="CY7" s="178"/>
      <c r="CZ7" s="178"/>
      <c r="DA7" s="178"/>
      <c r="DB7" s="178"/>
      <c r="DC7" s="178"/>
      <c r="DD7" s="178"/>
      <c r="DE7" s="178"/>
      <c r="DF7" s="178"/>
      <c r="DG7" s="178"/>
      <c r="DH7" s="178"/>
      <c r="DI7" s="178"/>
      <c r="DJ7" s="178"/>
      <c r="DK7" s="178"/>
      <c r="DL7" s="178"/>
      <c r="DM7" s="178"/>
      <c r="DN7" s="178"/>
      <c r="DO7" s="178"/>
      <c r="DP7" s="178"/>
      <c r="DQ7" s="178"/>
      <c r="DR7" s="178"/>
      <c r="DS7" s="178"/>
      <c r="DT7" s="178"/>
      <c r="DU7" s="178"/>
      <c r="DV7" s="178"/>
      <c r="DW7" s="178"/>
      <c r="DX7" s="178"/>
      <c r="DY7" s="178"/>
      <c r="DZ7" s="178"/>
      <c r="EA7" s="178"/>
      <c r="EB7" s="178"/>
      <c r="EC7" s="178"/>
      <c r="ED7" s="178"/>
      <c r="EE7" s="178"/>
      <c r="EF7" s="178"/>
      <c r="EG7" s="178"/>
      <c r="EH7" s="178"/>
      <c r="EI7" s="178"/>
      <c r="EJ7" s="178"/>
      <c r="EK7" s="178"/>
      <c r="EL7" s="178"/>
      <c r="EM7" s="178"/>
      <c r="EN7" s="178"/>
      <c r="EO7" s="178"/>
      <c r="EP7" s="178"/>
      <c r="EQ7" s="178"/>
      <c r="ER7" s="178"/>
      <c r="ES7" s="178"/>
      <c r="ET7" s="178"/>
      <c r="EU7" s="178"/>
      <c r="EV7" s="178"/>
      <c r="EW7" s="178"/>
      <c r="EX7" s="178"/>
      <c r="EY7" s="178"/>
      <c r="EZ7" s="178"/>
      <c r="FA7" s="178"/>
      <c r="FB7" s="178"/>
      <c r="FC7" s="178"/>
      <c r="FD7" s="178"/>
      <c r="FE7" s="178"/>
      <c r="FF7" s="178"/>
      <c r="FG7" s="178"/>
      <c r="FH7" s="178"/>
      <c r="FI7" s="178"/>
      <c r="FJ7" s="178"/>
      <c r="FK7" s="178"/>
      <c r="FL7" s="178"/>
      <c r="FM7" s="178"/>
      <c r="FN7" s="178"/>
      <c r="FO7" s="178"/>
      <c r="FP7" s="178"/>
      <c r="FQ7" s="178"/>
      <c r="FR7" s="178"/>
      <c r="FS7" s="178"/>
      <c r="FT7" s="178"/>
      <c r="FU7" s="178"/>
      <c r="FV7" s="178"/>
      <c r="FW7" s="178"/>
      <c r="FX7" s="178"/>
      <c r="FY7" s="178"/>
      <c r="FZ7" s="178"/>
      <c r="GA7" s="178"/>
      <c r="GB7" s="178"/>
      <c r="GC7" s="178"/>
      <c r="GD7" s="178"/>
      <c r="GE7" s="178"/>
      <c r="GF7" s="178"/>
      <c r="GG7" s="178"/>
      <c r="GH7" s="178"/>
      <c r="GI7" s="178"/>
      <c r="GJ7" s="178"/>
      <c r="GK7" s="178"/>
      <c r="GL7" s="178"/>
      <c r="GM7" s="178"/>
      <c r="GN7" s="178"/>
      <c r="GO7" s="178"/>
      <c r="GP7" s="178"/>
      <c r="GQ7" s="178"/>
      <c r="GR7" s="178"/>
      <c r="GS7" s="178"/>
      <c r="GT7" s="178"/>
      <c r="GU7" s="178"/>
      <c r="GV7" s="178"/>
      <c r="GW7" s="178"/>
      <c r="GX7" s="178"/>
      <c r="GY7" s="178"/>
      <c r="GZ7" s="178"/>
      <c r="HA7" s="178"/>
      <c r="HB7" s="178"/>
      <c r="HC7" s="178"/>
      <c r="HD7" s="178"/>
      <c r="HE7" s="178"/>
      <c r="HF7" s="178"/>
      <c r="HG7" s="178"/>
      <c r="HH7" s="178"/>
      <c r="HI7" s="178"/>
      <c r="HJ7" s="178"/>
      <c r="HK7" s="178"/>
      <c r="HL7" s="178"/>
      <c r="HM7" s="178"/>
      <c r="HN7" s="178"/>
      <c r="HO7" s="178"/>
      <c r="HP7" s="178"/>
      <c r="HQ7" s="178"/>
      <c r="HR7" s="178"/>
      <c r="HS7" s="178"/>
      <c r="HT7" s="178"/>
      <c r="HU7" s="178"/>
      <c r="HV7" s="178"/>
      <c r="HW7" s="178"/>
      <c r="HX7" s="178"/>
      <c r="HY7" s="178"/>
      <c r="HZ7" s="178"/>
      <c r="IA7" s="178"/>
      <c r="IB7" s="178"/>
      <c r="IC7" s="178"/>
      <c r="ID7" s="178"/>
      <c r="IE7" s="178"/>
      <c r="IF7" s="178"/>
      <c r="IG7" s="178"/>
      <c r="IH7" s="178"/>
      <c r="II7" s="178"/>
      <c r="IJ7" s="178"/>
      <c r="IK7" s="178"/>
      <c r="IL7" s="178"/>
      <c r="IM7" s="178"/>
      <c r="IN7" s="178"/>
      <c r="IO7" s="178"/>
      <c r="IP7" s="178"/>
      <c r="IQ7" s="178"/>
      <c r="IR7" s="178"/>
      <c r="IS7" s="178"/>
      <c r="IT7" s="178"/>
      <c r="IU7" s="178"/>
      <c r="IV7" s="178"/>
    </row>
    <row r="8" spans="1:256" s="184" customFormat="1" ht="17.25" customHeight="1">
      <c r="A8" s="470" t="s">
        <v>15</v>
      </c>
      <c r="B8" s="180" t="s">
        <v>16</v>
      </c>
      <c r="C8" s="180">
        <v>1</v>
      </c>
      <c r="D8" s="180">
        <v>2</v>
      </c>
      <c r="E8" s="180">
        <v>3</v>
      </c>
      <c r="F8" s="181">
        <v>4</v>
      </c>
      <c r="G8" s="181">
        <v>5</v>
      </c>
      <c r="H8" s="181">
        <v>6</v>
      </c>
      <c r="I8" s="182">
        <v>7</v>
      </c>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83"/>
      <c r="GL8" s="183"/>
      <c r="GM8" s="183"/>
      <c r="GN8" s="183"/>
      <c r="GO8" s="183"/>
      <c r="GP8" s="183"/>
      <c r="GQ8" s="183"/>
      <c r="GR8" s="183"/>
      <c r="GS8" s="183"/>
      <c r="GT8" s="183"/>
      <c r="GU8" s="183"/>
      <c r="GV8" s="183"/>
      <c r="GW8" s="183"/>
      <c r="GX8" s="183"/>
      <c r="GY8" s="183"/>
      <c r="GZ8" s="183"/>
      <c r="HA8" s="183"/>
      <c r="HB8" s="183"/>
      <c r="HC8" s="183"/>
      <c r="HD8" s="183"/>
      <c r="HE8" s="183"/>
      <c r="HF8" s="183"/>
      <c r="HG8" s="183"/>
      <c r="HH8" s="183"/>
      <c r="HI8" s="183"/>
      <c r="HJ8" s="183"/>
      <c r="HK8" s="183"/>
      <c r="HL8" s="183"/>
      <c r="HM8" s="183"/>
      <c r="HN8" s="183"/>
      <c r="HO8" s="183"/>
      <c r="HP8" s="183"/>
      <c r="HQ8" s="183"/>
      <c r="HR8" s="183"/>
      <c r="HS8" s="183"/>
      <c r="HT8" s="183"/>
      <c r="HU8" s="183"/>
      <c r="HV8" s="183"/>
      <c r="HW8" s="183"/>
      <c r="HX8" s="183"/>
      <c r="HY8" s="183"/>
      <c r="HZ8" s="183"/>
      <c r="IA8" s="183"/>
      <c r="IB8" s="183"/>
      <c r="IC8" s="183"/>
      <c r="ID8" s="183"/>
      <c r="IE8" s="183"/>
      <c r="IF8" s="183"/>
      <c r="IG8" s="183"/>
      <c r="IH8" s="183"/>
      <c r="II8" s="183"/>
      <c r="IJ8" s="183"/>
      <c r="IK8" s="183"/>
      <c r="IL8" s="183"/>
      <c r="IM8" s="183"/>
      <c r="IN8" s="183"/>
      <c r="IO8" s="183"/>
      <c r="IP8" s="183"/>
      <c r="IQ8" s="183"/>
      <c r="IR8" s="183"/>
      <c r="IS8" s="183"/>
      <c r="IT8" s="183"/>
      <c r="IU8" s="183"/>
      <c r="IV8" s="183"/>
    </row>
    <row r="9" spans="1:256" ht="18.75" customHeight="1">
      <c r="A9" s="402"/>
      <c r="B9" s="218" t="s">
        <v>229</v>
      </c>
      <c r="C9" s="219"/>
      <c r="D9" s="219"/>
      <c r="E9" s="219"/>
      <c r="F9" s="219"/>
      <c r="G9" s="219"/>
      <c r="H9" s="219"/>
      <c r="I9" s="220"/>
      <c r="J9" s="115"/>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c r="CJ9" s="115"/>
      <c r="CK9" s="115"/>
      <c r="CL9" s="115"/>
      <c r="CM9" s="115"/>
      <c r="CN9" s="115"/>
      <c r="CO9" s="115"/>
      <c r="CP9" s="115"/>
      <c r="CQ9" s="115"/>
      <c r="CR9" s="115"/>
      <c r="CS9" s="115"/>
      <c r="CT9" s="115"/>
      <c r="CU9" s="115"/>
      <c r="CV9" s="115"/>
      <c r="CW9" s="115"/>
      <c r="CX9" s="115"/>
      <c r="CY9" s="115"/>
      <c r="CZ9" s="115"/>
      <c r="DA9" s="115"/>
      <c r="DB9" s="115"/>
      <c r="DC9" s="115"/>
      <c r="DD9" s="115"/>
      <c r="DE9" s="115"/>
      <c r="DF9" s="115"/>
      <c r="DG9" s="115"/>
      <c r="DH9" s="115"/>
      <c r="DI9" s="115"/>
      <c r="DJ9" s="115"/>
      <c r="DK9" s="115"/>
      <c r="DL9" s="115"/>
      <c r="DM9" s="115"/>
      <c r="DN9" s="115"/>
      <c r="DO9" s="115"/>
      <c r="DP9" s="115"/>
      <c r="DQ9" s="115"/>
      <c r="DR9" s="115"/>
      <c r="DS9" s="115"/>
      <c r="DT9" s="115"/>
      <c r="DU9" s="115"/>
      <c r="DV9" s="115"/>
      <c r="DW9" s="115"/>
      <c r="DX9" s="115"/>
      <c r="DY9" s="115"/>
      <c r="DZ9" s="115"/>
      <c r="EA9" s="115"/>
      <c r="EB9" s="115"/>
      <c r="EC9" s="115"/>
      <c r="ED9" s="115"/>
      <c r="EE9" s="115"/>
      <c r="EF9" s="115"/>
      <c r="EG9" s="115"/>
      <c r="EH9" s="115"/>
      <c r="EI9" s="115"/>
      <c r="EJ9" s="115"/>
      <c r="EK9" s="115"/>
      <c r="EL9" s="115"/>
      <c r="EM9" s="115"/>
      <c r="EN9" s="115"/>
      <c r="EO9" s="115"/>
      <c r="EP9" s="115"/>
      <c r="EQ9" s="115"/>
      <c r="ER9" s="115"/>
      <c r="ES9" s="115"/>
      <c r="ET9" s="115"/>
      <c r="EU9" s="115"/>
      <c r="EV9" s="115"/>
      <c r="EW9" s="115"/>
      <c r="EX9" s="115"/>
      <c r="EY9" s="115"/>
      <c r="EZ9" s="115"/>
      <c r="FA9" s="115"/>
      <c r="FB9" s="115"/>
      <c r="FC9" s="115"/>
      <c r="FD9" s="115"/>
      <c r="FE9" s="115"/>
      <c r="FF9" s="115"/>
      <c r="FG9" s="115"/>
      <c r="FH9" s="115"/>
      <c r="FI9" s="115"/>
      <c r="FJ9" s="115"/>
      <c r="FK9" s="115"/>
      <c r="FL9" s="115"/>
      <c r="FM9" s="115"/>
      <c r="FN9" s="115"/>
      <c r="FO9" s="115"/>
      <c r="FP9" s="115"/>
      <c r="FQ9" s="115"/>
      <c r="FR9" s="115"/>
      <c r="FS9" s="115"/>
      <c r="FT9" s="115"/>
      <c r="FU9" s="115"/>
      <c r="FV9" s="115"/>
      <c r="FW9" s="115"/>
      <c r="FX9" s="115"/>
      <c r="FY9" s="115"/>
      <c r="FZ9" s="115"/>
      <c r="GA9" s="115"/>
      <c r="GB9" s="115"/>
      <c r="GC9" s="115"/>
      <c r="GD9" s="115"/>
      <c r="GE9" s="115"/>
      <c r="GF9" s="115"/>
      <c r="GG9" s="115"/>
      <c r="GH9" s="115"/>
      <c r="GI9" s="115"/>
      <c r="GJ9" s="115"/>
      <c r="GK9" s="115"/>
      <c r="GL9" s="115"/>
      <c r="GM9" s="115"/>
      <c r="GN9" s="115"/>
      <c r="GO9" s="115"/>
      <c r="GP9" s="115"/>
      <c r="GQ9" s="115"/>
      <c r="GR9" s="115"/>
      <c r="GS9" s="115"/>
      <c r="GT9" s="115"/>
      <c r="GU9" s="115"/>
      <c r="GV9" s="115"/>
      <c r="GW9" s="115"/>
      <c r="GX9" s="115"/>
      <c r="GY9" s="115"/>
      <c r="GZ9" s="115"/>
      <c r="HA9" s="115"/>
      <c r="HB9" s="115"/>
      <c r="HC9" s="115"/>
      <c r="HD9" s="115"/>
      <c r="HE9" s="115"/>
      <c r="HF9" s="115"/>
      <c r="HG9" s="115"/>
      <c r="HH9" s="115"/>
      <c r="HI9" s="115"/>
      <c r="HJ9" s="115"/>
      <c r="HK9" s="115"/>
      <c r="HL9" s="115"/>
      <c r="HM9" s="115"/>
      <c r="HN9" s="115"/>
      <c r="HO9" s="115"/>
      <c r="HP9" s="115"/>
      <c r="HQ9" s="115"/>
      <c r="HR9" s="115"/>
      <c r="HS9" s="115"/>
      <c r="HT9" s="115"/>
      <c r="HU9" s="115"/>
      <c r="HV9" s="115"/>
      <c r="HW9" s="115"/>
      <c r="HX9" s="115"/>
      <c r="HY9" s="115"/>
      <c r="HZ9" s="115"/>
      <c r="IA9" s="115"/>
      <c r="IB9" s="115"/>
      <c r="IC9" s="115"/>
      <c r="ID9" s="115"/>
      <c r="IE9" s="115"/>
      <c r="IF9" s="115"/>
      <c r="IG9" s="115"/>
      <c r="IH9" s="115"/>
      <c r="II9" s="115"/>
      <c r="IJ9" s="115"/>
      <c r="IK9" s="115"/>
      <c r="IL9" s="115"/>
      <c r="IM9" s="115"/>
      <c r="IN9" s="115"/>
      <c r="IO9" s="115"/>
      <c r="IP9" s="115"/>
      <c r="IQ9" s="115"/>
      <c r="IR9" s="115"/>
      <c r="IS9" s="115"/>
      <c r="IT9" s="115"/>
      <c r="IU9" s="115"/>
      <c r="IV9" s="115"/>
    </row>
    <row r="10" spans="1:256" s="202" customFormat="1" ht="18.75" customHeight="1">
      <c r="A10" s="404"/>
      <c r="B10" s="221" t="s">
        <v>62</v>
      </c>
      <c r="C10" s="222"/>
      <c r="D10" s="222"/>
      <c r="E10" s="222"/>
      <c r="F10" s="222"/>
      <c r="G10" s="222"/>
      <c r="H10" s="222"/>
      <c r="I10" s="22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c r="GR10" s="113"/>
      <c r="GS10" s="113"/>
      <c r="GT10" s="113"/>
      <c r="GU10" s="113"/>
      <c r="GV10" s="113"/>
      <c r="GW10" s="113"/>
      <c r="GX10" s="113"/>
      <c r="GY10" s="113"/>
      <c r="GZ10" s="113"/>
      <c r="HA10" s="113"/>
      <c r="HB10" s="113"/>
      <c r="HC10" s="113"/>
      <c r="HD10" s="113"/>
      <c r="HE10" s="113"/>
      <c r="HF10" s="113"/>
      <c r="HG10" s="113"/>
      <c r="HH10" s="113"/>
      <c r="HI10" s="113"/>
      <c r="HJ10" s="113"/>
      <c r="HK10" s="113"/>
      <c r="HL10" s="113"/>
      <c r="HM10" s="113"/>
      <c r="HN10" s="113"/>
      <c r="HO10" s="113"/>
      <c r="HP10" s="113"/>
      <c r="HQ10" s="113"/>
      <c r="HR10" s="113"/>
      <c r="HS10" s="113"/>
      <c r="HT10" s="113"/>
      <c r="HU10" s="113"/>
      <c r="HV10" s="113"/>
      <c r="HW10" s="113"/>
      <c r="HX10" s="113"/>
      <c r="HY10" s="113"/>
      <c r="HZ10" s="113"/>
      <c r="IA10" s="113"/>
      <c r="IB10" s="113"/>
      <c r="IC10" s="113"/>
      <c r="ID10" s="113"/>
      <c r="IE10" s="113"/>
      <c r="IF10" s="113"/>
      <c r="IG10" s="113"/>
      <c r="IH10" s="113"/>
      <c r="II10" s="113"/>
      <c r="IJ10" s="113"/>
      <c r="IK10" s="113"/>
      <c r="IL10" s="113"/>
      <c r="IM10" s="113"/>
      <c r="IN10" s="113"/>
      <c r="IO10" s="113"/>
      <c r="IP10" s="113"/>
      <c r="IQ10" s="113"/>
      <c r="IR10" s="113"/>
      <c r="IS10" s="113"/>
      <c r="IT10" s="113"/>
      <c r="IU10" s="113"/>
      <c r="IV10" s="113"/>
    </row>
    <row r="11" spans="1:256" s="202" customFormat="1" ht="18.75" customHeight="1">
      <c r="A11" s="404" t="s">
        <v>24</v>
      </c>
      <c r="B11" s="224" t="s">
        <v>317</v>
      </c>
      <c r="C11" s="222"/>
      <c r="D11" s="222"/>
      <c r="E11" s="222"/>
      <c r="F11" s="222"/>
      <c r="G11" s="222"/>
      <c r="H11" s="222"/>
      <c r="I11" s="22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s="202" customFormat="1" ht="18.75" customHeight="1">
      <c r="A12" s="404" t="s">
        <v>24</v>
      </c>
      <c r="B12" s="224" t="s">
        <v>256</v>
      </c>
      <c r="C12" s="222"/>
      <c r="D12" s="222"/>
      <c r="E12" s="222"/>
      <c r="F12" s="222"/>
      <c r="G12" s="222"/>
      <c r="H12" s="222"/>
      <c r="I12" s="22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c r="GR12" s="113"/>
      <c r="GS12" s="113"/>
      <c r="GT12" s="113"/>
      <c r="GU12" s="113"/>
      <c r="GV12" s="113"/>
      <c r="GW12" s="113"/>
      <c r="GX12" s="113"/>
      <c r="GY12" s="113"/>
      <c r="GZ12" s="113"/>
      <c r="HA12" s="113"/>
      <c r="HB12" s="113"/>
      <c r="HC12" s="113"/>
      <c r="HD12" s="113"/>
      <c r="HE12" s="113"/>
      <c r="HF12" s="113"/>
      <c r="HG12" s="113"/>
      <c r="HH12" s="113"/>
      <c r="HI12" s="113"/>
      <c r="HJ12" s="113"/>
      <c r="HK12" s="113"/>
      <c r="HL12" s="113"/>
      <c r="HM12" s="113"/>
      <c r="HN12" s="113"/>
      <c r="HO12" s="113"/>
      <c r="HP12" s="113"/>
      <c r="HQ12" s="113"/>
      <c r="HR12" s="113"/>
      <c r="HS12" s="113"/>
      <c r="HT12" s="113"/>
      <c r="HU12" s="113"/>
      <c r="HV12" s="113"/>
      <c r="HW12" s="113"/>
      <c r="HX12" s="113"/>
      <c r="HY12" s="113"/>
      <c r="HZ12" s="113"/>
      <c r="IA12" s="113"/>
      <c r="IB12" s="113"/>
      <c r="IC12" s="113"/>
      <c r="ID12" s="113"/>
      <c r="IE12" s="113"/>
      <c r="IF12" s="113"/>
      <c r="IG12" s="113"/>
      <c r="IH12" s="113"/>
      <c r="II12" s="113"/>
      <c r="IJ12" s="113"/>
      <c r="IK12" s="113"/>
      <c r="IL12" s="113"/>
      <c r="IM12" s="113"/>
      <c r="IN12" s="113"/>
      <c r="IO12" s="113"/>
      <c r="IP12" s="113"/>
      <c r="IQ12" s="113"/>
      <c r="IR12" s="113"/>
      <c r="IS12" s="113"/>
      <c r="IT12" s="113"/>
      <c r="IU12" s="113"/>
      <c r="IV12" s="113"/>
    </row>
    <row r="13" spans="1:256" ht="18.75" customHeight="1">
      <c r="A13" s="404" t="s">
        <v>32</v>
      </c>
      <c r="B13" s="225" t="s">
        <v>249</v>
      </c>
      <c r="C13" s="226"/>
      <c r="D13" s="226"/>
      <c r="E13" s="226"/>
      <c r="F13" s="226"/>
      <c r="G13" s="226"/>
      <c r="H13" s="226"/>
      <c r="I13" s="227"/>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c r="BU13" s="115"/>
      <c r="BV13" s="115"/>
      <c r="BW13" s="115"/>
      <c r="BX13" s="115"/>
      <c r="BY13" s="115"/>
      <c r="BZ13" s="115"/>
      <c r="CA13" s="115"/>
      <c r="CB13" s="115"/>
      <c r="CC13" s="115"/>
      <c r="CD13" s="115"/>
      <c r="CE13" s="115"/>
      <c r="CF13" s="115"/>
      <c r="CG13" s="115"/>
      <c r="CH13" s="115"/>
      <c r="CI13" s="115"/>
      <c r="CJ13" s="115"/>
      <c r="CK13" s="115"/>
      <c r="CL13" s="115"/>
      <c r="CM13" s="115"/>
      <c r="CN13" s="115"/>
      <c r="CO13" s="115"/>
      <c r="CP13" s="115"/>
      <c r="CQ13" s="115"/>
      <c r="CR13" s="115"/>
      <c r="CS13" s="115"/>
      <c r="CT13" s="115"/>
      <c r="CU13" s="115"/>
      <c r="CV13" s="115"/>
      <c r="CW13" s="115"/>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115"/>
      <c r="EH13" s="115"/>
      <c r="EI13" s="115"/>
      <c r="EJ13" s="115"/>
      <c r="EK13" s="115"/>
      <c r="EL13" s="115"/>
      <c r="EM13" s="115"/>
      <c r="EN13" s="115"/>
      <c r="EO13" s="115"/>
      <c r="EP13" s="115"/>
      <c r="EQ13" s="115"/>
      <c r="ER13" s="115"/>
      <c r="ES13" s="115"/>
      <c r="ET13" s="115"/>
      <c r="EU13" s="115"/>
      <c r="EV13" s="115"/>
      <c r="EW13" s="115"/>
      <c r="EX13" s="115"/>
      <c r="EY13" s="115"/>
      <c r="EZ13" s="115"/>
      <c r="FA13" s="115"/>
      <c r="FB13" s="115"/>
      <c r="FC13" s="115"/>
      <c r="FD13" s="115"/>
      <c r="FE13" s="115"/>
      <c r="FF13" s="115"/>
      <c r="FG13" s="115"/>
      <c r="FH13" s="115"/>
      <c r="FI13" s="115"/>
      <c r="FJ13" s="115"/>
      <c r="FK13" s="115"/>
      <c r="FL13" s="115"/>
      <c r="FM13" s="115"/>
      <c r="FN13" s="115"/>
      <c r="FO13" s="115"/>
      <c r="FP13" s="115"/>
      <c r="FQ13" s="115"/>
      <c r="FR13" s="115"/>
      <c r="FS13" s="115"/>
      <c r="FT13" s="115"/>
      <c r="FU13" s="115"/>
      <c r="FV13" s="115"/>
      <c r="FW13" s="115"/>
      <c r="FX13" s="115"/>
      <c r="FY13" s="115"/>
      <c r="FZ13" s="115"/>
      <c r="GA13" s="115"/>
      <c r="GB13" s="115"/>
      <c r="GC13" s="115"/>
      <c r="GD13" s="115"/>
      <c r="GE13" s="115"/>
      <c r="GF13" s="115"/>
      <c r="GG13" s="115"/>
      <c r="GH13" s="115"/>
      <c r="GI13" s="115"/>
      <c r="GJ13" s="115"/>
      <c r="GK13" s="115"/>
      <c r="GL13" s="115"/>
      <c r="GM13" s="115"/>
      <c r="GN13" s="115"/>
      <c r="GO13" s="115"/>
      <c r="GP13" s="115"/>
      <c r="GQ13" s="115"/>
      <c r="GR13" s="115"/>
      <c r="GS13" s="115"/>
      <c r="GT13" s="115"/>
      <c r="GU13" s="115"/>
      <c r="GV13" s="115"/>
      <c r="GW13" s="115"/>
      <c r="GX13" s="115"/>
      <c r="GY13" s="115"/>
      <c r="GZ13" s="115"/>
      <c r="HA13" s="115"/>
      <c r="HB13" s="115"/>
      <c r="HC13" s="115"/>
      <c r="HD13" s="115"/>
      <c r="HE13" s="115"/>
      <c r="HF13" s="115"/>
      <c r="HG13" s="115"/>
      <c r="HH13" s="115"/>
      <c r="HI13" s="115"/>
      <c r="HJ13" s="115"/>
      <c r="HK13" s="115"/>
      <c r="HL13" s="115"/>
      <c r="HM13" s="115"/>
      <c r="HN13" s="115"/>
      <c r="HO13" s="115"/>
      <c r="HP13" s="115"/>
      <c r="HQ13" s="115"/>
      <c r="HR13" s="115"/>
      <c r="HS13" s="115"/>
      <c r="HT13" s="115"/>
      <c r="HU13" s="115"/>
      <c r="HV13" s="115"/>
      <c r="HW13" s="115"/>
      <c r="HX13" s="115"/>
      <c r="HY13" s="115"/>
      <c r="HZ13" s="115"/>
      <c r="IA13" s="115"/>
      <c r="IB13" s="115"/>
      <c r="IC13" s="115"/>
      <c r="ID13" s="115"/>
      <c r="IE13" s="115"/>
      <c r="IF13" s="115"/>
      <c r="IG13" s="115"/>
      <c r="IH13" s="115"/>
      <c r="II13" s="115"/>
      <c r="IJ13" s="115"/>
      <c r="IK13" s="115"/>
      <c r="IL13" s="115"/>
      <c r="IM13" s="115"/>
      <c r="IN13" s="115"/>
      <c r="IO13" s="115"/>
      <c r="IP13" s="115"/>
      <c r="IQ13" s="115"/>
      <c r="IR13" s="115"/>
      <c r="IS13" s="115"/>
      <c r="IT13" s="115"/>
      <c r="IU13" s="115"/>
      <c r="IV13" s="115"/>
    </row>
    <row r="14" spans="1:256" ht="18.75" customHeight="1">
      <c r="A14" s="404"/>
      <c r="B14" s="221" t="s">
        <v>62</v>
      </c>
      <c r="C14" s="222"/>
      <c r="D14" s="222"/>
      <c r="E14" s="222"/>
      <c r="F14" s="222"/>
      <c r="G14" s="222"/>
      <c r="H14" s="222"/>
      <c r="I14" s="22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c r="GR14" s="113"/>
      <c r="GS14" s="113"/>
      <c r="GT14" s="113"/>
      <c r="GU14" s="113"/>
      <c r="GV14" s="113"/>
      <c r="GW14" s="113"/>
      <c r="GX14" s="113"/>
      <c r="GY14" s="113"/>
      <c r="GZ14" s="113"/>
      <c r="HA14" s="113"/>
      <c r="HB14" s="113"/>
      <c r="HC14" s="113"/>
      <c r="HD14" s="113"/>
      <c r="HE14" s="113"/>
      <c r="HF14" s="113"/>
      <c r="HG14" s="113"/>
      <c r="HH14" s="113"/>
      <c r="HI14" s="113"/>
      <c r="HJ14" s="113"/>
      <c r="HK14" s="113"/>
      <c r="HL14" s="113"/>
      <c r="HM14" s="113"/>
      <c r="HN14" s="113"/>
      <c r="HO14" s="113"/>
      <c r="HP14" s="113"/>
      <c r="HQ14" s="113"/>
      <c r="HR14" s="113"/>
      <c r="HS14" s="113"/>
      <c r="HT14" s="113"/>
      <c r="HU14" s="113"/>
      <c r="HV14" s="113"/>
      <c r="HW14" s="113"/>
      <c r="HX14" s="113"/>
      <c r="HY14" s="113"/>
      <c r="HZ14" s="113"/>
      <c r="IA14" s="113"/>
      <c r="IB14" s="113"/>
      <c r="IC14" s="113"/>
      <c r="ID14" s="113"/>
      <c r="IE14" s="113"/>
      <c r="IF14" s="113"/>
      <c r="IG14" s="113"/>
      <c r="IH14" s="113"/>
      <c r="II14" s="113"/>
      <c r="IJ14" s="113"/>
      <c r="IK14" s="113"/>
      <c r="IL14" s="113"/>
      <c r="IM14" s="113"/>
      <c r="IN14" s="113"/>
      <c r="IO14" s="113"/>
      <c r="IP14" s="113"/>
      <c r="IQ14" s="113"/>
      <c r="IR14" s="113"/>
      <c r="IS14" s="113"/>
      <c r="IT14" s="113"/>
      <c r="IU14" s="113"/>
      <c r="IV14" s="113"/>
    </row>
    <row r="15" spans="1:256" ht="18.75" customHeight="1">
      <c r="A15" s="404" t="s">
        <v>24</v>
      </c>
      <c r="B15" s="228" t="s">
        <v>255</v>
      </c>
      <c r="C15" s="222"/>
      <c r="D15" s="222"/>
      <c r="E15" s="222"/>
      <c r="F15" s="222"/>
      <c r="G15" s="222"/>
      <c r="H15" s="222"/>
      <c r="I15" s="22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row>
    <row r="16" spans="1:256" ht="18.75" customHeight="1">
      <c r="A16" s="404" t="s">
        <v>24</v>
      </c>
      <c r="B16" s="229" t="s">
        <v>256</v>
      </c>
      <c r="C16" s="222"/>
      <c r="D16" s="222"/>
      <c r="E16" s="222"/>
      <c r="F16" s="222"/>
      <c r="G16" s="222"/>
      <c r="H16" s="222"/>
      <c r="I16" s="22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c r="GR16" s="113"/>
      <c r="GS16" s="113"/>
      <c r="GT16" s="113"/>
      <c r="GU16" s="113"/>
      <c r="GV16" s="113"/>
      <c r="GW16" s="113"/>
      <c r="GX16" s="113"/>
      <c r="GY16" s="113"/>
      <c r="GZ16" s="113"/>
      <c r="HA16" s="113"/>
      <c r="HB16" s="113"/>
      <c r="HC16" s="113"/>
      <c r="HD16" s="113"/>
      <c r="HE16" s="113"/>
      <c r="HF16" s="113"/>
      <c r="HG16" s="113"/>
      <c r="HH16" s="113"/>
      <c r="HI16" s="113"/>
      <c r="HJ16" s="113"/>
      <c r="HK16" s="113"/>
      <c r="HL16" s="113"/>
      <c r="HM16" s="113"/>
      <c r="HN16" s="113"/>
      <c r="HO16" s="113"/>
      <c r="HP16" s="113"/>
      <c r="HQ16" s="113"/>
      <c r="HR16" s="113"/>
      <c r="HS16" s="113"/>
      <c r="HT16" s="113"/>
      <c r="HU16" s="113"/>
      <c r="HV16" s="113"/>
      <c r="HW16" s="113"/>
      <c r="HX16" s="113"/>
      <c r="HY16" s="113"/>
      <c r="HZ16" s="113"/>
      <c r="IA16" s="113"/>
      <c r="IB16" s="113"/>
      <c r="IC16" s="113"/>
      <c r="ID16" s="113"/>
      <c r="IE16" s="113"/>
      <c r="IF16" s="113"/>
      <c r="IG16" s="113"/>
      <c r="IH16" s="113"/>
      <c r="II16" s="113"/>
      <c r="IJ16" s="113"/>
      <c r="IK16" s="113"/>
      <c r="IL16" s="113"/>
      <c r="IM16" s="113"/>
      <c r="IN16" s="113"/>
      <c r="IO16" s="113"/>
      <c r="IP16" s="113"/>
      <c r="IQ16" s="113"/>
      <c r="IR16" s="113"/>
      <c r="IS16" s="113"/>
      <c r="IT16" s="113"/>
      <c r="IU16" s="113"/>
      <c r="IV16" s="113"/>
    </row>
    <row r="17" spans="1:256" ht="18.75" customHeight="1">
      <c r="A17" s="404" t="s">
        <v>232</v>
      </c>
      <c r="B17" s="228" t="s">
        <v>252</v>
      </c>
      <c r="C17" s="222"/>
      <c r="D17" s="222"/>
      <c r="E17" s="222"/>
      <c r="F17" s="222"/>
      <c r="G17" s="222"/>
      <c r="H17" s="222"/>
      <c r="I17" s="22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c r="GR17" s="113"/>
      <c r="GS17" s="113"/>
      <c r="GT17" s="113"/>
      <c r="GU17" s="113"/>
      <c r="GV17" s="113"/>
      <c r="GW17" s="113"/>
      <c r="GX17" s="113"/>
      <c r="GY17" s="113"/>
      <c r="GZ17" s="113"/>
      <c r="HA17" s="113"/>
      <c r="HB17" s="113"/>
      <c r="HC17" s="113"/>
      <c r="HD17" s="113"/>
      <c r="HE17" s="113"/>
      <c r="HF17" s="113"/>
      <c r="HG17" s="113"/>
      <c r="HH17" s="113"/>
      <c r="HI17" s="113"/>
      <c r="HJ17" s="113"/>
      <c r="HK17" s="113"/>
      <c r="HL17" s="113"/>
      <c r="HM17" s="113"/>
      <c r="HN17" s="113"/>
      <c r="HO17" s="113"/>
      <c r="HP17" s="113"/>
      <c r="HQ17" s="113"/>
      <c r="HR17" s="113"/>
      <c r="HS17" s="113"/>
      <c r="HT17" s="113"/>
      <c r="HU17" s="113"/>
      <c r="HV17" s="113"/>
      <c r="HW17" s="113"/>
      <c r="HX17" s="113"/>
      <c r="HY17" s="113"/>
      <c r="HZ17" s="113"/>
      <c r="IA17" s="113"/>
      <c r="IB17" s="113"/>
      <c r="IC17" s="113"/>
      <c r="ID17" s="113"/>
      <c r="IE17" s="113"/>
      <c r="IF17" s="113"/>
      <c r="IG17" s="113"/>
      <c r="IH17" s="113"/>
      <c r="II17" s="113"/>
      <c r="IJ17" s="113"/>
      <c r="IK17" s="113"/>
      <c r="IL17" s="113"/>
      <c r="IM17" s="113"/>
      <c r="IN17" s="113"/>
      <c r="IO17" s="113"/>
      <c r="IP17" s="113"/>
      <c r="IQ17" s="113"/>
      <c r="IR17" s="113"/>
      <c r="IS17" s="113"/>
      <c r="IT17" s="113"/>
      <c r="IU17" s="113"/>
      <c r="IV17" s="113"/>
    </row>
    <row r="18" spans="1:256" ht="18.75" customHeight="1">
      <c r="A18" s="404" t="s">
        <v>233</v>
      </c>
      <c r="B18" s="228" t="s">
        <v>254</v>
      </c>
      <c r="C18" s="222"/>
      <c r="D18" s="222"/>
      <c r="E18" s="222"/>
      <c r="F18" s="222"/>
      <c r="G18" s="222"/>
      <c r="H18" s="222"/>
      <c r="I18" s="22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c r="IM18" s="113"/>
      <c r="IN18" s="113"/>
      <c r="IO18" s="113"/>
      <c r="IP18" s="113"/>
      <c r="IQ18" s="113"/>
      <c r="IR18" s="113"/>
      <c r="IS18" s="113"/>
      <c r="IT18" s="113"/>
      <c r="IU18" s="113"/>
      <c r="IV18" s="113"/>
    </row>
    <row r="19" spans="1:256" ht="18.75" customHeight="1">
      <c r="A19" s="404" t="s">
        <v>250</v>
      </c>
      <c r="B19" s="228" t="s">
        <v>253</v>
      </c>
      <c r="C19" s="222"/>
      <c r="D19" s="222"/>
      <c r="E19" s="222"/>
      <c r="F19" s="222"/>
      <c r="G19" s="222"/>
      <c r="H19" s="222"/>
      <c r="I19" s="22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row>
    <row r="20" spans="1:256" ht="18.75" customHeight="1">
      <c r="A20" s="404" t="s">
        <v>251</v>
      </c>
      <c r="B20" s="228" t="s">
        <v>395</v>
      </c>
      <c r="C20" s="222"/>
      <c r="D20" s="222"/>
      <c r="E20" s="222"/>
      <c r="F20" s="222"/>
      <c r="G20" s="222"/>
      <c r="H20" s="222"/>
      <c r="I20" s="22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row>
    <row r="21" spans="1:256" ht="18.75" customHeight="1">
      <c r="A21" s="404" t="s">
        <v>33</v>
      </c>
      <c r="B21" s="225" t="s">
        <v>265</v>
      </c>
      <c r="C21" s="230"/>
      <c r="D21" s="230"/>
      <c r="E21" s="230"/>
      <c r="F21" s="226"/>
      <c r="G21" s="226"/>
      <c r="H21" s="226"/>
      <c r="I21" s="227"/>
      <c r="J21" s="115"/>
      <c r="K21" s="115"/>
      <c r="L21" s="115"/>
      <c r="M21" s="115"/>
      <c r="N21" s="115"/>
      <c r="O21" s="115"/>
      <c r="P21" s="115"/>
      <c r="Q21" s="115"/>
      <c r="R21" s="115"/>
      <c r="S21" s="115"/>
      <c r="T21" s="115"/>
      <c r="U21" s="115"/>
      <c r="V21" s="115"/>
      <c r="W21" s="115"/>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c r="BU21" s="115"/>
      <c r="BV21" s="115"/>
      <c r="BW21" s="115"/>
      <c r="BX21" s="115"/>
      <c r="BY21" s="115"/>
      <c r="BZ21" s="115"/>
      <c r="CA21" s="115"/>
      <c r="CB21" s="115"/>
      <c r="CC21" s="115"/>
      <c r="CD21" s="115"/>
      <c r="CE21" s="115"/>
      <c r="CF21" s="115"/>
      <c r="CG21" s="115"/>
      <c r="CH21" s="115"/>
      <c r="CI21" s="115"/>
      <c r="CJ21" s="115"/>
      <c r="CK21" s="115"/>
      <c r="CL21" s="115"/>
      <c r="CM21" s="115"/>
      <c r="CN21" s="115"/>
      <c r="CO21" s="115"/>
      <c r="CP21" s="115"/>
      <c r="CQ21" s="115"/>
      <c r="CR21" s="115"/>
      <c r="CS21" s="115"/>
      <c r="CT21" s="115"/>
      <c r="CU21" s="115"/>
      <c r="CV21" s="115"/>
      <c r="CW21" s="115"/>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115"/>
      <c r="EH21" s="115"/>
      <c r="EI21" s="115"/>
      <c r="EJ21" s="115"/>
      <c r="EK21" s="115"/>
      <c r="EL21" s="115"/>
      <c r="EM21" s="115"/>
      <c r="EN21" s="115"/>
      <c r="EO21" s="115"/>
      <c r="EP21" s="115"/>
      <c r="EQ21" s="115"/>
      <c r="ER21" s="115"/>
      <c r="ES21" s="115"/>
      <c r="ET21" s="115"/>
      <c r="EU21" s="115"/>
      <c r="EV21" s="115"/>
      <c r="EW21" s="115"/>
      <c r="EX21" s="115"/>
      <c r="EY21" s="115"/>
      <c r="EZ21" s="115"/>
      <c r="FA21" s="115"/>
      <c r="FB21" s="115"/>
      <c r="FC21" s="115"/>
      <c r="FD21" s="115"/>
      <c r="FE21" s="115"/>
      <c r="FF21" s="115"/>
      <c r="FG21" s="115"/>
      <c r="FH21" s="115"/>
      <c r="FI21" s="115"/>
      <c r="FJ21" s="115"/>
      <c r="FK21" s="115"/>
      <c r="FL21" s="115"/>
      <c r="FM21" s="115"/>
      <c r="FN21" s="115"/>
      <c r="FO21" s="115"/>
      <c r="FP21" s="115"/>
      <c r="FQ21" s="115"/>
      <c r="FR21" s="115"/>
      <c r="FS21" s="115"/>
      <c r="FT21" s="115"/>
      <c r="FU21" s="115"/>
      <c r="FV21" s="115"/>
      <c r="FW21" s="115"/>
      <c r="FX21" s="115"/>
      <c r="FY21" s="115"/>
      <c r="FZ21" s="115"/>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row>
    <row r="22" spans="1:256" ht="18.75" customHeight="1">
      <c r="A22" s="404"/>
      <c r="B22" s="221" t="s">
        <v>62</v>
      </c>
      <c r="C22" s="222"/>
      <c r="D22" s="222"/>
      <c r="E22" s="222"/>
      <c r="F22" s="222"/>
      <c r="G22" s="222"/>
      <c r="H22" s="222"/>
      <c r="I22" s="22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c r="GR22" s="113"/>
      <c r="GS22" s="113"/>
      <c r="GT22" s="113"/>
      <c r="GU22" s="113"/>
      <c r="GV22" s="113"/>
      <c r="GW22" s="113"/>
      <c r="GX22" s="113"/>
      <c r="GY22" s="113"/>
      <c r="GZ22" s="113"/>
      <c r="HA22" s="113"/>
      <c r="HB22" s="113"/>
      <c r="HC22" s="113"/>
      <c r="HD22" s="113"/>
      <c r="HE22" s="113"/>
      <c r="HF22" s="113"/>
      <c r="HG22" s="113"/>
      <c r="HH22" s="113"/>
      <c r="HI22" s="113"/>
      <c r="HJ22" s="113"/>
      <c r="HK22" s="113"/>
      <c r="HL22" s="113"/>
      <c r="HM22" s="113"/>
      <c r="HN22" s="113"/>
      <c r="HO22" s="113"/>
      <c r="HP22" s="113"/>
      <c r="HQ22" s="113"/>
      <c r="HR22" s="113"/>
      <c r="HS22" s="113"/>
      <c r="HT22" s="113"/>
      <c r="HU22" s="113"/>
      <c r="HV22" s="113"/>
      <c r="HW22" s="113"/>
      <c r="HX22" s="113"/>
      <c r="HY22" s="113"/>
      <c r="HZ22" s="113"/>
      <c r="IA22" s="113"/>
      <c r="IB22" s="113"/>
      <c r="IC22" s="113"/>
      <c r="ID22" s="113"/>
      <c r="IE22" s="113"/>
      <c r="IF22" s="113"/>
      <c r="IG22" s="113"/>
      <c r="IH22" s="113"/>
      <c r="II22" s="113"/>
      <c r="IJ22" s="113"/>
      <c r="IK22" s="113"/>
      <c r="IL22" s="113"/>
      <c r="IM22" s="113"/>
      <c r="IN22" s="113"/>
      <c r="IO22" s="113"/>
      <c r="IP22" s="113"/>
      <c r="IQ22" s="113"/>
      <c r="IR22" s="113"/>
      <c r="IS22" s="113"/>
      <c r="IT22" s="113"/>
      <c r="IU22" s="113"/>
      <c r="IV22" s="113"/>
    </row>
    <row r="23" spans="1:256" ht="18.75" customHeight="1">
      <c r="A23" s="404" t="s">
        <v>24</v>
      </c>
      <c r="B23" s="228" t="s">
        <v>255</v>
      </c>
      <c r="C23" s="231"/>
      <c r="D23" s="231"/>
      <c r="E23" s="231"/>
      <c r="F23" s="222"/>
      <c r="G23" s="222"/>
      <c r="H23" s="222"/>
      <c r="I23" s="22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row>
    <row r="24" spans="1:256" ht="18.75" customHeight="1">
      <c r="A24" s="404" t="s">
        <v>24</v>
      </c>
      <c r="B24" s="229" t="s">
        <v>256</v>
      </c>
      <c r="C24" s="231"/>
      <c r="D24" s="231"/>
      <c r="E24" s="231"/>
      <c r="F24" s="231"/>
      <c r="G24" s="231"/>
      <c r="H24" s="231"/>
      <c r="I24" s="232"/>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c r="GR24" s="113"/>
      <c r="GS24" s="113"/>
      <c r="GT24" s="113"/>
      <c r="GU24" s="113"/>
      <c r="GV24" s="113"/>
      <c r="GW24" s="113"/>
      <c r="GX24" s="113"/>
      <c r="GY24" s="113"/>
      <c r="GZ24" s="113"/>
      <c r="HA24" s="113"/>
      <c r="HB24" s="113"/>
      <c r="HC24" s="113"/>
      <c r="HD24" s="113"/>
      <c r="HE24" s="113"/>
      <c r="HF24" s="113"/>
      <c r="HG24" s="113"/>
      <c r="HH24" s="113"/>
      <c r="HI24" s="113"/>
      <c r="HJ24" s="113"/>
      <c r="HK24" s="113"/>
      <c r="HL24" s="113"/>
      <c r="HM24" s="113"/>
      <c r="HN24" s="113"/>
      <c r="HO24" s="113"/>
      <c r="HP24" s="113"/>
      <c r="HQ24" s="113"/>
      <c r="HR24" s="113"/>
      <c r="HS24" s="113"/>
      <c r="HT24" s="113"/>
      <c r="HU24" s="113"/>
      <c r="HV24" s="113"/>
      <c r="HW24" s="113"/>
      <c r="HX24" s="113"/>
      <c r="HY24" s="113"/>
      <c r="HZ24" s="113"/>
      <c r="IA24" s="113"/>
      <c r="IB24" s="113"/>
      <c r="IC24" s="113"/>
      <c r="ID24" s="113"/>
      <c r="IE24" s="113"/>
      <c r="IF24" s="113"/>
      <c r="IG24" s="113"/>
      <c r="IH24" s="113"/>
      <c r="II24" s="113"/>
      <c r="IJ24" s="113"/>
      <c r="IK24" s="113"/>
      <c r="IL24" s="113"/>
      <c r="IM24" s="113"/>
      <c r="IN24" s="113"/>
      <c r="IO24" s="113"/>
      <c r="IP24" s="113"/>
      <c r="IQ24" s="113"/>
      <c r="IR24" s="113"/>
      <c r="IS24" s="113"/>
      <c r="IT24" s="113"/>
      <c r="IU24" s="113"/>
      <c r="IV24" s="113"/>
    </row>
    <row r="25" spans="1:256" ht="18.75" customHeight="1">
      <c r="A25" s="404" t="s">
        <v>232</v>
      </c>
      <c r="B25" s="233" t="s">
        <v>428</v>
      </c>
      <c r="C25" s="230"/>
      <c r="D25" s="230"/>
      <c r="E25" s="230"/>
      <c r="F25" s="226"/>
      <c r="G25" s="226"/>
      <c r="H25" s="226"/>
      <c r="I25" s="227"/>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row>
    <row r="26" spans="1:256" ht="18.75" customHeight="1">
      <c r="A26" s="404"/>
      <c r="B26" s="221" t="s">
        <v>62</v>
      </c>
      <c r="C26" s="222"/>
      <c r="D26" s="222"/>
      <c r="E26" s="222"/>
      <c r="F26" s="222"/>
      <c r="G26" s="222"/>
      <c r="H26" s="222"/>
      <c r="I26" s="22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c r="GR26" s="113"/>
      <c r="GS26" s="113"/>
      <c r="GT26" s="113"/>
      <c r="GU26" s="113"/>
      <c r="GV26" s="113"/>
      <c r="GW26" s="113"/>
      <c r="GX26" s="113"/>
      <c r="GY26" s="113"/>
      <c r="GZ26" s="113"/>
      <c r="HA26" s="113"/>
      <c r="HB26" s="113"/>
      <c r="HC26" s="113"/>
      <c r="HD26" s="113"/>
      <c r="HE26" s="113"/>
      <c r="HF26" s="113"/>
      <c r="HG26" s="113"/>
      <c r="HH26" s="113"/>
      <c r="HI26" s="113"/>
      <c r="HJ26" s="113"/>
      <c r="HK26" s="113"/>
      <c r="HL26" s="113"/>
      <c r="HM26" s="113"/>
      <c r="HN26" s="113"/>
      <c r="HO26" s="113"/>
      <c r="HP26" s="113"/>
      <c r="HQ26" s="113"/>
      <c r="HR26" s="113"/>
      <c r="HS26" s="113"/>
      <c r="HT26" s="113"/>
      <c r="HU26" s="113"/>
      <c r="HV26" s="113"/>
      <c r="HW26" s="113"/>
      <c r="HX26" s="113"/>
      <c r="HY26" s="113"/>
      <c r="HZ26" s="113"/>
      <c r="IA26" s="113"/>
      <c r="IB26" s="113"/>
      <c r="IC26" s="113"/>
      <c r="ID26" s="113"/>
      <c r="IE26" s="113"/>
      <c r="IF26" s="113"/>
      <c r="IG26" s="113"/>
      <c r="IH26" s="113"/>
      <c r="II26" s="113"/>
      <c r="IJ26" s="113"/>
      <c r="IK26" s="113"/>
      <c r="IL26" s="113"/>
      <c r="IM26" s="113"/>
      <c r="IN26" s="113"/>
      <c r="IO26" s="113"/>
      <c r="IP26" s="113"/>
      <c r="IQ26" s="113"/>
      <c r="IR26" s="113"/>
      <c r="IS26" s="113"/>
      <c r="IT26" s="113"/>
      <c r="IU26" s="113"/>
      <c r="IV26" s="113"/>
    </row>
    <row r="27" spans="1:256" ht="18.75" customHeight="1">
      <c r="A27" s="404" t="s">
        <v>24</v>
      </c>
      <c r="B27" s="228" t="s">
        <v>255</v>
      </c>
      <c r="C27" s="222"/>
      <c r="D27" s="231"/>
      <c r="E27" s="231"/>
      <c r="F27" s="231"/>
      <c r="G27" s="231"/>
      <c r="H27" s="231"/>
      <c r="I27" s="22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c r="GR27" s="113"/>
      <c r="GS27" s="113"/>
      <c r="GT27" s="113"/>
      <c r="GU27" s="113"/>
      <c r="GV27" s="113"/>
      <c r="GW27" s="113"/>
      <c r="GX27" s="113"/>
      <c r="GY27" s="113"/>
      <c r="GZ27" s="113"/>
      <c r="HA27" s="113"/>
      <c r="HB27" s="113"/>
      <c r="HC27" s="113"/>
      <c r="HD27" s="113"/>
      <c r="HE27" s="113"/>
      <c r="HF27" s="113"/>
      <c r="HG27" s="113"/>
      <c r="HH27" s="113"/>
      <c r="HI27" s="113"/>
      <c r="HJ27" s="113"/>
      <c r="HK27" s="113"/>
      <c r="HL27" s="113"/>
      <c r="HM27" s="113"/>
      <c r="HN27" s="113"/>
      <c r="HO27" s="113"/>
      <c r="HP27" s="113"/>
      <c r="HQ27" s="113"/>
      <c r="HR27" s="113"/>
      <c r="HS27" s="113"/>
      <c r="HT27" s="113"/>
      <c r="HU27" s="113"/>
      <c r="HV27" s="113"/>
      <c r="HW27" s="113"/>
      <c r="HX27" s="113"/>
      <c r="HY27" s="113"/>
      <c r="HZ27" s="113"/>
      <c r="IA27" s="113"/>
      <c r="IB27" s="113"/>
      <c r="IC27" s="113"/>
      <c r="ID27" s="113"/>
      <c r="IE27" s="113"/>
      <c r="IF27" s="113"/>
      <c r="IG27" s="113"/>
      <c r="IH27" s="113"/>
      <c r="II27" s="113"/>
      <c r="IJ27" s="113"/>
      <c r="IK27" s="113"/>
      <c r="IL27" s="113"/>
      <c r="IM27" s="113"/>
      <c r="IN27" s="113"/>
      <c r="IO27" s="113"/>
      <c r="IP27" s="113"/>
      <c r="IQ27" s="113"/>
      <c r="IR27" s="113"/>
      <c r="IS27" s="113"/>
      <c r="IT27" s="113"/>
      <c r="IU27" s="113"/>
      <c r="IV27" s="113"/>
    </row>
    <row r="28" spans="1:256" ht="18.75" customHeight="1">
      <c r="A28" s="404" t="s">
        <v>24</v>
      </c>
      <c r="B28" s="229" t="s">
        <v>256</v>
      </c>
      <c r="C28" s="222"/>
      <c r="D28" s="222"/>
      <c r="E28" s="222"/>
      <c r="F28" s="222"/>
      <c r="G28" s="222"/>
      <c r="H28" s="222"/>
      <c r="I28" s="22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GR28" s="113"/>
      <c r="GS28" s="113"/>
      <c r="GT28" s="113"/>
      <c r="GU28" s="113"/>
      <c r="GV28" s="113"/>
      <c r="GW28" s="113"/>
      <c r="GX28" s="113"/>
      <c r="GY28" s="113"/>
      <c r="GZ28" s="113"/>
      <c r="HA28" s="113"/>
      <c r="HB28" s="113"/>
      <c r="HC28" s="113"/>
      <c r="HD28" s="113"/>
      <c r="HE28" s="113"/>
      <c r="HF28" s="113"/>
      <c r="HG28" s="113"/>
      <c r="HH28" s="113"/>
      <c r="HI28" s="113"/>
      <c r="HJ28" s="113"/>
      <c r="HK28" s="113"/>
      <c r="HL28" s="113"/>
      <c r="HM28" s="113"/>
      <c r="HN28" s="113"/>
      <c r="HO28" s="113"/>
      <c r="HP28" s="113"/>
      <c r="HQ28" s="113"/>
      <c r="HR28" s="113"/>
      <c r="HS28" s="113"/>
      <c r="HT28" s="113"/>
      <c r="HU28" s="113"/>
      <c r="HV28" s="113"/>
      <c r="HW28" s="113"/>
      <c r="HX28" s="113"/>
      <c r="HY28" s="113"/>
      <c r="HZ28" s="113"/>
      <c r="IA28" s="113"/>
      <c r="IB28" s="113"/>
      <c r="IC28" s="113"/>
      <c r="ID28" s="113"/>
      <c r="IE28" s="113"/>
      <c r="IF28" s="113"/>
      <c r="IG28" s="113"/>
      <c r="IH28" s="113"/>
      <c r="II28" s="113"/>
      <c r="IJ28" s="113"/>
      <c r="IK28" s="113"/>
      <c r="IL28" s="113"/>
      <c r="IM28" s="113"/>
      <c r="IN28" s="113"/>
      <c r="IO28" s="113"/>
      <c r="IP28" s="113"/>
      <c r="IQ28" s="113"/>
      <c r="IR28" s="113"/>
      <c r="IS28" s="113"/>
      <c r="IT28" s="113"/>
      <c r="IU28" s="113"/>
      <c r="IV28" s="113"/>
    </row>
    <row r="29" spans="1:256" ht="18.75" customHeight="1">
      <c r="A29" s="404" t="s">
        <v>125</v>
      </c>
      <c r="B29" s="234" t="s">
        <v>234</v>
      </c>
      <c r="C29" s="235"/>
      <c r="D29" s="235"/>
      <c r="E29" s="235"/>
      <c r="F29" s="235"/>
      <c r="G29" s="235"/>
      <c r="H29" s="235"/>
      <c r="I29" s="236"/>
    </row>
    <row r="30" spans="1:256" ht="18.75" customHeight="1">
      <c r="A30" s="404"/>
      <c r="B30" s="221" t="s">
        <v>62</v>
      </c>
      <c r="C30" s="222"/>
      <c r="D30" s="222"/>
      <c r="E30" s="222"/>
      <c r="F30" s="222"/>
      <c r="G30" s="222"/>
      <c r="H30" s="222"/>
      <c r="I30" s="22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c r="GR30" s="113"/>
      <c r="GS30" s="113"/>
      <c r="GT30" s="113"/>
      <c r="GU30" s="113"/>
      <c r="GV30" s="113"/>
      <c r="GW30" s="113"/>
      <c r="GX30" s="113"/>
      <c r="GY30" s="113"/>
      <c r="GZ30" s="113"/>
      <c r="HA30" s="113"/>
      <c r="HB30" s="113"/>
      <c r="HC30" s="113"/>
      <c r="HD30" s="113"/>
      <c r="HE30" s="113"/>
      <c r="HF30" s="113"/>
      <c r="HG30" s="113"/>
      <c r="HH30" s="113"/>
      <c r="HI30" s="113"/>
      <c r="HJ30" s="113"/>
      <c r="HK30" s="113"/>
      <c r="HL30" s="113"/>
      <c r="HM30" s="113"/>
      <c r="HN30" s="113"/>
      <c r="HO30" s="113"/>
      <c r="HP30" s="113"/>
      <c r="HQ30" s="113"/>
      <c r="HR30" s="113"/>
      <c r="HS30" s="113"/>
      <c r="HT30" s="113"/>
      <c r="HU30" s="113"/>
      <c r="HV30" s="113"/>
      <c r="HW30" s="113"/>
      <c r="HX30" s="113"/>
      <c r="HY30" s="113"/>
      <c r="HZ30" s="113"/>
      <c r="IA30" s="113"/>
      <c r="IB30" s="113"/>
      <c r="IC30" s="113"/>
      <c r="ID30" s="113"/>
      <c r="IE30" s="113"/>
      <c r="IF30" s="113"/>
      <c r="IG30" s="113"/>
      <c r="IH30" s="113"/>
      <c r="II30" s="113"/>
      <c r="IJ30" s="113"/>
      <c r="IK30" s="113"/>
      <c r="IL30" s="113"/>
      <c r="IM30" s="113"/>
      <c r="IN30" s="113"/>
      <c r="IO30" s="113"/>
      <c r="IP30" s="113"/>
      <c r="IQ30" s="113"/>
      <c r="IR30" s="113"/>
      <c r="IS30" s="113"/>
      <c r="IT30" s="113"/>
      <c r="IU30" s="113"/>
      <c r="IV30" s="113"/>
    </row>
    <row r="31" spans="1:256" ht="18.75" customHeight="1">
      <c r="A31" s="404" t="s">
        <v>24</v>
      </c>
      <c r="B31" s="228" t="s">
        <v>255</v>
      </c>
      <c r="C31" s="222"/>
      <c r="D31" s="222"/>
      <c r="E31" s="222"/>
      <c r="F31" s="222"/>
      <c r="G31" s="222"/>
      <c r="H31" s="222"/>
      <c r="I31" s="22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c r="GR31" s="113"/>
      <c r="GS31" s="113"/>
      <c r="GT31" s="113"/>
      <c r="GU31" s="113"/>
      <c r="GV31" s="113"/>
      <c r="GW31" s="113"/>
      <c r="GX31" s="113"/>
      <c r="GY31" s="113"/>
      <c r="GZ31" s="113"/>
      <c r="HA31" s="113"/>
      <c r="HB31" s="113"/>
      <c r="HC31" s="113"/>
      <c r="HD31" s="113"/>
      <c r="HE31" s="113"/>
      <c r="HF31" s="113"/>
      <c r="HG31" s="113"/>
      <c r="HH31" s="113"/>
      <c r="HI31" s="113"/>
      <c r="HJ31" s="113"/>
      <c r="HK31" s="113"/>
      <c r="HL31" s="113"/>
      <c r="HM31" s="113"/>
      <c r="HN31" s="113"/>
      <c r="HO31" s="113"/>
      <c r="HP31" s="113"/>
      <c r="HQ31" s="113"/>
      <c r="HR31" s="113"/>
      <c r="HS31" s="113"/>
      <c r="HT31" s="113"/>
      <c r="HU31" s="113"/>
      <c r="HV31" s="113"/>
      <c r="HW31" s="113"/>
      <c r="HX31" s="113"/>
      <c r="HY31" s="113"/>
      <c r="HZ31" s="113"/>
      <c r="IA31" s="113"/>
      <c r="IB31" s="113"/>
      <c r="IC31" s="113"/>
      <c r="ID31" s="113"/>
      <c r="IE31" s="113"/>
      <c r="IF31" s="113"/>
      <c r="IG31" s="113"/>
      <c r="IH31" s="113"/>
      <c r="II31" s="113"/>
      <c r="IJ31" s="113"/>
      <c r="IK31" s="113"/>
      <c r="IL31" s="113"/>
      <c r="IM31" s="113"/>
      <c r="IN31" s="113"/>
      <c r="IO31" s="113"/>
      <c r="IP31" s="113"/>
      <c r="IQ31" s="113"/>
      <c r="IR31" s="113"/>
      <c r="IS31" s="113"/>
      <c r="IT31" s="113"/>
      <c r="IU31" s="113"/>
      <c r="IV31" s="113"/>
    </row>
    <row r="32" spans="1:256" ht="18.75" customHeight="1">
      <c r="A32" s="404" t="s">
        <v>24</v>
      </c>
      <c r="B32" s="229" t="s">
        <v>256</v>
      </c>
      <c r="C32" s="222"/>
      <c r="D32" s="222"/>
      <c r="E32" s="222"/>
      <c r="F32" s="222"/>
      <c r="G32" s="222"/>
      <c r="H32" s="222"/>
      <c r="I32" s="22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c r="GR32" s="113"/>
      <c r="GS32" s="113"/>
      <c r="GT32" s="113"/>
      <c r="GU32" s="113"/>
      <c r="GV32" s="113"/>
      <c r="GW32" s="113"/>
      <c r="GX32" s="113"/>
      <c r="GY32" s="113"/>
      <c r="GZ32" s="113"/>
      <c r="HA32" s="113"/>
      <c r="HB32" s="113"/>
      <c r="HC32" s="113"/>
      <c r="HD32" s="113"/>
      <c r="HE32" s="113"/>
      <c r="HF32" s="113"/>
      <c r="HG32" s="113"/>
      <c r="HH32" s="113"/>
      <c r="HI32" s="113"/>
      <c r="HJ32" s="113"/>
      <c r="HK32" s="113"/>
      <c r="HL32" s="113"/>
      <c r="HM32" s="113"/>
      <c r="HN32" s="113"/>
      <c r="HO32" s="113"/>
      <c r="HP32" s="113"/>
      <c r="HQ32" s="113"/>
      <c r="HR32" s="113"/>
      <c r="HS32" s="113"/>
      <c r="HT32" s="113"/>
      <c r="HU32" s="113"/>
      <c r="HV32" s="113"/>
      <c r="HW32" s="113"/>
      <c r="HX32" s="113"/>
      <c r="HY32" s="113"/>
      <c r="HZ32" s="113"/>
      <c r="IA32" s="113"/>
      <c r="IB32" s="113"/>
      <c r="IC32" s="113"/>
      <c r="ID32" s="113"/>
      <c r="IE32" s="113"/>
      <c r="IF32" s="113"/>
      <c r="IG32" s="113"/>
      <c r="IH32" s="113"/>
      <c r="II32" s="113"/>
      <c r="IJ32" s="113"/>
      <c r="IK32" s="113"/>
      <c r="IL32" s="113"/>
      <c r="IM32" s="113"/>
      <c r="IN32" s="113"/>
      <c r="IO32" s="113"/>
      <c r="IP32" s="113"/>
      <c r="IQ32" s="113"/>
      <c r="IR32" s="113"/>
      <c r="IS32" s="113"/>
      <c r="IT32" s="113"/>
      <c r="IU32" s="113"/>
      <c r="IV32" s="113"/>
    </row>
    <row r="33" spans="1:256" ht="18.75" customHeight="1">
      <c r="A33" s="404" t="s">
        <v>126</v>
      </c>
      <c r="B33" s="234" t="s">
        <v>234</v>
      </c>
      <c r="C33" s="235"/>
      <c r="D33" s="235"/>
      <c r="E33" s="235"/>
      <c r="F33" s="235"/>
      <c r="G33" s="235"/>
      <c r="H33" s="235"/>
      <c r="I33" s="236"/>
    </row>
    <row r="34" spans="1:256" ht="18.75" customHeight="1">
      <c r="A34" s="404"/>
      <c r="B34" s="221" t="s">
        <v>235</v>
      </c>
      <c r="C34" s="222"/>
      <c r="D34" s="222"/>
      <c r="E34" s="222"/>
      <c r="F34" s="222"/>
      <c r="G34" s="222"/>
      <c r="H34" s="222"/>
      <c r="I34" s="22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c r="GR34" s="113"/>
      <c r="GS34" s="113"/>
      <c r="GT34" s="113"/>
      <c r="GU34" s="113"/>
      <c r="GV34" s="113"/>
      <c r="GW34" s="113"/>
      <c r="GX34" s="113"/>
      <c r="GY34" s="113"/>
      <c r="GZ34" s="113"/>
      <c r="HA34" s="113"/>
      <c r="HB34" s="113"/>
      <c r="HC34" s="113"/>
      <c r="HD34" s="113"/>
      <c r="HE34" s="113"/>
      <c r="HF34" s="113"/>
      <c r="HG34" s="113"/>
      <c r="HH34" s="113"/>
      <c r="HI34" s="113"/>
      <c r="HJ34" s="113"/>
      <c r="HK34" s="113"/>
      <c r="HL34" s="113"/>
      <c r="HM34" s="113"/>
      <c r="HN34" s="113"/>
      <c r="HO34" s="113"/>
      <c r="HP34" s="113"/>
      <c r="HQ34" s="113"/>
      <c r="HR34" s="113"/>
      <c r="HS34" s="113"/>
      <c r="HT34" s="113"/>
      <c r="HU34" s="113"/>
      <c r="HV34" s="113"/>
      <c r="HW34" s="113"/>
      <c r="HX34" s="113"/>
      <c r="HY34" s="113"/>
      <c r="HZ34" s="113"/>
      <c r="IA34" s="113"/>
      <c r="IB34" s="113"/>
      <c r="IC34" s="113"/>
      <c r="ID34" s="113"/>
      <c r="IE34" s="113"/>
      <c r="IF34" s="113"/>
      <c r="IG34" s="113"/>
      <c r="IH34" s="113"/>
      <c r="II34" s="113"/>
      <c r="IJ34" s="113"/>
      <c r="IK34" s="113"/>
      <c r="IL34" s="113"/>
      <c r="IM34" s="113"/>
      <c r="IN34" s="113"/>
      <c r="IO34" s="113"/>
      <c r="IP34" s="113"/>
      <c r="IQ34" s="113"/>
      <c r="IR34" s="113"/>
      <c r="IS34" s="113"/>
      <c r="IT34" s="113"/>
      <c r="IU34" s="113"/>
      <c r="IV34" s="113"/>
    </row>
    <row r="35" spans="1:256" ht="18.75" customHeight="1">
      <c r="A35" s="404" t="s">
        <v>113</v>
      </c>
      <c r="B35" s="234" t="s">
        <v>236</v>
      </c>
      <c r="C35" s="235"/>
      <c r="D35" s="235"/>
      <c r="E35" s="235"/>
      <c r="F35" s="235"/>
      <c r="G35" s="235"/>
      <c r="H35" s="235"/>
      <c r="I35" s="236"/>
    </row>
    <row r="36" spans="1:256" ht="18.75" customHeight="1">
      <c r="A36" s="404" t="s">
        <v>233</v>
      </c>
      <c r="B36" s="237" t="s">
        <v>237</v>
      </c>
      <c r="C36" s="230"/>
      <c r="D36" s="230"/>
      <c r="E36" s="230"/>
      <c r="F36" s="226"/>
      <c r="G36" s="226"/>
      <c r="H36" s="226"/>
      <c r="I36" s="227"/>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c r="IS36" s="115"/>
      <c r="IT36" s="115"/>
      <c r="IU36" s="115"/>
      <c r="IV36" s="115"/>
    </row>
    <row r="37" spans="1:256" ht="18.75" customHeight="1">
      <c r="A37" s="404"/>
      <c r="B37" s="221" t="s">
        <v>62</v>
      </c>
      <c r="C37" s="222"/>
      <c r="D37" s="222"/>
      <c r="E37" s="222"/>
      <c r="F37" s="222"/>
      <c r="G37" s="222"/>
      <c r="H37" s="222"/>
      <c r="I37" s="22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c r="GR37" s="113"/>
      <c r="GS37" s="113"/>
      <c r="GT37" s="113"/>
      <c r="GU37" s="113"/>
      <c r="GV37" s="113"/>
      <c r="GW37" s="113"/>
      <c r="GX37" s="113"/>
      <c r="GY37" s="113"/>
      <c r="GZ37" s="113"/>
      <c r="HA37" s="113"/>
      <c r="HB37" s="113"/>
      <c r="HC37" s="113"/>
      <c r="HD37" s="113"/>
      <c r="HE37" s="113"/>
      <c r="HF37" s="113"/>
      <c r="HG37" s="113"/>
      <c r="HH37" s="113"/>
      <c r="HI37" s="113"/>
      <c r="HJ37" s="113"/>
      <c r="HK37" s="113"/>
      <c r="HL37" s="113"/>
      <c r="HM37" s="113"/>
      <c r="HN37" s="113"/>
      <c r="HO37" s="113"/>
      <c r="HP37" s="113"/>
      <c r="HQ37" s="113"/>
      <c r="HR37" s="113"/>
      <c r="HS37" s="113"/>
      <c r="HT37" s="113"/>
      <c r="HU37" s="113"/>
      <c r="HV37" s="113"/>
      <c r="HW37" s="113"/>
      <c r="HX37" s="113"/>
      <c r="HY37" s="113"/>
      <c r="HZ37" s="113"/>
      <c r="IA37" s="113"/>
      <c r="IB37" s="113"/>
      <c r="IC37" s="113"/>
      <c r="ID37" s="113"/>
      <c r="IE37" s="113"/>
      <c r="IF37" s="113"/>
      <c r="IG37" s="113"/>
      <c r="IH37" s="113"/>
      <c r="II37" s="113"/>
      <c r="IJ37" s="113"/>
      <c r="IK37" s="113"/>
      <c r="IL37" s="113"/>
      <c r="IM37" s="113"/>
      <c r="IN37" s="113"/>
      <c r="IO37" s="113"/>
      <c r="IP37" s="113"/>
      <c r="IQ37" s="113"/>
      <c r="IR37" s="113"/>
      <c r="IS37" s="113"/>
      <c r="IT37" s="113"/>
      <c r="IU37" s="113"/>
      <c r="IV37" s="113"/>
    </row>
    <row r="38" spans="1:256" ht="18.75" customHeight="1">
      <c r="A38" s="404" t="s">
        <v>24</v>
      </c>
      <c r="B38" s="228" t="s">
        <v>255</v>
      </c>
      <c r="C38" s="231"/>
      <c r="D38" s="231"/>
      <c r="E38" s="231"/>
      <c r="F38" s="231"/>
      <c r="G38" s="231"/>
      <c r="H38" s="231"/>
      <c r="I38" s="232"/>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c r="GR38" s="113"/>
      <c r="GS38" s="113"/>
      <c r="GT38" s="113"/>
      <c r="GU38" s="113"/>
      <c r="GV38" s="113"/>
      <c r="GW38" s="113"/>
      <c r="GX38" s="113"/>
      <c r="GY38" s="113"/>
      <c r="GZ38" s="113"/>
      <c r="HA38" s="113"/>
      <c r="HB38" s="113"/>
      <c r="HC38" s="113"/>
      <c r="HD38" s="113"/>
      <c r="HE38" s="113"/>
      <c r="HF38" s="113"/>
      <c r="HG38" s="113"/>
      <c r="HH38" s="113"/>
      <c r="HI38" s="113"/>
      <c r="HJ38" s="113"/>
      <c r="HK38" s="113"/>
      <c r="HL38" s="113"/>
      <c r="HM38" s="113"/>
      <c r="HN38" s="113"/>
      <c r="HO38" s="113"/>
      <c r="HP38" s="113"/>
      <c r="HQ38" s="113"/>
      <c r="HR38" s="113"/>
      <c r="HS38" s="113"/>
      <c r="HT38" s="113"/>
      <c r="HU38" s="113"/>
      <c r="HV38" s="113"/>
      <c r="HW38" s="113"/>
      <c r="HX38" s="113"/>
      <c r="HY38" s="113"/>
      <c r="HZ38" s="113"/>
      <c r="IA38" s="113"/>
      <c r="IB38" s="113"/>
      <c r="IC38" s="113"/>
      <c r="ID38" s="113"/>
      <c r="IE38" s="113"/>
      <c r="IF38" s="113"/>
      <c r="IG38" s="113"/>
      <c r="IH38" s="113"/>
      <c r="II38" s="113"/>
      <c r="IJ38" s="113"/>
      <c r="IK38" s="113"/>
      <c r="IL38" s="113"/>
      <c r="IM38" s="113"/>
      <c r="IN38" s="113"/>
      <c r="IO38" s="113"/>
      <c r="IP38" s="113"/>
      <c r="IQ38" s="113"/>
      <c r="IR38" s="113"/>
      <c r="IS38" s="113"/>
      <c r="IT38" s="113"/>
      <c r="IU38" s="113"/>
      <c r="IV38" s="113"/>
    </row>
    <row r="39" spans="1:256" ht="18.75" customHeight="1">
      <c r="A39" s="404" t="s">
        <v>24</v>
      </c>
      <c r="B39" s="229" t="s">
        <v>256</v>
      </c>
      <c r="C39" s="231"/>
      <c r="D39" s="231"/>
      <c r="E39" s="231"/>
      <c r="F39" s="231"/>
      <c r="G39" s="231"/>
      <c r="H39" s="231"/>
      <c r="I39" s="232"/>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c r="GR39" s="113"/>
      <c r="GS39" s="113"/>
      <c r="GT39" s="113"/>
      <c r="GU39" s="113"/>
      <c r="GV39" s="113"/>
      <c r="GW39" s="113"/>
      <c r="GX39" s="113"/>
      <c r="GY39" s="113"/>
      <c r="GZ39" s="113"/>
      <c r="HA39" s="113"/>
      <c r="HB39" s="113"/>
      <c r="HC39" s="113"/>
      <c r="HD39" s="113"/>
      <c r="HE39" s="113"/>
      <c r="HF39" s="113"/>
      <c r="HG39" s="113"/>
      <c r="HH39" s="113"/>
      <c r="HI39" s="113"/>
      <c r="HJ39" s="113"/>
      <c r="HK39" s="113"/>
      <c r="HL39" s="113"/>
      <c r="HM39" s="113"/>
      <c r="HN39" s="113"/>
      <c r="HO39" s="113"/>
      <c r="HP39" s="113"/>
      <c r="HQ39" s="113"/>
      <c r="HR39" s="113"/>
      <c r="HS39" s="113"/>
      <c r="HT39" s="113"/>
      <c r="HU39" s="113"/>
      <c r="HV39" s="113"/>
      <c r="HW39" s="113"/>
      <c r="HX39" s="113"/>
      <c r="HY39" s="113"/>
      <c r="HZ39" s="113"/>
      <c r="IA39" s="113"/>
      <c r="IB39" s="113"/>
      <c r="IC39" s="113"/>
      <c r="ID39" s="113"/>
      <c r="IE39" s="113"/>
      <c r="IF39" s="113"/>
      <c r="IG39" s="113"/>
      <c r="IH39" s="113"/>
      <c r="II39" s="113"/>
      <c r="IJ39" s="113"/>
      <c r="IK39" s="113"/>
      <c r="IL39" s="113"/>
      <c r="IM39" s="113"/>
      <c r="IN39" s="113"/>
      <c r="IO39" s="113"/>
      <c r="IP39" s="113"/>
      <c r="IQ39" s="113"/>
      <c r="IR39" s="113"/>
      <c r="IS39" s="113"/>
      <c r="IT39" s="113"/>
      <c r="IU39" s="113"/>
      <c r="IV39" s="113"/>
    </row>
    <row r="40" spans="1:256" ht="18.75" customHeight="1">
      <c r="A40" s="404" t="s">
        <v>125</v>
      </c>
      <c r="B40" s="238" t="s">
        <v>238</v>
      </c>
      <c r="C40" s="235"/>
      <c r="D40" s="235"/>
      <c r="E40" s="235"/>
      <c r="F40" s="235"/>
      <c r="G40" s="235"/>
      <c r="H40" s="235"/>
      <c r="I40" s="236"/>
    </row>
    <row r="41" spans="1:256" ht="18.75" customHeight="1">
      <c r="A41" s="404"/>
      <c r="B41" s="221" t="s">
        <v>62</v>
      </c>
      <c r="C41" s="222"/>
      <c r="D41" s="222"/>
      <c r="E41" s="222"/>
      <c r="F41" s="222"/>
      <c r="G41" s="222"/>
      <c r="H41" s="222"/>
      <c r="I41" s="22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c r="GR41" s="113"/>
      <c r="GS41" s="113"/>
      <c r="GT41" s="113"/>
      <c r="GU41" s="113"/>
      <c r="GV41" s="113"/>
      <c r="GW41" s="113"/>
      <c r="GX41" s="113"/>
      <c r="GY41" s="113"/>
      <c r="GZ41" s="113"/>
      <c r="HA41" s="113"/>
      <c r="HB41" s="113"/>
      <c r="HC41" s="113"/>
      <c r="HD41" s="113"/>
      <c r="HE41" s="113"/>
      <c r="HF41" s="113"/>
      <c r="HG41" s="113"/>
      <c r="HH41" s="113"/>
      <c r="HI41" s="113"/>
      <c r="HJ41" s="113"/>
      <c r="HK41" s="113"/>
      <c r="HL41" s="113"/>
      <c r="HM41" s="113"/>
      <c r="HN41" s="113"/>
      <c r="HO41" s="113"/>
      <c r="HP41" s="113"/>
      <c r="HQ41" s="113"/>
      <c r="HR41" s="113"/>
      <c r="HS41" s="113"/>
      <c r="HT41" s="113"/>
      <c r="HU41" s="113"/>
      <c r="HV41" s="113"/>
      <c r="HW41" s="113"/>
      <c r="HX41" s="113"/>
      <c r="HY41" s="113"/>
      <c r="HZ41" s="113"/>
      <c r="IA41" s="113"/>
      <c r="IB41" s="113"/>
      <c r="IC41" s="113"/>
      <c r="ID41" s="113"/>
      <c r="IE41" s="113"/>
      <c r="IF41" s="113"/>
      <c r="IG41" s="113"/>
      <c r="IH41" s="113"/>
      <c r="II41" s="113"/>
      <c r="IJ41" s="113"/>
      <c r="IK41" s="113"/>
      <c r="IL41" s="113"/>
      <c r="IM41" s="113"/>
      <c r="IN41" s="113"/>
      <c r="IO41" s="113"/>
      <c r="IP41" s="113"/>
      <c r="IQ41" s="113"/>
      <c r="IR41" s="113"/>
      <c r="IS41" s="113"/>
      <c r="IT41" s="113"/>
      <c r="IU41" s="113"/>
      <c r="IV41" s="113"/>
    </row>
    <row r="42" spans="1:256" ht="18.75" customHeight="1">
      <c r="A42" s="404" t="s">
        <v>24</v>
      </c>
      <c r="B42" s="228" t="s">
        <v>255</v>
      </c>
      <c r="C42" s="222"/>
      <c r="D42" s="222"/>
      <c r="E42" s="222"/>
      <c r="F42" s="222"/>
      <c r="G42" s="222"/>
      <c r="H42" s="222"/>
      <c r="I42" s="22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c r="GR42" s="113"/>
      <c r="GS42" s="113"/>
      <c r="GT42" s="113"/>
      <c r="GU42" s="113"/>
      <c r="GV42" s="113"/>
      <c r="GW42" s="113"/>
      <c r="GX42" s="113"/>
      <c r="GY42" s="113"/>
      <c r="GZ42" s="113"/>
      <c r="HA42" s="113"/>
      <c r="HB42" s="113"/>
      <c r="HC42" s="113"/>
      <c r="HD42" s="113"/>
      <c r="HE42" s="113"/>
      <c r="HF42" s="113"/>
      <c r="HG42" s="113"/>
      <c r="HH42" s="113"/>
      <c r="HI42" s="113"/>
      <c r="HJ42" s="113"/>
      <c r="HK42" s="113"/>
      <c r="HL42" s="113"/>
      <c r="HM42" s="113"/>
      <c r="HN42" s="113"/>
      <c r="HO42" s="113"/>
      <c r="HP42" s="113"/>
      <c r="HQ42" s="113"/>
      <c r="HR42" s="113"/>
      <c r="HS42" s="113"/>
      <c r="HT42" s="113"/>
      <c r="HU42" s="113"/>
      <c r="HV42" s="113"/>
      <c r="HW42" s="113"/>
      <c r="HX42" s="113"/>
      <c r="HY42" s="113"/>
      <c r="HZ42" s="113"/>
      <c r="IA42" s="113"/>
      <c r="IB42" s="113"/>
      <c r="IC42" s="113"/>
      <c r="ID42" s="113"/>
      <c r="IE42" s="113"/>
      <c r="IF42" s="113"/>
      <c r="IG42" s="113"/>
      <c r="IH42" s="113"/>
      <c r="II42" s="113"/>
      <c r="IJ42" s="113"/>
      <c r="IK42" s="113"/>
      <c r="IL42" s="113"/>
      <c r="IM42" s="113"/>
      <c r="IN42" s="113"/>
      <c r="IO42" s="113"/>
      <c r="IP42" s="113"/>
      <c r="IQ42" s="113"/>
      <c r="IR42" s="113"/>
      <c r="IS42" s="113"/>
      <c r="IT42" s="113"/>
      <c r="IU42" s="113"/>
      <c r="IV42" s="113"/>
    </row>
    <row r="43" spans="1:256" ht="18.75" customHeight="1">
      <c r="A43" s="404" t="s">
        <v>24</v>
      </c>
      <c r="B43" s="229" t="s">
        <v>256</v>
      </c>
      <c r="C43" s="222"/>
      <c r="D43" s="222"/>
      <c r="E43" s="222"/>
      <c r="F43" s="222"/>
      <c r="G43" s="222"/>
      <c r="H43" s="222"/>
      <c r="I43" s="22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c r="GR43" s="113"/>
      <c r="GS43" s="113"/>
      <c r="GT43" s="113"/>
      <c r="GU43" s="113"/>
      <c r="GV43" s="113"/>
      <c r="GW43" s="113"/>
      <c r="GX43" s="113"/>
      <c r="GY43" s="113"/>
      <c r="GZ43" s="113"/>
      <c r="HA43" s="113"/>
      <c r="HB43" s="113"/>
      <c r="HC43" s="113"/>
      <c r="HD43" s="113"/>
      <c r="HE43" s="113"/>
      <c r="HF43" s="113"/>
      <c r="HG43" s="113"/>
      <c r="HH43" s="113"/>
      <c r="HI43" s="113"/>
      <c r="HJ43" s="113"/>
      <c r="HK43" s="113"/>
      <c r="HL43" s="113"/>
      <c r="HM43" s="113"/>
      <c r="HN43" s="113"/>
      <c r="HO43" s="113"/>
      <c r="HP43" s="113"/>
      <c r="HQ43" s="113"/>
      <c r="HR43" s="113"/>
      <c r="HS43" s="113"/>
      <c r="HT43" s="113"/>
      <c r="HU43" s="113"/>
      <c r="HV43" s="113"/>
      <c r="HW43" s="113"/>
      <c r="HX43" s="113"/>
      <c r="HY43" s="113"/>
      <c r="HZ43" s="113"/>
      <c r="IA43" s="113"/>
      <c r="IB43" s="113"/>
      <c r="IC43" s="113"/>
      <c r="ID43" s="113"/>
      <c r="IE43" s="113"/>
      <c r="IF43" s="113"/>
      <c r="IG43" s="113"/>
      <c r="IH43" s="113"/>
      <c r="II43" s="113"/>
      <c r="IJ43" s="113"/>
      <c r="IK43" s="113"/>
      <c r="IL43" s="113"/>
      <c r="IM43" s="113"/>
      <c r="IN43" s="113"/>
      <c r="IO43" s="113"/>
      <c r="IP43" s="113"/>
      <c r="IQ43" s="113"/>
      <c r="IR43" s="113"/>
      <c r="IS43" s="113"/>
      <c r="IT43" s="113"/>
      <c r="IU43" s="113"/>
      <c r="IV43" s="113"/>
    </row>
    <row r="44" spans="1:256" ht="18.75" customHeight="1">
      <c r="A44" s="404" t="s">
        <v>126</v>
      </c>
      <c r="B44" s="238" t="s">
        <v>238</v>
      </c>
      <c r="C44" s="235"/>
      <c r="D44" s="235"/>
      <c r="E44" s="235"/>
      <c r="F44" s="235"/>
      <c r="G44" s="235"/>
      <c r="H44" s="235"/>
      <c r="I44" s="236"/>
    </row>
    <row r="45" spans="1:256" ht="18.75" customHeight="1">
      <c r="A45" s="404"/>
      <c r="B45" s="221" t="s">
        <v>235</v>
      </c>
      <c r="C45" s="222"/>
      <c r="D45" s="222"/>
      <c r="E45" s="222"/>
      <c r="F45" s="222"/>
      <c r="G45" s="222"/>
      <c r="H45" s="222"/>
      <c r="I45" s="22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c r="GR45" s="113"/>
      <c r="GS45" s="113"/>
      <c r="GT45" s="113"/>
      <c r="GU45" s="113"/>
      <c r="GV45" s="113"/>
      <c r="GW45" s="113"/>
      <c r="GX45" s="113"/>
      <c r="GY45" s="113"/>
      <c r="GZ45" s="113"/>
      <c r="HA45" s="113"/>
      <c r="HB45" s="113"/>
      <c r="HC45" s="113"/>
      <c r="HD45" s="113"/>
      <c r="HE45" s="113"/>
      <c r="HF45" s="113"/>
      <c r="HG45" s="113"/>
      <c r="HH45" s="113"/>
      <c r="HI45" s="113"/>
      <c r="HJ45" s="113"/>
      <c r="HK45" s="113"/>
      <c r="HL45" s="113"/>
      <c r="HM45" s="113"/>
      <c r="HN45" s="113"/>
      <c r="HO45" s="113"/>
      <c r="HP45" s="113"/>
      <c r="HQ45" s="113"/>
      <c r="HR45" s="113"/>
      <c r="HS45" s="113"/>
      <c r="HT45" s="113"/>
      <c r="HU45" s="113"/>
      <c r="HV45" s="113"/>
      <c r="HW45" s="113"/>
      <c r="HX45" s="113"/>
      <c r="HY45" s="113"/>
      <c r="HZ45" s="113"/>
      <c r="IA45" s="113"/>
      <c r="IB45" s="113"/>
      <c r="IC45" s="113"/>
      <c r="ID45" s="113"/>
      <c r="IE45" s="113"/>
      <c r="IF45" s="113"/>
      <c r="IG45" s="113"/>
      <c r="IH45" s="113"/>
      <c r="II45" s="113"/>
      <c r="IJ45" s="113"/>
      <c r="IK45" s="113"/>
      <c r="IL45" s="113"/>
      <c r="IM45" s="113"/>
      <c r="IN45" s="113"/>
      <c r="IO45" s="113"/>
      <c r="IP45" s="113"/>
      <c r="IQ45" s="113"/>
      <c r="IR45" s="113"/>
      <c r="IS45" s="113"/>
      <c r="IT45" s="113"/>
      <c r="IU45" s="113"/>
      <c r="IV45" s="113"/>
    </row>
    <row r="46" spans="1:256" ht="18.75" customHeight="1">
      <c r="A46" s="404" t="s">
        <v>113</v>
      </c>
      <c r="B46" s="234" t="s">
        <v>236</v>
      </c>
      <c r="C46" s="235"/>
      <c r="D46" s="235"/>
      <c r="E46" s="235"/>
      <c r="F46" s="235"/>
      <c r="G46" s="235"/>
      <c r="H46" s="235"/>
      <c r="I46" s="236"/>
    </row>
    <row r="47" spans="1:256" ht="18.75" customHeight="1">
      <c r="A47" s="404" t="s">
        <v>34</v>
      </c>
      <c r="B47" s="239" t="s">
        <v>266</v>
      </c>
      <c r="C47" s="240"/>
      <c r="D47" s="240"/>
      <c r="E47" s="240"/>
      <c r="F47" s="226"/>
      <c r="G47" s="226"/>
      <c r="H47" s="226"/>
      <c r="I47" s="241"/>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c r="AZ47" s="116"/>
      <c r="BA47" s="116"/>
      <c r="BB47" s="116"/>
      <c r="BC47" s="116"/>
      <c r="BD47" s="116"/>
      <c r="BE47" s="116"/>
      <c r="BF47" s="116"/>
      <c r="BG47" s="116"/>
      <c r="BH47" s="116"/>
      <c r="BI47" s="116"/>
      <c r="BJ47" s="116"/>
      <c r="BK47" s="116"/>
      <c r="BL47" s="116"/>
      <c r="BM47" s="116"/>
      <c r="BN47" s="116"/>
      <c r="BO47" s="116"/>
      <c r="BP47" s="116"/>
      <c r="BQ47" s="116"/>
      <c r="BR47" s="116"/>
      <c r="BS47" s="116"/>
      <c r="BT47" s="116"/>
      <c r="BU47" s="116"/>
      <c r="BV47" s="116"/>
      <c r="BW47" s="116"/>
      <c r="BX47" s="116"/>
      <c r="BY47" s="116"/>
      <c r="BZ47" s="116"/>
      <c r="CA47" s="116"/>
      <c r="CB47" s="116"/>
      <c r="CC47" s="116"/>
      <c r="CD47" s="116"/>
      <c r="CE47" s="116"/>
      <c r="CF47" s="116"/>
      <c r="CG47" s="116"/>
      <c r="CH47" s="116"/>
      <c r="CI47" s="116"/>
      <c r="CJ47" s="116"/>
      <c r="CK47" s="116"/>
      <c r="CL47" s="116"/>
      <c r="CM47" s="116"/>
      <c r="CN47" s="116"/>
      <c r="CO47" s="116"/>
      <c r="CP47" s="116"/>
      <c r="CQ47" s="116"/>
      <c r="CR47" s="116"/>
      <c r="CS47" s="116"/>
      <c r="CT47" s="116"/>
      <c r="CU47" s="116"/>
      <c r="CV47" s="116"/>
      <c r="CW47" s="116"/>
      <c r="CX47" s="116"/>
      <c r="CY47" s="116"/>
      <c r="CZ47" s="116"/>
      <c r="DA47" s="116"/>
      <c r="DB47" s="116"/>
      <c r="DC47" s="116"/>
      <c r="DD47" s="116"/>
      <c r="DE47" s="116"/>
      <c r="DF47" s="116"/>
      <c r="DG47" s="116"/>
      <c r="DH47" s="116"/>
      <c r="DI47" s="116"/>
      <c r="DJ47" s="116"/>
      <c r="DK47" s="116"/>
      <c r="DL47" s="116"/>
      <c r="DM47" s="116"/>
      <c r="DN47" s="116"/>
      <c r="DO47" s="116"/>
      <c r="DP47" s="116"/>
      <c r="DQ47" s="116"/>
      <c r="DR47" s="116"/>
      <c r="DS47" s="116"/>
      <c r="DT47" s="116"/>
      <c r="DU47" s="116"/>
      <c r="DV47" s="116"/>
      <c r="DW47" s="116"/>
      <c r="DX47" s="116"/>
      <c r="DY47" s="116"/>
      <c r="DZ47" s="116"/>
      <c r="EA47" s="116"/>
      <c r="EB47" s="116"/>
      <c r="EC47" s="116"/>
      <c r="ED47" s="116"/>
      <c r="EE47" s="116"/>
      <c r="EF47" s="116"/>
      <c r="EG47" s="116"/>
      <c r="EH47" s="116"/>
      <c r="EI47" s="116"/>
      <c r="EJ47" s="116"/>
      <c r="EK47" s="116"/>
      <c r="EL47" s="116"/>
      <c r="EM47" s="116"/>
      <c r="EN47" s="116"/>
      <c r="EO47" s="116"/>
      <c r="EP47" s="116"/>
      <c r="EQ47" s="116"/>
      <c r="ER47" s="116"/>
      <c r="ES47" s="116"/>
      <c r="ET47" s="116"/>
      <c r="EU47" s="116"/>
      <c r="EV47" s="116"/>
      <c r="EW47" s="116"/>
      <c r="EX47" s="116"/>
      <c r="EY47" s="116"/>
      <c r="EZ47" s="116"/>
      <c r="FA47" s="116"/>
      <c r="FB47" s="116"/>
      <c r="FC47" s="116"/>
      <c r="FD47" s="116"/>
      <c r="FE47" s="116"/>
      <c r="FF47" s="116"/>
      <c r="FG47" s="116"/>
      <c r="FH47" s="116"/>
      <c r="FI47" s="116"/>
      <c r="FJ47" s="116"/>
      <c r="FK47" s="116"/>
      <c r="FL47" s="116"/>
      <c r="FM47" s="116"/>
      <c r="FN47" s="116"/>
      <c r="FO47" s="116"/>
      <c r="FP47" s="116"/>
      <c r="FQ47" s="116"/>
      <c r="FR47" s="116"/>
      <c r="FS47" s="116"/>
      <c r="FT47" s="116"/>
      <c r="FU47" s="116"/>
      <c r="FV47" s="116"/>
      <c r="FW47" s="116"/>
      <c r="FX47" s="116"/>
      <c r="FY47" s="116"/>
      <c r="FZ47" s="116"/>
      <c r="GA47" s="116"/>
      <c r="GB47" s="116"/>
      <c r="GC47" s="116"/>
      <c r="GD47" s="116"/>
      <c r="GE47" s="116"/>
      <c r="GF47" s="116"/>
      <c r="GG47" s="116"/>
      <c r="GH47" s="116"/>
      <c r="GI47" s="116"/>
      <c r="GJ47" s="116"/>
      <c r="GK47" s="116"/>
      <c r="GL47" s="116"/>
      <c r="GM47" s="116"/>
      <c r="GN47" s="116"/>
      <c r="GO47" s="116"/>
      <c r="GP47" s="116"/>
      <c r="GQ47" s="116"/>
      <c r="GR47" s="116"/>
      <c r="GS47" s="116"/>
      <c r="GT47" s="116"/>
      <c r="GU47" s="116"/>
      <c r="GV47" s="116"/>
      <c r="GW47" s="116"/>
      <c r="GX47" s="116"/>
      <c r="GY47" s="116"/>
      <c r="GZ47" s="116"/>
      <c r="HA47" s="116"/>
      <c r="HB47" s="116"/>
      <c r="HC47" s="116"/>
      <c r="HD47" s="116"/>
      <c r="HE47" s="116"/>
      <c r="HF47" s="116"/>
      <c r="HG47" s="116"/>
      <c r="HH47" s="116"/>
      <c r="HI47" s="116"/>
      <c r="HJ47" s="116"/>
      <c r="HK47" s="116"/>
      <c r="HL47" s="116"/>
      <c r="HM47" s="116"/>
      <c r="HN47" s="116"/>
      <c r="HO47" s="116"/>
      <c r="HP47" s="116"/>
      <c r="HQ47" s="116"/>
      <c r="HR47" s="116"/>
      <c r="HS47" s="116"/>
      <c r="HT47" s="116"/>
      <c r="HU47" s="116"/>
      <c r="HV47" s="116"/>
      <c r="HW47" s="116"/>
      <c r="HX47" s="116"/>
      <c r="HY47" s="116"/>
      <c r="HZ47" s="116"/>
      <c r="IA47" s="116"/>
      <c r="IB47" s="116"/>
      <c r="IC47" s="116"/>
      <c r="ID47" s="116"/>
      <c r="IE47" s="116"/>
      <c r="IF47" s="116"/>
      <c r="IG47" s="116"/>
      <c r="IH47" s="116"/>
      <c r="II47" s="116"/>
      <c r="IJ47" s="116"/>
      <c r="IK47" s="116"/>
      <c r="IL47" s="116"/>
      <c r="IM47" s="116"/>
      <c r="IN47" s="116"/>
      <c r="IO47" s="116"/>
      <c r="IP47" s="116"/>
      <c r="IQ47" s="116"/>
      <c r="IR47" s="116"/>
      <c r="IS47" s="116"/>
      <c r="IT47" s="116"/>
      <c r="IU47" s="116"/>
      <c r="IV47" s="116"/>
    </row>
    <row r="48" spans="1:256" ht="18.75" customHeight="1">
      <c r="A48" s="404" t="s">
        <v>232</v>
      </c>
      <c r="B48" s="228" t="s">
        <v>255</v>
      </c>
      <c r="C48" s="242"/>
      <c r="D48" s="242"/>
      <c r="E48" s="242"/>
      <c r="F48" s="240"/>
      <c r="G48" s="240"/>
      <c r="H48" s="240"/>
      <c r="I48" s="243"/>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row>
    <row r="49" spans="1:256" ht="18.75" customHeight="1">
      <c r="A49" s="404" t="s">
        <v>233</v>
      </c>
      <c r="B49" s="229" t="s">
        <v>256</v>
      </c>
      <c r="C49" s="242"/>
      <c r="D49" s="242"/>
      <c r="E49" s="242"/>
      <c r="F49" s="240"/>
      <c r="G49" s="240"/>
      <c r="H49" s="240"/>
      <c r="I49" s="243"/>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row>
    <row r="50" spans="1:256" ht="11.25" customHeight="1" thickBot="1">
      <c r="A50" s="471"/>
      <c r="B50" s="214"/>
      <c r="C50" s="215"/>
      <c r="D50" s="215"/>
      <c r="E50" s="215"/>
      <c r="F50" s="216"/>
      <c r="G50" s="216"/>
      <c r="H50" s="216"/>
      <c r="I50" s="2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row>
    <row r="51" spans="1:256" ht="26.25" customHeight="1">
      <c r="A51" s="103" t="s">
        <v>429</v>
      </c>
      <c r="B51" s="529"/>
      <c r="C51" s="530"/>
      <c r="D51" s="530"/>
      <c r="E51" s="530"/>
      <c r="F51" s="118"/>
      <c r="G51" s="118"/>
      <c r="H51" s="118"/>
      <c r="I51" s="119"/>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row>
    <row r="52" spans="1:256" ht="15.75" customHeight="1">
      <c r="A52" s="103"/>
      <c r="B52" s="103" t="s">
        <v>430</v>
      </c>
      <c r="C52" s="531"/>
      <c r="D52" s="531"/>
      <c r="E52" s="531"/>
      <c r="F52" s="120"/>
      <c r="G52" s="120"/>
      <c r="H52" s="120"/>
      <c r="I52" s="121"/>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row>
    <row r="53" spans="1:256" ht="20.25" customHeight="1">
      <c r="B53" s="822"/>
      <c r="C53" s="822"/>
      <c r="D53" s="822"/>
      <c r="E53" s="822"/>
      <c r="F53" s="822"/>
      <c r="G53" s="822"/>
      <c r="H53" s="822"/>
      <c r="I53" s="822"/>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c r="IS53" s="117"/>
      <c r="IT53" s="117"/>
      <c r="IU53" s="117"/>
      <c r="IV53" s="117"/>
    </row>
    <row r="54" spans="1:256" ht="20.25" thickBot="1">
      <c r="B54" s="117"/>
      <c r="C54" s="122"/>
      <c r="D54" s="122"/>
      <c r="E54" s="122"/>
      <c r="F54" s="120"/>
      <c r="G54" s="120"/>
      <c r="H54" s="120"/>
      <c r="I54" s="121"/>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c r="IS54" s="117"/>
      <c r="IT54" s="117"/>
      <c r="IU54" s="117"/>
      <c r="IV54" s="117"/>
    </row>
    <row r="55" spans="1:256" ht="20.25" customHeight="1">
      <c r="A55" s="103" t="s">
        <v>384</v>
      </c>
      <c r="B55" s="529"/>
      <c r="C55" s="530"/>
      <c r="D55" s="530"/>
      <c r="E55" s="530"/>
      <c r="F55" s="118"/>
      <c r="G55" s="118"/>
      <c r="H55" s="118"/>
      <c r="I55" s="119"/>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c r="IS55" s="117"/>
      <c r="IT55" s="117"/>
      <c r="IU55" s="117"/>
      <c r="IV55" s="117"/>
    </row>
    <row r="56" spans="1:256" ht="20.25" customHeight="1">
      <c r="A56" s="103"/>
      <c r="B56" s="103" t="s">
        <v>386</v>
      </c>
      <c r="C56" s="531"/>
      <c r="D56" s="531"/>
      <c r="E56" s="531"/>
      <c r="F56" s="120"/>
      <c r="G56" s="120"/>
      <c r="H56" s="120"/>
      <c r="I56" s="121"/>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c r="IS56" s="117"/>
      <c r="IT56" s="117"/>
      <c r="IU56" s="117"/>
      <c r="IV56" s="117"/>
    </row>
    <row r="57" spans="1:256" ht="20.25" customHeight="1">
      <c r="B57" s="821" t="s">
        <v>388</v>
      </c>
      <c r="C57" s="821"/>
      <c r="D57" s="821"/>
      <c r="E57" s="821"/>
      <c r="F57" s="120"/>
      <c r="G57" s="120"/>
      <c r="H57" s="120"/>
      <c r="I57" s="121"/>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c r="IS57" s="117"/>
      <c r="IT57" s="117"/>
      <c r="IU57" s="117"/>
      <c r="IV57" s="117"/>
    </row>
    <row r="58" spans="1:256">
      <c r="A58" s="472"/>
      <c r="B58" s="112"/>
      <c r="F58" s="112"/>
      <c r="G58" s="112"/>
      <c r="H58" s="112"/>
      <c r="I58" s="112"/>
    </row>
    <row r="59" spans="1:256">
      <c r="A59" s="472"/>
      <c r="B59" s="112"/>
      <c r="F59" s="112"/>
      <c r="G59" s="112"/>
      <c r="H59" s="112"/>
      <c r="I59" s="112"/>
    </row>
    <row r="60" spans="1:256">
      <c r="A60" s="472"/>
      <c r="B60" s="112"/>
      <c r="F60" s="112"/>
      <c r="G60" s="112"/>
      <c r="H60" s="112"/>
      <c r="I60" s="112"/>
    </row>
    <row r="61" spans="1:256">
      <c r="A61" s="472"/>
      <c r="B61" s="112"/>
      <c r="F61" s="112"/>
      <c r="G61" s="112"/>
      <c r="H61" s="112"/>
      <c r="I61" s="112"/>
    </row>
    <row r="65" spans="1:9">
      <c r="A65" s="472"/>
      <c r="B65" s="112"/>
      <c r="F65" s="112"/>
      <c r="G65" s="112"/>
      <c r="H65" s="112"/>
      <c r="I65" s="112"/>
    </row>
  </sheetData>
  <mergeCells count="10">
    <mergeCell ref="B57:E57"/>
    <mergeCell ref="B53:I53"/>
    <mergeCell ref="A3:I3"/>
    <mergeCell ref="A4:I4"/>
    <mergeCell ref="H5:I5"/>
    <mergeCell ref="A6:A7"/>
    <mergeCell ref="B6:B7"/>
    <mergeCell ref="C6:E6"/>
    <mergeCell ref="F6:H6"/>
    <mergeCell ref="I6:I7"/>
  </mergeCells>
  <printOptions horizontalCentered="1"/>
  <pageMargins left="0.25" right="0.32" top="0.56999999999999995" bottom="0.23" header="0.34" footer="0.17"/>
  <pageSetup paperSize="9" scale="74" orientation="portrait" r:id="rId1"/>
  <headerFooter>
    <oddHeader>&amp;C7</oddHeader>
  </headerFooter>
</worksheet>
</file>

<file path=xl/worksheets/sheet4.xml><?xml version="1.0" encoding="utf-8"?>
<worksheet xmlns="http://schemas.openxmlformats.org/spreadsheetml/2006/main" xmlns:r="http://schemas.openxmlformats.org/officeDocument/2006/relationships">
  <sheetPr>
    <pageSetUpPr fitToPage="1"/>
  </sheetPr>
  <dimension ref="A1:EG32"/>
  <sheetViews>
    <sheetView topLeftCell="C7" workbookViewId="0">
      <selection activeCell="B60" sqref="B60"/>
    </sheetView>
  </sheetViews>
  <sheetFormatPr defaultColWidth="7.125" defaultRowHeight="15.75"/>
  <cols>
    <col min="1" max="2" width="0" style="125" hidden="1" customWidth="1"/>
    <col min="3" max="3" width="6" style="295" customWidth="1"/>
    <col min="4" max="4" width="19" style="130" customWidth="1"/>
    <col min="5" max="6" width="12.25" style="161" customWidth="1"/>
    <col min="7" max="7" width="12.25" style="162" customWidth="1"/>
    <col min="8" max="9" width="12.25" style="129" customWidth="1"/>
    <col min="10" max="12" width="12.25" style="162" customWidth="1"/>
    <col min="13" max="13" width="12.25" style="130" customWidth="1"/>
    <col min="14" max="16384" width="7.125" style="130"/>
  </cols>
  <sheetData>
    <row r="1" spans="1:13" ht="18.75">
      <c r="D1" s="126"/>
      <c r="E1" s="127"/>
      <c r="F1" s="127"/>
      <c r="G1" s="128"/>
      <c r="J1" s="128"/>
      <c r="K1" s="128"/>
      <c r="L1" s="128"/>
      <c r="M1" s="39" t="s">
        <v>165</v>
      </c>
    </row>
    <row r="2" spans="1:13" s="131" customFormat="1" ht="20.25" customHeight="1">
      <c r="A2" s="132" t="s">
        <v>239</v>
      </c>
      <c r="B2" s="132"/>
      <c r="C2" s="463"/>
      <c r="D2" s="132"/>
      <c r="E2" s="132"/>
      <c r="F2" s="132"/>
      <c r="G2" s="132"/>
      <c r="H2" s="132"/>
      <c r="I2" s="132"/>
      <c r="J2" s="132"/>
      <c r="K2" s="132"/>
      <c r="L2" s="132"/>
      <c r="M2" s="132"/>
    </row>
    <row r="3" spans="1:13" s="297" customFormat="1" ht="18.75" customHeight="1">
      <c r="A3" s="296"/>
      <c r="B3" s="296"/>
      <c r="C3" s="837" t="s">
        <v>374</v>
      </c>
      <c r="D3" s="837"/>
      <c r="E3" s="837"/>
      <c r="F3" s="837"/>
      <c r="G3" s="837"/>
      <c r="H3" s="837"/>
      <c r="I3" s="837"/>
      <c r="J3" s="837"/>
      <c r="K3" s="837"/>
      <c r="L3" s="837"/>
      <c r="M3" s="837"/>
    </row>
    <row r="4" spans="1:13" s="297" customFormat="1" ht="18.75" customHeight="1">
      <c r="A4" s="837" t="s">
        <v>373</v>
      </c>
      <c r="B4" s="837"/>
      <c r="C4" s="837"/>
      <c r="D4" s="837"/>
      <c r="E4" s="837"/>
      <c r="F4" s="837"/>
      <c r="G4" s="837"/>
      <c r="H4" s="837"/>
      <c r="I4" s="837"/>
      <c r="J4" s="837"/>
      <c r="K4" s="837"/>
      <c r="L4" s="837"/>
      <c r="M4" s="837"/>
    </row>
    <row r="5" spans="1:13" s="297" customFormat="1" ht="18.75" customHeight="1">
      <c r="A5" s="296"/>
      <c r="B5" s="296"/>
      <c r="C5" s="823" t="s">
        <v>67</v>
      </c>
      <c r="D5" s="823"/>
      <c r="E5" s="823"/>
      <c r="F5" s="823"/>
      <c r="G5" s="823"/>
      <c r="H5" s="823"/>
      <c r="I5" s="823"/>
      <c r="J5" s="823"/>
      <c r="K5" s="823"/>
      <c r="L5" s="823"/>
      <c r="M5" s="823"/>
    </row>
    <row r="6" spans="1:13" ht="19.5" customHeight="1" thickBot="1">
      <c r="C6" s="838" t="s">
        <v>187</v>
      </c>
      <c r="D6" s="838"/>
      <c r="E6" s="838"/>
      <c r="F6" s="838"/>
      <c r="G6" s="838"/>
      <c r="H6" s="838"/>
      <c r="I6" s="838"/>
      <c r="J6" s="838"/>
      <c r="K6" s="838"/>
      <c r="L6" s="838"/>
      <c r="M6" s="838"/>
    </row>
    <row r="7" spans="1:13" s="191" customFormat="1" ht="18.75">
      <c r="A7" s="850"/>
      <c r="B7" s="851"/>
      <c r="C7" s="846" t="s">
        <v>110</v>
      </c>
      <c r="D7" s="848" t="s">
        <v>50</v>
      </c>
      <c r="E7" s="845" t="s">
        <v>180</v>
      </c>
      <c r="F7" s="831" t="s">
        <v>56</v>
      </c>
      <c r="G7" s="831"/>
      <c r="H7" s="831"/>
      <c r="I7" s="831"/>
      <c r="J7" s="831"/>
      <c r="K7" s="831"/>
      <c r="L7" s="831"/>
      <c r="M7" s="832"/>
    </row>
    <row r="8" spans="1:13" s="191" customFormat="1" ht="18.75">
      <c r="A8" s="850"/>
      <c r="B8" s="851"/>
      <c r="C8" s="847"/>
      <c r="D8" s="849"/>
      <c r="E8" s="836"/>
      <c r="F8" s="836" t="s">
        <v>175</v>
      </c>
      <c r="G8" s="836"/>
      <c r="H8" s="836"/>
      <c r="I8" s="836"/>
      <c r="J8" s="836" t="s">
        <v>267</v>
      </c>
      <c r="K8" s="836"/>
      <c r="L8" s="836"/>
      <c r="M8" s="839"/>
    </row>
    <row r="9" spans="1:13" s="191" customFormat="1" ht="18.75" customHeight="1">
      <c r="A9" s="850"/>
      <c r="B9" s="851"/>
      <c r="C9" s="847"/>
      <c r="D9" s="849"/>
      <c r="E9" s="836"/>
      <c r="F9" s="836" t="s">
        <v>180</v>
      </c>
      <c r="G9" s="840" t="s">
        <v>56</v>
      </c>
      <c r="H9" s="840"/>
      <c r="I9" s="840"/>
      <c r="J9" s="836" t="s">
        <v>180</v>
      </c>
      <c r="K9" s="840" t="s">
        <v>56</v>
      </c>
      <c r="L9" s="840"/>
      <c r="M9" s="841"/>
    </row>
    <row r="10" spans="1:13" s="191" customFormat="1" ht="51.75" customHeight="1">
      <c r="A10" s="850"/>
      <c r="B10" s="851"/>
      <c r="C10" s="847"/>
      <c r="D10" s="849"/>
      <c r="E10" s="836"/>
      <c r="F10" s="836"/>
      <c r="G10" s="833" t="s">
        <v>406</v>
      </c>
      <c r="H10" s="842" t="s">
        <v>431</v>
      </c>
      <c r="I10" s="833" t="s">
        <v>268</v>
      </c>
      <c r="J10" s="836"/>
      <c r="K10" s="833" t="s">
        <v>406</v>
      </c>
      <c r="L10" s="842" t="s">
        <v>431</v>
      </c>
      <c r="M10" s="833" t="s">
        <v>268</v>
      </c>
    </row>
    <row r="11" spans="1:13" s="191" customFormat="1" ht="51.75" customHeight="1">
      <c r="A11" s="850"/>
      <c r="B11" s="851"/>
      <c r="C11" s="847"/>
      <c r="D11" s="849"/>
      <c r="E11" s="836"/>
      <c r="F11" s="836"/>
      <c r="G11" s="834"/>
      <c r="H11" s="843"/>
      <c r="I11" s="834"/>
      <c r="J11" s="836"/>
      <c r="K11" s="834"/>
      <c r="L11" s="843"/>
      <c r="M11" s="834"/>
    </row>
    <row r="12" spans="1:13" s="191" customFormat="1" ht="51.75" customHeight="1">
      <c r="A12" s="850"/>
      <c r="B12" s="851"/>
      <c r="C12" s="847"/>
      <c r="D12" s="849"/>
      <c r="E12" s="836"/>
      <c r="F12" s="836"/>
      <c r="G12" s="835"/>
      <c r="H12" s="844"/>
      <c r="I12" s="835"/>
      <c r="J12" s="836"/>
      <c r="K12" s="835"/>
      <c r="L12" s="844"/>
      <c r="M12" s="835"/>
    </row>
    <row r="13" spans="1:13" s="190" customFormat="1" ht="17.25" customHeight="1">
      <c r="A13" s="185"/>
      <c r="B13" s="185"/>
      <c r="C13" s="464" t="s">
        <v>15</v>
      </c>
      <c r="D13" s="186" t="s">
        <v>16</v>
      </c>
      <c r="E13" s="187">
        <v>1</v>
      </c>
      <c r="F13" s="188">
        <f>E13+1</f>
        <v>2</v>
      </c>
      <c r="G13" s="188">
        <f t="shared" ref="G13:M13" si="0">F13+1</f>
        <v>3</v>
      </c>
      <c r="H13" s="188">
        <f t="shared" si="0"/>
        <v>4</v>
      </c>
      <c r="I13" s="188">
        <f t="shared" si="0"/>
        <v>5</v>
      </c>
      <c r="J13" s="188">
        <f t="shared" si="0"/>
        <v>6</v>
      </c>
      <c r="K13" s="188">
        <f t="shared" si="0"/>
        <v>7</v>
      </c>
      <c r="L13" s="188">
        <f t="shared" si="0"/>
        <v>8</v>
      </c>
      <c r="M13" s="189">
        <f t="shared" si="0"/>
        <v>9</v>
      </c>
    </row>
    <row r="14" spans="1:13" s="135" customFormat="1" ht="18.75">
      <c r="A14" s="134"/>
      <c r="B14" s="133"/>
      <c r="C14" s="465"/>
      <c r="D14" s="246" t="s">
        <v>180</v>
      </c>
      <c r="E14" s="247"/>
      <c r="F14" s="247"/>
      <c r="G14" s="247"/>
      <c r="H14" s="247"/>
      <c r="I14" s="247"/>
      <c r="J14" s="247"/>
      <c r="K14" s="247"/>
      <c r="L14" s="247"/>
      <c r="M14" s="248"/>
    </row>
    <row r="15" spans="1:13" s="135" customFormat="1" ht="18.75">
      <c r="A15" s="134"/>
      <c r="B15" s="133"/>
      <c r="C15" s="466">
        <v>1</v>
      </c>
      <c r="D15" s="70" t="s">
        <v>75</v>
      </c>
      <c r="E15" s="249"/>
      <c r="F15" s="249"/>
      <c r="G15" s="249"/>
      <c r="H15" s="249"/>
      <c r="I15" s="249"/>
      <c r="J15" s="249"/>
      <c r="K15" s="249"/>
      <c r="L15" s="249"/>
      <c r="M15" s="250"/>
    </row>
    <row r="16" spans="1:13" ht="18.75">
      <c r="A16" s="133">
        <v>1</v>
      </c>
      <c r="B16" s="133" t="s">
        <v>240</v>
      </c>
      <c r="C16" s="466">
        <f>C15+1</f>
        <v>2</v>
      </c>
      <c r="D16" s="70" t="s">
        <v>76</v>
      </c>
      <c r="E16" s="251"/>
      <c r="F16" s="251"/>
      <c r="G16" s="251"/>
      <c r="H16" s="251"/>
      <c r="I16" s="251"/>
      <c r="J16" s="252"/>
      <c r="K16" s="252"/>
      <c r="L16" s="252"/>
      <c r="M16" s="253"/>
    </row>
    <row r="17" spans="1:137" ht="18.75">
      <c r="A17" s="133">
        <v>1</v>
      </c>
      <c r="B17" s="133" t="s">
        <v>240</v>
      </c>
      <c r="C17" s="466">
        <f t="shared" ref="C17:C26" si="1">C16+1</f>
        <v>3</v>
      </c>
      <c r="D17" s="70" t="s">
        <v>52</v>
      </c>
      <c r="E17" s="251"/>
      <c r="F17" s="251"/>
      <c r="G17" s="251"/>
      <c r="H17" s="251"/>
      <c r="I17" s="251"/>
      <c r="J17" s="252"/>
      <c r="K17" s="252"/>
      <c r="L17" s="252"/>
      <c r="M17" s="253"/>
    </row>
    <row r="18" spans="1:137" ht="18.75">
      <c r="A18" s="133">
        <v>8</v>
      </c>
      <c r="B18" s="133" t="s">
        <v>241</v>
      </c>
      <c r="C18" s="466">
        <f t="shared" si="1"/>
        <v>4</v>
      </c>
      <c r="D18" s="70" t="s">
        <v>46</v>
      </c>
      <c r="E18" s="251"/>
      <c r="F18" s="251"/>
      <c r="G18" s="251"/>
      <c r="H18" s="251"/>
      <c r="I18" s="251"/>
      <c r="J18" s="252"/>
      <c r="K18" s="254"/>
      <c r="L18" s="254"/>
      <c r="M18" s="253"/>
    </row>
    <row r="19" spans="1:137" s="142" customFormat="1" ht="18.75">
      <c r="A19" s="133"/>
      <c r="B19" s="133"/>
      <c r="C19" s="466">
        <f t="shared" si="1"/>
        <v>5</v>
      </c>
      <c r="D19" s="70" t="s">
        <v>47</v>
      </c>
      <c r="E19" s="255"/>
      <c r="F19" s="255"/>
      <c r="G19" s="255"/>
      <c r="H19" s="255"/>
      <c r="I19" s="255"/>
      <c r="J19" s="255"/>
      <c r="K19" s="255"/>
      <c r="L19" s="255"/>
      <c r="M19" s="256"/>
      <c r="N19" s="136"/>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8"/>
      <c r="AY19" s="138"/>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c r="BY19" s="137"/>
      <c r="BZ19" s="137"/>
      <c r="CA19" s="137"/>
      <c r="CB19" s="137"/>
      <c r="CC19" s="137"/>
      <c r="CD19" s="137"/>
      <c r="CE19" s="137"/>
      <c r="CF19" s="137"/>
      <c r="CG19" s="137"/>
      <c r="CH19" s="137"/>
      <c r="CI19" s="137"/>
      <c r="CJ19" s="137"/>
      <c r="CK19" s="137"/>
      <c r="CL19" s="137"/>
      <c r="CM19" s="137"/>
      <c r="CN19" s="137"/>
      <c r="CO19" s="137"/>
      <c r="CP19" s="137"/>
      <c r="CQ19" s="137"/>
      <c r="CR19" s="137"/>
      <c r="CS19" s="137"/>
      <c r="CT19" s="137"/>
      <c r="CU19" s="137"/>
      <c r="CV19" s="137"/>
      <c r="CW19" s="137"/>
      <c r="CX19" s="137"/>
      <c r="CY19" s="137"/>
      <c r="CZ19" s="137"/>
      <c r="DA19" s="137"/>
      <c r="DB19" s="137"/>
      <c r="DC19" s="137"/>
      <c r="DD19" s="137"/>
      <c r="DE19" s="137"/>
      <c r="DF19" s="137"/>
      <c r="DG19" s="137"/>
      <c r="DH19" s="137"/>
      <c r="DI19" s="137"/>
      <c r="DJ19" s="137"/>
      <c r="DK19" s="137"/>
      <c r="DL19" s="137"/>
      <c r="DM19" s="137"/>
      <c r="DN19" s="137"/>
      <c r="DO19" s="137"/>
      <c r="DP19" s="137"/>
      <c r="DQ19" s="139"/>
      <c r="DR19" s="139"/>
      <c r="DS19" s="139"/>
      <c r="DT19" s="140"/>
      <c r="DU19" s="140"/>
      <c r="DV19" s="140"/>
      <c r="DW19" s="141"/>
    </row>
    <row r="20" spans="1:137" s="147" customFormat="1" ht="18.75">
      <c r="A20" s="133"/>
      <c r="B20" s="133"/>
      <c r="C20" s="466">
        <f t="shared" si="1"/>
        <v>6</v>
      </c>
      <c r="D20" s="70" t="s">
        <v>48</v>
      </c>
      <c r="E20" s="255"/>
      <c r="F20" s="255"/>
      <c r="G20" s="255"/>
      <c r="H20" s="255"/>
      <c r="I20" s="255"/>
      <c r="J20" s="255"/>
      <c r="K20" s="255"/>
      <c r="L20" s="255"/>
      <c r="M20" s="257"/>
      <c r="N20" s="143"/>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39"/>
      <c r="DR20" s="139"/>
      <c r="DS20" s="139"/>
      <c r="DT20" s="145"/>
      <c r="DU20" s="145"/>
      <c r="DV20" s="145"/>
      <c r="DW20" s="146"/>
      <c r="DX20" s="142"/>
      <c r="DY20" s="142"/>
      <c r="DZ20" s="142"/>
      <c r="EA20" s="142"/>
      <c r="EB20" s="142"/>
      <c r="EC20" s="142"/>
      <c r="ED20" s="142"/>
      <c r="EE20" s="142"/>
      <c r="EF20" s="142"/>
      <c r="EG20" s="142"/>
    </row>
    <row r="21" spans="1:137" s="157" customFormat="1" ht="18.75">
      <c r="A21" s="133"/>
      <c r="B21" s="133"/>
      <c r="C21" s="466">
        <f t="shared" si="1"/>
        <v>7</v>
      </c>
      <c r="D21" s="70" t="s">
        <v>49</v>
      </c>
      <c r="E21" s="258"/>
      <c r="F21" s="258"/>
      <c r="G21" s="259"/>
      <c r="H21" s="258"/>
      <c r="I21" s="258"/>
      <c r="J21" s="260"/>
      <c r="K21" s="260"/>
      <c r="L21" s="260"/>
      <c r="M21" s="261"/>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9"/>
      <c r="AX21" s="150"/>
      <c r="AY21" s="150"/>
      <c r="AZ21" s="151"/>
      <c r="BA21" s="152"/>
      <c r="BB21" s="152"/>
      <c r="BC21" s="152"/>
      <c r="BD21" s="151"/>
      <c r="BE21" s="151"/>
      <c r="BF21" s="151"/>
      <c r="BG21" s="151"/>
      <c r="BH21" s="151"/>
      <c r="BI21" s="151"/>
      <c r="BJ21" s="151"/>
      <c r="BK21" s="151"/>
      <c r="BL21" s="151"/>
      <c r="BM21" s="151"/>
      <c r="BN21" s="151"/>
      <c r="BO21" s="148"/>
      <c r="BP21" s="148"/>
      <c r="BQ21" s="151"/>
      <c r="BR21" s="151"/>
      <c r="BS21" s="151"/>
      <c r="BT21" s="151"/>
      <c r="BU21" s="151"/>
      <c r="BV21" s="151"/>
      <c r="BW21" s="151"/>
      <c r="BX21" s="151"/>
      <c r="BY21" s="151"/>
      <c r="BZ21" s="151"/>
      <c r="CA21" s="151"/>
      <c r="CB21" s="151"/>
      <c r="CC21" s="152"/>
      <c r="CD21" s="152"/>
      <c r="CE21" s="151"/>
      <c r="CF21" s="151"/>
      <c r="CG21" s="151"/>
      <c r="CH21" s="152"/>
      <c r="CI21" s="152"/>
      <c r="CJ21" s="151"/>
      <c r="CK21" s="153"/>
      <c r="CL21" s="153"/>
      <c r="CM21" s="153"/>
      <c r="CN21" s="151"/>
      <c r="CO21" s="151"/>
      <c r="CP21" s="151"/>
      <c r="CQ21" s="154"/>
      <c r="CR21" s="151"/>
      <c r="CS21" s="151"/>
      <c r="CT21" s="152"/>
      <c r="CU21" s="151"/>
      <c r="CV21" s="152"/>
      <c r="CW21" s="151"/>
      <c r="CX21" s="151"/>
      <c r="CY21" s="151"/>
      <c r="CZ21" s="151"/>
      <c r="DA21" s="151"/>
      <c r="DB21" s="151"/>
      <c r="DC21" s="151"/>
      <c r="DD21" s="151"/>
      <c r="DE21" s="151"/>
      <c r="DF21" s="151"/>
      <c r="DG21" s="155"/>
      <c r="DH21" s="151"/>
      <c r="DI21" s="152"/>
      <c r="DJ21" s="152"/>
      <c r="DK21" s="151"/>
      <c r="DL21" s="151"/>
      <c r="DM21" s="151"/>
      <c r="DN21" s="151"/>
      <c r="DO21" s="156"/>
      <c r="DP21" s="151"/>
      <c r="DT21" s="158"/>
      <c r="DU21" s="151"/>
      <c r="DV21" s="151"/>
      <c r="DW21" s="151"/>
    </row>
    <row r="22" spans="1:137" s="157" customFormat="1" ht="18.75">
      <c r="A22" s="133"/>
      <c r="B22" s="133"/>
      <c r="C22" s="466">
        <f t="shared" si="1"/>
        <v>8</v>
      </c>
      <c r="D22" s="70" t="s">
        <v>52</v>
      </c>
      <c r="E22" s="258"/>
      <c r="F22" s="258"/>
      <c r="G22" s="259"/>
      <c r="H22" s="258"/>
      <c r="I22" s="258"/>
      <c r="J22" s="260"/>
      <c r="K22" s="260"/>
      <c r="L22" s="260"/>
      <c r="M22" s="261"/>
      <c r="N22" s="148"/>
      <c r="O22" s="148"/>
      <c r="P22" s="148"/>
      <c r="Q22" s="148"/>
      <c r="R22" s="148"/>
      <c r="S22" s="148"/>
      <c r="T22" s="148"/>
      <c r="U22" s="148"/>
      <c r="V22" s="148"/>
      <c r="W22" s="148"/>
      <c r="X22" s="148"/>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9"/>
      <c r="AX22" s="150"/>
      <c r="AY22" s="150"/>
      <c r="AZ22" s="151"/>
      <c r="BA22" s="152"/>
      <c r="BB22" s="152"/>
      <c r="BC22" s="152"/>
      <c r="BD22" s="151"/>
      <c r="BE22" s="151"/>
      <c r="BF22" s="151"/>
      <c r="BG22" s="151"/>
      <c r="BH22" s="151"/>
      <c r="BI22" s="151"/>
      <c r="BJ22" s="151"/>
      <c r="BK22" s="151"/>
      <c r="BL22" s="151"/>
      <c r="BM22" s="151"/>
      <c r="BN22" s="151"/>
      <c r="BO22" s="148"/>
      <c r="BP22" s="148"/>
      <c r="BQ22" s="151"/>
      <c r="BR22" s="151"/>
      <c r="BS22" s="151"/>
      <c r="BT22" s="151"/>
      <c r="BU22" s="151"/>
      <c r="BV22" s="151"/>
      <c r="BW22" s="151"/>
      <c r="BX22" s="151"/>
      <c r="BY22" s="151"/>
      <c r="BZ22" s="151"/>
      <c r="CA22" s="151"/>
      <c r="CB22" s="151"/>
      <c r="CC22" s="152"/>
      <c r="CD22" s="152"/>
      <c r="CE22" s="151"/>
      <c r="CF22" s="151"/>
      <c r="CG22" s="151"/>
      <c r="CH22" s="152"/>
      <c r="CI22" s="152"/>
      <c r="CJ22" s="151"/>
      <c r="CK22" s="153"/>
      <c r="CL22" s="153"/>
      <c r="CM22" s="153"/>
      <c r="CN22" s="151"/>
      <c r="CO22" s="151"/>
      <c r="CP22" s="151"/>
      <c r="CQ22" s="154"/>
      <c r="CR22" s="151"/>
      <c r="CS22" s="151"/>
      <c r="CT22" s="152"/>
      <c r="CU22" s="151"/>
      <c r="CV22" s="152"/>
      <c r="CW22" s="151"/>
      <c r="CX22" s="151"/>
      <c r="CY22" s="151"/>
      <c r="CZ22" s="151"/>
      <c r="DA22" s="151"/>
      <c r="DB22" s="151"/>
      <c r="DC22" s="151"/>
      <c r="DD22" s="151"/>
      <c r="DE22" s="151"/>
      <c r="DF22" s="151"/>
      <c r="DG22" s="155"/>
      <c r="DH22" s="151"/>
      <c r="DI22" s="152"/>
      <c r="DJ22" s="152"/>
      <c r="DK22" s="151"/>
      <c r="DL22" s="151"/>
      <c r="DM22" s="151"/>
      <c r="DN22" s="151"/>
      <c r="DO22" s="156"/>
      <c r="DP22" s="151"/>
      <c r="DT22" s="158"/>
      <c r="DU22" s="151"/>
      <c r="DV22" s="151"/>
      <c r="DW22" s="151"/>
    </row>
    <row r="23" spans="1:137" ht="18.75">
      <c r="A23" s="133">
        <v>8</v>
      </c>
      <c r="B23" s="133" t="s">
        <v>241</v>
      </c>
      <c r="C23" s="466">
        <f t="shared" si="1"/>
        <v>9</v>
      </c>
      <c r="D23" s="70" t="s">
        <v>53</v>
      </c>
      <c r="E23" s="251"/>
      <c r="F23" s="251"/>
      <c r="G23" s="251"/>
      <c r="H23" s="251"/>
      <c r="I23" s="251"/>
      <c r="J23" s="252"/>
      <c r="K23" s="254"/>
      <c r="L23" s="254"/>
      <c r="M23" s="253"/>
    </row>
    <row r="24" spans="1:137" s="147" customFormat="1" ht="18.75">
      <c r="A24" s="133"/>
      <c r="B24" s="133"/>
      <c r="C24" s="466">
        <f t="shared" si="1"/>
        <v>10</v>
      </c>
      <c r="D24" s="70" t="s">
        <v>54</v>
      </c>
      <c r="E24" s="255"/>
      <c r="F24" s="255"/>
      <c r="G24" s="255"/>
      <c r="H24" s="255"/>
      <c r="I24" s="255"/>
      <c r="J24" s="255"/>
      <c r="K24" s="255"/>
      <c r="L24" s="255"/>
      <c r="M24" s="257"/>
      <c r="N24" s="143"/>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f t="shared" ref="AW24:DH24" si="2">SUM(AW28:AW40)</f>
        <v>0</v>
      </c>
      <c r="AX24" s="144">
        <f t="shared" si="2"/>
        <v>0</v>
      </c>
      <c r="AY24" s="144">
        <f t="shared" si="2"/>
        <v>0</v>
      </c>
      <c r="AZ24" s="144">
        <f t="shared" si="2"/>
        <v>0</v>
      </c>
      <c r="BA24" s="144">
        <f t="shared" si="2"/>
        <v>0</v>
      </c>
      <c r="BB24" s="144">
        <f t="shared" si="2"/>
        <v>0</v>
      </c>
      <c r="BC24" s="144">
        <f t="shared" si="2"/>
        <v>0</v>
      </c>
      <c r="BD24" s="144">
        <f t="shared" si="2"/>
        <v>0</v>
      </c>
      <c r="BE24" s="144">
        <f t="shared" si="2"/>
        <v>0</v>
      </c>
      <c r="BF24" s="144">
        <f t="shared" si="2"/>
        <v>0</v>
      </c>
      <c r="BG24" s="144">
        <f t="shared" si="2"/>
        <v>0</v>
      </c>
      <c r="BH24" s="144">
        <f t="shared" si="2"/>
        <v>0</v>
      </c>
      <c r="BI24" s="144">
        <f t="shared" si="2"/>
        <v>0</v>
      </c>
      <c r="BJ24" s="144">
        <f t="shared" si="2"/>
        <v>0</v>
      </c>
      <c r="BK24" s="144">
        <f t="shared" si="2"/>
        <v>0</v>
      </c>
      <c r="BL24" s="144">
        <f t="shared" si="2"/>
        <v>0</v>
      </c>
      <c r="BM24" s="144">
        <f t="shared" si="2"/>
        <v>0</v>
      </c>
      <c r="BN24" s="144">
        <f t="shared" si="2"/>
        <v>0</v>
      </c>
      <c r="BO24" s="144">
        <f t="shared" si="2"/>
        <v>0</v>
      </c>
      <c r="BP24" s="144">
        <f t="shared" si="2"/>
        <v>0</v>
      </c>
      <c r="BQ24" s="144">
        <f t="shared" si="2"/>
        <v>0</v>
      </c>
      <c r="BR24" s="144">
        <f t="shared" si="2"/>
        <v>0</v>
      </c>
      <c r="BS24" s="144">
        <f t="shared" si="2"/>
        <v>0</v>
      </c>
      <c r="BT24" s="144">
        <f t="shared" si="2"/>
        <v>0</v>
      </c>
      <c r="BU24" s="144">
        <f t="shared" si="2"/>
        <v>0</v>
      </c>
      <c r="BV24" s="144">
        <f t="shared" si="2"/>
        <v>0</v>
      </c>
      <c r="BW24" s="144">
        <f t="shared" si="2"/>
        <v>0</v>
      </c>
      <c r="BX24" s="144">
        <f t="shared" si="2"/>
        <v>0</v>
      </c>
      <c r="BY24" s="144">
        <f t="shared" si="2"/>
        <v>0</v>
      </c>
      <c r="BZ24" s="144">
        <f t="shared" si="2"/>
        <v>0</v>
      </c>
      <c r="CA24" s="144">
        <f t="shared" si="2"/>
        <v>0</v>
      </c>
      <c r="CB24" s="144">
        <f t="shared" si="2"/>
        <v>0</v>
      </c>
      <c r="CC24" s="144">
        <f t="shared" si="2"/>
        <v>0</v>
      </c>
      <c r="CD24" s="144">
        <f t="shared" si="2"/>
        <v>0</v>
      </c>
      <c r="CE24" s="144">
        <f t="shared" si="2"/>
        <v>0</v>
      </c>
      <c r="CF24" s="144">
        <f t="shared" si="2"/>
        <v>0</v>
      </c>
      <c r="CG24" s="144">
        <f t="shared" si="2"/>
        <v>0</v>
      </c>
      <c r="CH24" s="144">
        <f t="shared" si="2"/>
        <v>0</v>
      </c>
      <c r="CI24" s="144">
        <f t="shared" si="2"/>
        <v>0</v>
      </c>
      <c r="CJ24" s="144">
        <f t="shared" si="2"/>
        <v>0</v>
      </c>
      <c r="CK24" s="144">
        <f t="shared" si="2"/>
        <v>0</v>
      </c>
      <c r="CL24" s="144">
        <f t="shared" si="2"/>
        <v>0</v>
      </c>
      <c r="CM24" s="144">
        <f t="shared" si="2"/>
        <v>0</v>
      </c>
      <c r="CN24" s="144">
        <f t="shared" si="2"/>
        <v>0</v>
      </c>
      <c r="CO24" s="144">
        <f t="shared" si="2"/>
        <v>0</v>
      </c>
      <c r="CP24" s="144">
        <f t="shared" si="2"/>
        <v>0</v>
      </c>
      <c r="CQ24" s="144">
        <f t="shared" si="2"/>
        <v>0</v>
      </c>
      <c r="CR24" s="144">
        <f t="shared" si="2"/>
        <v>0</v>
      </c>
      <c r="CS24" s="144">
        <f t="shared" si="2"/>
        <v>0</v>
      </c>
      <c r="CT24" s="144">
        <f t="shared" si="2"/>
        <v>0</v>
      </c>
      <c r="CU24" s="144">
        <f t="shared" si="2"/>
        <v>0</v>
      </c>
      <c r="CV24" s="144">
        <f t="shared" si="2"/>
        <v>0</v>
      </c>
      <c r="CW24" s="144">
        <f t="shared" si="2"/>
        <v>0</v>
      </c>
      <c r="CX24" s="144">
        <f t="shared" si="2"/>
        <v>0</v>
      </c>
      <c r="CY24" s="144">
        <f t="shared" si="2"/>
        <v>0</v>
      </c>
      <c r="CZ24" s="144">
        <f t="shared" si="2"/>
        <v>0</v>
      </c>
      <c r="DA24" s="144">
        <f t="shared" si="2"/>
        <v>0</v>
      </c>
      <c r="DB24" s="144">
        <f t="shared" si="2"/>
        <v>0</v>
      </c>
      <c r="DC24" s="144">
        <f t="shared" si="2"/>
        <v>0</v>
      </c>
      <c r="DD24" s="144">
        <f t="shared" si="2"/>
        <v>0</v>
      </c>
      <c r="DE24" s="144">
        <f t="shared" si="2"/>
        <v>0</v>
      </c>
      <c r="DF24" s="144">
        <f t="shared" si="2"/>
        <v>0</v>
      </c>
      <c r="DG24" s="144">
        <f t="shared" si="2"/>
        <v>0</v>
      </c>
      <c r="DH24" s="144">
        <f t="shared" si="2"/>
        <v>0</v>
      </c>
      <c r="DI24" s="144">
        <f t="shared" ref="DI24:DP24" si="3">SUM(DI28:DI40)</f>
        <v>0</v>
      </c>
      <c r="DJ24" s="144">
        <f t="shared" si="3"/>
        <v>0</v>
      </c>
      <c r="DK24" s="144">
        <f t="shared" si="3"/>
        <v>0</v>
      </c>
      <c r="DL24" s="144">
        <f t="shared" si="3"/>
        <v>0</v>
      </c>
      <c r="DM24" s="144">
        <f t="shared" si="3"/>
        <v>0</v>
      </c>
      <c r="DN24" s="144">
        <f t="shared" si="3"/>
        <v>0</v>
      </c>
      <c r="DO24" s="144">
        <f t="shared" si="3"/>
        <v>0</v>
      </c>
      <c r="DP24" s="144">
        <f t="shared" si="3"/>
        <v>0</v>
      </c>
      <c r="DQ24" s="142"/>
      <c r="DR24" s="142"/>
      <c r="DS24" s="142"/>
      <c r="DT24" s="145">
        <f>+SUM(DT28:DT40)</f>
        <v>0</v>
      </c>
      <c r="DU24" s="145">
        <f>+SUM(DU28:DU40)</f>
        <v>0</v>
      </c>
      <c r="DV24" s="145">
        <f>+SUM(DV28:DV40)</f>
        <v>0</v>
      </c>
      <c r="DW24" s="145">
        <f>+SUM(DW28:DW40)</f>
        <v>0</v>
      </c>
      <c r="DX24" s="142"/>
      <c r="DY24" s="142"/>
      <c r="DZ24" s="142"/>
      <c r="EA24" s="142"/>
      <c r="EB24" s="142"/>
      <c r="EC24" s="142"/>
      <c r="ED24" s="142"/>
      <c r="EE24" s="142"/>
      <c r="EF24" s="142"/>
      <c r="EG24" s="142"/>
    </row>
    <row r="25" spans="1:137" s="147" customFormat="1" ht="18.75">
      <c r="A25" s="133"/>
      <c r="B25" s="133"/>
      <c r="C25" s="466">
        <f t="shared" si="1"/>
        <v>11</v>
      </c>
      <c r="D25" s="70" t="s">
        <v>55</v>
      </c>
      <c r="E25" s="255"/>
      <c r="F25" s="255"/>
      <c r="G25" s="255"/>
      <c r="H25" s="255"/>
      <c r="I25" s="255"/>
      <c r="J25" s="255"/>
      <c r="K25" s="255"/>
      <c r="L25" s="255"/>
      <c r="M25" s="257"/>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c r="CL25" s="159"/>
      <c r="CM25" s="159"/>
      <c r="CN25" s="159"/>
      <c r="CO25" s="159"/>
      <c r="CP25" s="159"/>
      <c r="CQ25" s="159"/>
      <c r="CR25" s="159"/>
      <c r="CS25" s="159"/>
      <c r="CT25" s="159"/>
      <c r="CU25" s="159"/>
      <c r="CV25" s="159"/>
      <c r="CW25" s="159"/>
      <c r="CX25" s="159"/>
      <c r="CY25" s="159"/>
      <c r="CZ25" s="159"/>
      <c r="DA25" s="159"/>
      <c r="DB25" s="159"/>
      <c r="DC25" s="159"/>
      <c r="DD25" s="159"/>
      <c r="DE25" s="159"/>
      <c r="DF25" s="159"/>
      <c r="DG25" s="159"/>
      <c r="DH25" s="159"/>
      <c r="DI25" s="159"/>
      <c r="DJ25" s="159"/>
      <c r="DK25" s="159"/>
      <c r="DL25" s="159"/>
      <c r="DM25" s="159"/>
      <c r="DN25" s="159"/>
      <c r="DO25" s="159"/>
      <c r="DP25" s="159"/>
      <c r="DQ25" s="142"/>
      <c r="DR25" s="142"/>
      <c r="DS25" s="142"/>
      <c r="DT25" s="160"/>
      <c r="DU25" s="160"/>
      <c r="DV25" s="160"/>
      <c r="DW25" s="160"/>
      <c r="DX25" s="142"/>
      <c r="DY25" s="142"/>
      <c r="DZ25" s="142"/>
      <c r="EA25" s="142"/>
      <c r="EB25" s="142"/>
      <c r="EC25" s="142"/>
      <c r="ED25" s="142"/>
      <c r="EE25" s="142"/>
      <c r="EF25" s="142"/>
      <c r="EG25" s="142"/>
    </row>
    <row r="26" spans="1:137" s="147" customFormat="1" ht="18.75">
      <c r="A26" s="133"/>
      <c r="B26" s="133"/>
      <c r="C26" s="466">
        <f t="shared" si="1"/>
        <v>12</v>
      </c>
      <c r="D26" s="70" t="s">
        <v>52</v>
      </c>
      <c r="E26" s="255"/>
      <c r="F26" s="255"/>
      <c r="G26" s="255"/>
      <c r="H26" s="255"/>
      <c r="I26" s="255"/>
      <c r="J26" s="255"/>
      <c r="K26" s="255"/>
      <c r="L26" s="255"/>
      <c r="M26" s="257"/>
      <c r="N26" s="159"/>
      <c r="O26" s="159"/>
      <c r="P26" s="159"/>
      <c r="Q26" s="159"/>
      <c r="R26" s="159"/>
      <c r="S26" s="159"/>
      <c r="T26" s="159"/>
      <c r="U26" s="159"/>
      <c r="V26" s="159"/>
      <c r="W26" s="159"/>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c r="CL26" s="159"/>
      <c r="CM26" s="159"/>
      <c r="CN26" s="159"/>
      <c r="CO26" s="159"/>
      <c r="CP26" s="159"/>
      <c r="CQ26" s="159"/>
      <c r="CR26" s="159"/>
      <c r="CS26" s="159"/>
      <c r="CT26" s="159"/>
      <c r="CU26" s="159"/>
      <c r="CV26" s="159"/>
      <c r="CW26" s="159"/>
      <c r="CX26" s="159"/>
      <c r="CY26" s="159"/>
      <c r="CZ26" s="159"/>
      <c r="DA26" s="159"/>
      <c r="DB26" s="159"/>
      <c r="DC26" s="159"/>
      <c r="DD26" s="159"/>
      <c r="DE26" s="159"/>
      <c r="DF26" s="159"/>
      <c r="DG26" s="159"/>
      <c r="DH26" s="159"/>
      <c r="DI26" s="159"/>
      <c r="DJ26" s="159"/>
      <c r="DK26" s="159"/>
      <c r="DL26" s="159"/>
      <c r="DM26" s="159"/>
      <c r="DN26" s="159"/>
      <c r="DO26" s="159"/>
      <c r="DP26" s="159"/>
      <c r="DQ26" s="142"/>
      <c r="DR26" s="142"/>
      <c r="DS26" s="142"/>
      <c r="DT26" s="160"/>
      <c r="DU26" s="160"/>
      <c r="DV26" s="160"/>
      <c r="DW26" s="160"/>
      <c r="DX26" s="142"/>
      <c r="DY26" s="142"/>
      <c r="DZ26" s="142"/>
      <c r="EA26" s="142"/>
      <c r="EB26" s="142"/>
      <c r="EC26" s="142"/>
      <c r="ED26" s="142"/>
      <c r="EE26" s="142"/>
      <c r="EF26" s="142"/>
      <c r="EG26" s="142"/>
    </row>
    <row r="27" spans="1:137" s="147" customFormat="1" ht="19.5" thickBot="1">
      <c r="A27" s="133"/>
      <c r="B27" s="133"/>
      <c r="C27" s="467"/>
      <c r="D27" s="73"/>
      <c r="E27" s="244"/>
      <c r="F27" s="244"/>
      <c r="G27" s="244"/>
      <c r="H27" s="244"/>
      <c r="I27" s="244"/>
      <c r="J27" s="244"/>
      <c r="K27" s="244"/>
      <c r="L27" s="244"/>
      <c r="M27" s="245"/>
      <c r="N27" s="159"/>
      <c r="O27" s="159"/>
      <c r="P27" s="159"/>
      <c r="Q27" s="159"/>
      <c r="R27" s="159"/>
      <c r="S27" s="159"/>
      <c r="T27" s="159"/>
      <c r="U27" s="159"/>
      <c r="V27" s="159"/>
      <c r="W27" s="159"/>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c r="CL27" s="159"/>
      <c r="CM27" s="159"/>
      <c r="CN27" s="159"/>
      <c r="CO27" s="159"/>
      <c r="CP27" s="159"/>
      <c r="CQ27" s="159"/>
      <c r="CR27" s="159"/>
      <c r="CS27" s="159"/>
      <c r="CT27" s="159"/>
      <c r="CU27" s="159"/>
      <c r="CV27" s="159"/>
      <c r="CW27" s="159"/>
      <c r="CX27" s="159"/>
      <c r="CY27" s="159"/>
      <c r="CZ27" s="159"/>
      <c r="DA27" s="159"/>
      <c r="DB27" s="159"/>
      <c r="DC27" s="159"/>
      <c r="DD27" s="159"/>
      <c r="DE27" s="159"/>
      <c r="DF27" s="159"/>
      <c r="DG27" s="159"/>
      <c r="DH27" s="159"/>
      <c r="DI27" s="159"/>
      <c r="DJ27" s="159"/>
      <c r="DK27" s="159"/>
      <c r="DL27" s="159"/>
      <c r="DM27" s="159"/>
      <c r="DN27" s="159"/>
      <c r="DO27" s="159"/>
      <c r="DP27" s="159"/>
      <c r="DQ27" s="142"/>
      <c r="DR27" s="142"/>
      <c r="DS27" s="142"/>
      <c r="DT27" s="160"/>
      <c r="DU27" s="160"/>
      <c r="DV27" s="160"/>
      <c r="DW27" s="160"/>
      <c r="DX27" s="142"/>
      <c r="DY27" s="142"/>
      <c r="DZ27" s="142"/>
      <c r="EA27" s="142"/>
      <c r="EB27" s="142"/>
      <c r="EC27" s="142"/>
      <c r="ED27" s="142"/>
      <c r="EE27" s="142"/>
      <c r="EF27" s="142"/>
      <c r="EG27" s="142"/>
    </row>
    <row r="28" spans="1:137" ht="20.25" customHeight="1">
      <c r="A28" s="133">
        <v>8</v>
      </c>
      <c r="B28" s="133" t="s">
        <v>241</v>
      </c>
      <c r="C28" s="103"/>
      <c r="D28" s="302"/>
      <c r="E28" s="302"/>
      <c r="F28" s="302"/>
      <c r="G28" s="302"/>
      <c r="H28" s="302"/>
      <c r="I28" s="298"/>
      <c r="J28" s="299"/>
      <c r="K28" s="300"/>
      <c r="L28" s="300"/>
      <c r="M28" s="301"/>
    </row>
    <row r="31" spans="1:137" ht="16.5" thickBot="1"/>
    <row r="32" spans="1:137" ht="20.25" customHeight="1">
      <c r="A32" s="133">
        <v>8</v>
      </c>
      <c r="B32" s="133" t="s">
        <v>241</v>
      </c>
      <c r="C32" s="103" t="s">
        <v>383</v>
      </c>
      <c r="D32" s="302"/>
      <c r="E32" s="302"/>
      <c r="F32" s="302"/>
      <c r="G32" s="302"/>
      <c r="H32" s="302"/>
      <c r="I32" s="298"/>
      <c r="J32" s="299"/>
      <c r="K32" s="300"/>
      <c r="L32" s="300"/>
      <c r="M32" s="301"/>
    </row>
  </sheetData>
  <mergeCells count="22">
    <mergeCell ref="C3:M3"/>
    <mergeCell ref="C6:M6"/>
    <mergeCell ref="J8:M8"/>
    <mergeCell ref="J9:J12"/>
    <mergeCell ref="K9:M9"/>
    <mergeCell ref="L10:L12"/>
    <mergeCell ref="E7:E12"/>
    <mergeCell ref="H10:H12"/>
    <mergeCell ref="C7:C12"/>
    <mergeCell ref="D7:D12"/>
    <mergeCell ref="C5:M5"/>
    <mergeCell ref="A4:M4"/>
    <mergeCell ref="G9:I9"/>
    <mergeCell ref="I10:I12"/>
    <mergeCell ref="A7:A12"/>
    <mergeCell ref="B7:B12"/>
    <mergeCell ref="F7:M7"/>
    <mergeCell ref="M10:M12"/>
    <mergeCell ref="K10:K12"/>
    <mergeCell ref="G10:G12"/>
    <mergeCell ref="F8:I8"/>
    <mergeCell ref="F9:F12"/>
  </mergeCells>
  <printOptions horizontalCentered="1"/>
  <pageMargins left="0.2" right="0.23" top="0.66" bottom="0.21" header="0.22" footer="0.17"/>
  <pageSetup paperSize="9" scale="87" orientation="landscape" r:id="rId1"/>
  <headerFooter>
    <oddHeader>&amp;C8</oddHeader>
  </headerFooter>
</worksheet>
</file>

<file path=xl/worksheets/sheet5.xml><?xml version="1.0" encoding="utf-8"?>
<worksheet xmlns="http://schemas.openxmlformats.org/spreadsheetml/2006/main" xmlns:r="http://schemas.openxmlformats.org/officeDocument/2006/relationships">
  <sheetPr>
    <pageSetUpPr fitToPage="1"/>
  </sheetPr>
  <dimension ref="A1:R361"/>
  <sheetViews>
    <sheetView topLeftCell="A16" workbookViewId="0">
      <selection activeCell="B60" sqref="B60"/>
    </sheetView>
  </sheetViews>
  <sheetFormatPr defaultColWidth="8" defaultRowHeight="18.75"/>
  <cols>
    <col min="1" max="1" width="3.625" style="308" customWidth="1"/>
    <col min="2" max="2" width="28.75" style="169" customWidth="1"/>
    <col min="3" max="5" width="7.5" style="170" customWidth="1"/>
    <col min="6" max="6" width="16.125" style="170" customWidth="1"/>
    <col min="7" max="12" width="11.375" style="171" customWidth="1"/>
    <col min="13" max="13" width="10.125" style="171" customWidth="1"/>
    <col min="14" max="16384" width="8" style="168"/>
  </cols>
  <sheetData>
    <row r="1" spans="1:18" s="163" customFormat="1" ht="23.25">
      <c r="A1" s="303"/>
      <c r="B1" s="176"/>
      <c r="C1" s="176"/>
      <c r="D1" s="176"/>
      <c r="E1" s="176"/>
      <c r="F1" s="176"/>
      <c r="G1" s="176"/>
      <c r="H1" s="176"/>
      <c r="I1" s="176"/>
      <c r="J1" s="176"/>
      <c r="K1" s="176"/>
      <c r="L1" s="176"/>
      <c r="M1" s="39" t="s">
        <v>166</v>
      </c>
    </row>
    <row r="2" spans="1:18" s="164" customFormat="1" ht="23.25">
      <c r="A2" s="852" t="s">
        <v>375</v>
      </c>
      <c r="B2" s="852"/>
      <c r="C2" s="852"/>
      <c r="D2" s="852"/>
      <c r="E2" s="852"/>
      <c r="F2" s="852"/>
      <c r="G2" s="852"/>
      <c r="H2" s="852"/>
      <c r="I2" s="852"/>
      <c r="J2" s="852"/>
      <c r="K2" s="852"/>
      <c r="L2" s="852"/>
      <c r="M2" s="852"/>
    </row>
    <row r="3" spans="1:18" s="164" customFormat="1" ht="23.25">
      <c r="A3" s="852" t="s">
        <v>376</v>
      </c>
      <c r="B3" s="852"/>
      <c r="C3" s="852"/>
      <c r="D3" s="852"/>
      <c r="E3" s="852"/>
      <c r="F3" s="852"/>
      <c r="G3" s="852"/>
      <c r="H3" s="852"/>
      <c r="I3" s="852"/>
      <c r="J3" s="852"/>
      <c r="K3" s="852"/>
      <c r="L3" s="852"/>
      <c r="M3" s="852"/>
    </row>
    <row r="4" spans="1:18" s="164" customFormat="1" ht="23.25" customHeight="1">
      <c r="A4" s="823" t="s">
        <v>67</v>
      </c>
      <c r="B4" s="823"/>
      <c r="C4" s="823"/>
      <c r="D4" s="823"/>
      <c r="E4" s="823"/>
      <c r="F4" s="823"/>
      <c r="G4" s="823"/>
      <c r="H4" s="823"/>
      <c r="I4" s="823"/>
      <c r="J4" s="823"/>
      <c r="K4" s="823"/>
      <c r="L4" s="823"/>
      <c r="M4" s="823"/>
      <c r="N4" s="165"/>
      <c r="O4" s="165"/>
      <c r="P4" s="165"/>
      <c r="Q4" s="165"/>
      <c r="R4" s="165"/>
    </row>
    <row r="5" spans="1:18" s="166" customFormat="1" ht="24" thickBot="1">
      <c r="A5" s="853" t="s">
        <v>187</v>
      </c>
      <c r="B5" s="853"/>
      <c r="C5" s="853"/>
      <c r="D5" s="853"/>
      <c r="E5" s="853"/>
      <c r="F5" s="853"/>
      <c r="G5" s="853"/>
      <c r="H5" s="853"/>
      <c r="I5" s="853"/>
      <c r="J5" s="853"/>
      <c r="K5" s="853"/>
      <c r="L5" s="853"/>
      <c r="M5" s="853"/>
    </row>
    <row r="6" spans="1:18" s="197" customFormat="1" ht="31.5" customHeight="1">
      <c r="A6" s="854" t="s">
        <v>278</v>
      </c>
      <c r="B6" s="856" t="s">
        <v>277</v>
      </c>
      <c r="C6" s="856" t="s">
        <v>270</v>
      </c>
      <c r="D6" s="856" t="s">
        <v>271</v>
      </c>
      <c r="E6" s="856" t="s">
        <v>272</v>
      </c>
      <c r="F6" s="858" t="s">
        <v>273</v>
      </c>
      <c r="G6" s="858"/>
      <c r="H6" s="858"/>
      <c r="I6" s="859" t="s">
        <v>284</v>
      </c>
      <c r="J6" s="860"/>
      <c r="K6" s="859" t="s">
        <v>285</v>
      </c>
      <c r="L6" s="863"/>
      <c r="M6" s="865" t="s">
        <v>248</v>
      </c>
    </row>
    <row r="7" spans="1:18" s="197" customFormat="1" ht="31.5" customHeight="1">
      <c r="A7" s="855"/>
      <c r="B7" s="857"/>
      <c r="C7" s="857"/>
      <c r="D7" s="857"/>
      <c r="E7" s="857"/>
      <c r="F7" s="867" t="s">
        <v>274</v>
      </c>
      <c r="G7" s="867" t="s">
        <v>275</v>
      </c>
      <c r="H7" s="867"/>
      <c r="I7" s="861"/>
      <c r="J7" s="862"/>
      <c r="K7" s="861"/>
      <c r="L7" s="864"/>
      <c r="M7" s="866"/>
    </row>
    <row r="8" spans="1:18" s="197" customFormat="1" ht="56.25" customHeight="1">
      <c r="A8" s="855"/>
      <c r="B8" s="857"/>
      <c r="C8" s="857"/>
      <c r="D8" s="857"/>
      <c r="E8" s="857"/>
      <c r="F8" s="867"/>
      <c r="G8" s="198" t="s">
        <v>432</v>
      </c>
      <c r="H8" s="198" t="s">
        <v>276</v>
      </c>
      <c r="I8" s="198" t="s">
        <v>180</v>
      </c>
      <c r="J8" s="198" t="s">
        <v>276</v>
      </c>
      <c r="K8" s="198" t="s">
        <v>180</v>
      </c>
      <c r="L8" s="204" t="s">
        <v>276</v>
      </c>
      <c r="M8" s="866"/>
    </row>
    <row r="9" spans="1:18" s="196" customFormat="1" ht="17.25" customHeight="1">
      <c r="A9" s="305" t="s">
        <v>15</v>
      </c>
      <c r="B9" s="192" t="s">
        <v>16</v>
      </c>
      <c r="C9" s="193">
        <v>1</v>
      </c>
      <c r="D9" s="193">
        <f>C9+1</f>
        <v>2</v>
      </c>
      <c r="E9" s="193">
        <f t="shared" ref="E9:M9" si="0">D9+1</f>
        <v>3</v>
      </c>
      <c r="F9" s="193">
        <f t="shared" si="0"/>
        <v>4</v>
      </c>
      <c r="G9" s="193">
        <f t="shared" si="0"/>
        <v>5</v>
      </c>
      <c r="H9" s="193">
        <f t="shared" si="0"/>
        <v>6</v>
      </c>
      <c r="I9" s="193">
        <f t="shared" si="0"/>
        <v>7</v>
      </c>
      <c r="J9" s="193">
        <f t="shared" si="0"/>
        <v>8</v>
      </c>
      <c r="K9" s="193">
        <f t="shared" si="0"/>
        <v>9</v>
      </c>
      <c r="L9" s="193">
        <f t="shared" si="0"/>
        <v>10</v>
      </c>
      <c r="M9" s="195">
        <f t="shared" si="0"/>
        <v>11</v>
      </c>
    </row>
    <row r="10" spans="1:18" s="167" customFormat="1" ht="24" customHeight="1">
      <c r="A10" s="306"/>
      <c r="B10" s="198" t="s">
        <v>180</v>
      </c>
      <c r="C10" s="266"/>
      <c r="D10" s="266"/>
      <c r="E10" s="266"/>
      <c r="F10" s="266"/>
      <c r="G10" s="266"/>
      <c r="H10" s="266"/>
      <c r="I10" s="266"/>
      <c r="J10" s="266"/>
      <c r="K10" s="266"/>
      <c r="L10" s="266"/>
      <c r="M10" s="267"/>
    </row>
    <row r="11" spans="1:18" ht="24" customHeight="1">
      <c r="A11" s="286" t="s">
        <v>15</v>
      </c>
      <c r="B11" s="311" t="s">
        <v>242</v>
      </c>
      <c r="C11" s="270"/>
      <c r="D11" s="270"/>
      <c r="E11" s="270"/>
      <c r="F11" s="270"/>
      <c r="G11" s="271"/>
      <c r="H11" s="271"/>
      <c r="I11" s="271"/>
      <c r="J11" s="271"/>
      <c r="K11" s="271"/>
      <c r="L11" s="271"/>
      <c r="M11" s="272"/>
    </row>
    <row r="12" spans="1:18" ht="24" customHeight="1">
      <c r="A12" s="286" t="s">
        <v>32</v>
      </c>
      <c r="B12" s="312" t="s">
        <v>407</v>
      </c>
      <c r="C12" s="270"/>
      <c r="D12" s="270"/>
      <c r="E12" s="270"/>
      <c r="F12" s="270"/>
      <c r="G12" s="271"/>
      <c r="H12" s="271"/>
      <c r="I12" s="271"/>
      <c r="J12" s="271"/>
      <c r="K12" s="271"/>
      <c r="L12" s="271"/>
      <c r="M12" s="272"/>
    </row>
    <row r="13" spans="1:18" s="167" customFormat="1" ht="24" customHeight="1">
      <c r="A13" s="291">
        <v>1</v>
      </c>
      <c r="B13" s="269" t="s">
        <v>243</v>
      </c>
      <c r="C13" s="274"/>
      <c r="D13" s="274"/>
      <c r="E13" s="274"/>
      <c r="F13" s="274"/>
      <c r="G13" s="274"/>
      <c r="H13" s="274"/>
      <c r="I13" s="274"/>
      <c r="J13" s="274"/>
      <c r="K13" s="274"/>
      <c r="L13" s="274"/>
      <c r="M13" s="275"/>
    </row>
    <row r="14" spans="1:18" s="167" customFormat="1" ht="24" customHeight="1">
      <c r="A14" s="462" t="s">
        <v>24</v>
      </c>
      <c r="B14" s="276" t="s">
        <v>88</v>
      </c>
      <c r="C14" s="274"/>
      <c r="D14" s="274"/>
      <c r="E14" s="274"/>
      <c r="F14" s="274"/>
      <c r="G14" s="274"/>
      <c r="H14" s="274"/>
      <c r="I14" s="274"/>
      <c r="J14" s="274"/>
      <c r="K14" s="274"/>
      <c r="L14" s="274"/>
      <c r="M14" s="275"/>
    </row>
    <row r="15" spans="1:18" s="167" customFormat="1" ht="24" customHeight="1">
      <c r="A15" s="462" t="s">
        <v>24</v>
      </c>
      <c r="B15" s="277" t="s">
        <v>90</v>
      </c>
      <c r="C15" s="274"/>
      <c r="D15" s="274"/>
      <c r="E15" s="274"/>
      <c r="F15" s="274"/>
      <c r="G15" s="274"/>
      <c r="H15" s="274"/>
      <c r="I15" s="274"/>
      <c r="J15" s="274"/>
      <c r="K15" s="274"/>
      <c r="L15" s="274"/>
      <c r="M15" s="275"/>
    </row>
    <row r="16" spans="1:18" s="167" customFormat="1" ht="24" customHeight="1">
      <c r="A16" s="291">
        <v>2</v>
      </c>
      <c r="B16" s="269" t="s">
        <v>244</v>
      </c>
      <c r="C16" s="274"/>
      <c r="D16" s="274"/>
      <c r="E16" s="274"/>
      <c r="F16" s="274"/>
      <c r="G16" s="274"/>
      <c r="H16" s="274"/>
      <c r="I16" s="274"/>
      <c r="J16" s="274"/>
      <c r="K16" s="274"/>
      <c r="L16" s="274"/>
      <c r="M16" s="275"/>
    </row>
    <row r="17" spans="1:13" ht="24" customHeight="1">
      <c r="A17" s="286" t="s">
        <v>125</v>
      </c>
      <c r="B17" s="314" t="s">
        <v>245</v>
      </c>
      <c r="C17" s="270"/>
      <c r="D17" s="270"/>
      <c r="E17" s="270"/>
      <c r="F17" s="270"/>
      <c r="G17" s="271"/>
      <c r="H17" s="271"/>
      <c r="I17" s="271"/>
      <c r="J17" s="271"/>
      <c r="K17" s="271"/>
      <c r="L17" s="271"/>
      <c r="M17" s="272"/>
    </row>
    <row r="18" spans="1:13" s="167" customFormat="1" ht="24" customHeight="1">
      <c r="A18" s="462" t="s">
        <v>24</v>
      </c>
      <c r="B18" s="276" t="s">
        <v>89</v>
      </c>
      <c r="C18" s="274"/>
      <c r="D18" s="274"/>
      <c r="E18" s="274"/>
      <c r="F18" s="274"/>
      <c r="G18" s="274"/>
      <c r="H18" s="274"/>
      <c r="I18" s="274"/>
      <c r="J18" s="274"/>
      <c r="K18" s="274"/>
      <c r="L18" s="274"/>
      <c r="M18" s="275"/>
    </row>
    <row r="19" spans="1:13" ht="24" customHeight="1">
      <c r="A19" s="462" t="s">
        <v>24</v>
      </c>
      <c r="B19" s="277" t="s">
        <v>90</v>
      </c>
      <c r="C19" s="270"/>
      <c r="D19" s="270"/>
      <c r="E19" s="270"/>
      <c r="F19" s="270"/>
      <c r="G19" s="271"/>
      <c r="H19" s="271"/>
      <c r="I19" s="271"/>
      <c r="J19" s="271"/>
      <c r="K19" s="271"/>
      <c r="L19" s="271"/>
      <c r="M19" s="272"/>
    </row>
    <row r="20" spans="1:13" ht="24" customHeight="1">
      <c r="A20" s="286" t="s">
        <v>126</v>
      </c>
      <c r="B20" s="314" t="s">
        <v>246</v>
      </c>
      <c r="C20" s="270"/>
      <c r="D20" s="270"/>
      <c r="E20" s="270"/>
      <c r="F20" s="270"/>
      <c r="G20" s="271"/>
      <c r="H20" s="271"/>
      <c r="I20" s="271"/>
      <c r="J20" s="271"/>
      <c r="K20" s="271"/>
      <c r="L20" s="271"/>
      <c r="M20" s="272"/>
    </row>
    <row r="21" spans="1:13" s="167" customFormat="1" ht="24" customHeight="1">
      <c r="A21" s="462" t="s">
        <v>24</v>
      </c>
      <c r="B21" s="276" t="s">
        <v>161</v>
      </c>
      <c r="C21" s="274"/>
      <c r="D21" s="274"/>
      <c r="E21" s="274"/>
      <c r="F21" s="274"/>
      <c r="G21" s="274"/>
      <c r="H21" s="274"/>
      <c r="I21" s="274"/>
      <c r="J21" s="274"/>
      <c r="K21" s="274"/>
      <c r="L21" s="274"/>
      <c r="M21" s="275"/>
    </row>
    <row r="22" spans="1:13" ht="24" customHeight="1">
      <c r="A22" s="462" t="s">
        <v>24</v>
      </c>
      <c r="B22" s="277" t="s">
        <v>90</v>
      </c>
      <c r="C22" s="270"/>
      <c r="D22" s="270"/>
      <c r="E22" s="270"/>
      <c r="F22" s="270"/>
      <c r="G22" s="271"/>
      <c r="H22" s="271"/>
      <c r="I22" s="271"/>
      <c r="J22" s="271"/>
      <c r="K22" s="271"/>
      <c r="L22" s="271"/>
      <c r="M22" s="272"/>
    </row>
    <row r="23" spans="1:13" ht="24" customHeight="1">
      <c r="A23" s="286" t="s">
        <v>33</v>
      </c>
      <c r="B23" s="312" t="s">
        <v>407</v>
      </c>
      <c r="C23" s="270"/>
      <c r="D23" s="270"/>
      <c r="E23" s="270"/>
      <c r="F23" s="270"/>
      <c r="G23" s="271"/>
      <c r="H23" s="271"/>
      <c r="I23" s="271"/>
      <c r="J23" s="271"/>
      <c r="K23" s="271"/>
      <c r="L23" s="271"/>
      <c r="M23" s="272"/>
    </row>
    <row r="24" spans="1:13" ht="24" customHeight="1">
      <c r="A24" s="286"/>
      <c r="B24" s="276" t="s">
        <v>235</v>
      </c>
      <c r="C24" s="270"/>
      <c r="D24" s="270"/>
      <c r="E24" s="270"/>
      <c r="F24" s="270"/>
      <c r="G24" s="271"/>
      <c r="H24" s="271"/>
      <c r="I24" s="271"/>
      <c r="J24" s="271"/>
      <c r="K24" s="271"/>
      <c r="L24" s="271"/>
      <c r="M24" s="272"/>
    </row>
    <row r="25" spans="1:13" ht="24" customHeight="1">
      <c r="A25" s="286" t="s">
        <v>16</v>
      </c>
      <c r="B25" s="311" t="s">
        <v>242</v>
      </c>
      <c r="C25" s="270"/>
      <c r="D25" s="270"/>
      <c r="E25" s="270"/>
      <c r="F25" s="270"/>
      <c r="G25" s="271"/>
      <c r="H25" s="271"/>
      <c r="I25" s="271"/>
      <c r="J25" s="271"/>
      <c r="K25" s="271"/>
      <c r="L25" s="271"/>
      <c r="M25" s="272"/>
    </row>
    <row r="26" spans="1:13" ht="24" customHeight="1">
      <c r="A26" s="286"/>
      <c r="B26" s="313" t="s">
        <v>247</v>
      </c>
      <c r="C26" s="270"/>
      <c r="D26" s="270"/>
      <c r="E26" s="270"/>
      <c r="F26" s="270"/>
      <c r="G26" s="271"/>
      <c r="H26" s="271"/>
      <c r="I26" s="271"/>
      <c r="J26" s="271"/>
      <c r="K26" s="271"/>
      <c r="L26" s="271"/>
      <c r="M26" s="272"/>
    </row>
    <row r="27" spans="1:13" ht="24" customHeight="1">
      <c r="A27" s="462" t="s">
        <v>24</v>
      </c>
      <c r="B27" s="277" t="s">
        <v>90</v>
      </c>
      <c r="C27" s="270"/>
      <c r="D27" s="270"/>
      <c r="E27" s="270"/>
      <c r="F27" s="270"/>
      <c r="G27" s="271"/>
      <c r="H27" s="271"/>
      <c r="I27" s="271"/>
      <c r="J27" s="271"/>
      <c r="K27" s="271"/>
      <c r="L27" s="271"/>
      <c r="M27" s="272"/>
    </row>
    <row r="28" spans="1:13" ht="11.25" customHeight="1" thickBot="1">
      <c r="A28" s="307"/>
      <c r="B28" s="262"/>
      <c r="C28" s="263"/>
      <c r="D28" s="263"/>
      <c r="E28" s="263"/>
      <c r="F28" s="263"/>
      <c r="G28" s="264"/>
      <c r="H28" s="264"/>
      <c r="I28" s="264"/>
      <c r="J28" s="264"/>
      <c r="K28" s="264"/>
      <c r="L28" s="264"/>
      <c r="M28" s="265"/>
    </row>
    <row r="29" spans="1:13">
      <c r="M29" s="168"/>
    </row>
    <row r="30" spans="1:13">
      <c r="A30" s="309"/>
      <c r="B30" s="168"/>
      <c r="C30" s="168"/>
      <c r="D30" s="168"/>
      <c r="E30" s="168"/>
      <c r="F30" s="168"/>
      <c r="G30" s="168"/>
      <c r="H30" s="168"/>
      <c r="I30" s="168"/>
      <c r="J30" s="168"/>
      <c r="K30" s="168"/>
      <c r="L30" s="168"/>
      <c r="M30" s="168"/>
    </row>
    <row r="31" spans="1:13">
      <c r="A31" s="309"/>
      <c r="B31" s="168"/>
      <c r="C31" s="168"/>
      <c r="D31" s="168"/>
      <c r="E31" s="168"/>
      <c r="F31" s="168"/>
      <c r="G31" s="168"/>
      <c r="H31" s="168"/>
      <c r="I31" s="168"/>
      <c r="J31" s="168"/>
      <c r="K31" s="168"/>
      <c r="L31" s="168"/>
      <c r="M31" s="168"/>
    </row>
    <row r="32" spans="1:13">
      <c r="A32" s="309"/>
      <c r="B32" s="168"/>
      <c r="C32" s="168"/>
      <c r="D32" s="168"/>
      <c r="E32" s="168"/>
      <c r="F32" s="168"/>
      <c r="G32" s="168"/>
      <c r="H32" s="168"/>
      <c r="I32" s="168"/>
      <c r="J32" s="168"/>
      <c r="K32" s="168"/>
      <c r="L32" s="168"/>
      <c r="M32" s="168"/>
    </row>
    <row r="33" spans="1:13">
      <c r="A33" s="309"/>
      <c r="B33" s="168"/>
      <c r="C33" s="168"/>
      <c r="D33" s="168"/>
      <c r="E33" s="168"/>
      <c r="F33" s="168"/>
      <c r="G33" s="168"/>
      <c r="H33" s="168"/>
      <c r="I33" s="168"/>
      <c r="J33" s="168"/>
      <c r="K33" s="168"/>
      <c r="L33" s="168"/>
      <c r="M33" s="168"/>
    </row>
    <row r="34" spans="1:13">
      <c r="A34" s="309"/>
      <c r="B34" s="168"/>
      <c r="C34" s="168"/>
      <c r="D34" s="168"/>
      <c r="E34" s="168"/>
      <c r="F34" s="168"/>
      <c r="G34" s="168"/>
      <c r="H34" s="168"/>
      <c r="I34" s="168"/>
      <c r="J34" s="168"/>
      <c r="K34" s="168"/>
      <c r="L34" s="168"/>
      <c r="M34" s="168"/>
    </row>
    <row r="35" spans="1:13">
      <c r="A35" s="309"/>
      <c r="B35" s="168"/>
      <c r="C35" s="168"/>
      <c r="D35" s="168"/>
      <c r="E35" s="168"/>
      <c r="F35" s="168"/>
      <c r="G35" s="168"/>
      <c r="H35" s="168"/>
      <c r="I35" s="168"/>
      <c r="J35" s="168"/>
      <c r="K35" s="168"/>
      <c r="L35" s="168"/>
      <c r="M35" s="168"/>
    </row>
    <row r="36" spans="1:13">
      <c r="A36" s="309"/>
      <c r="B36" s="168"/>
      <c r="C36" s="168"/>
      <c r="D36" s="168"/>
      <c r="E36" s="168"/>
      <c r="F36" s="168"/>
      <c r="G36" s="168"/>
      <c r="H36" s="168"/>
      <c r="I36" s="168"/>
      <c r="J36" s="168"/>
      <c r="K36" s="168"/>
      <c r="L36" s="168"/>
      <c r="M36" s="168"/>
    </row>
    <row r="37" spans="1:13">
      <c r="A37" s="309"/>
      <c r="B37" s="168"/>
      <c r="C37" s="168"/>
      <c r="D37" s="168"/>
      <c r="E37" s="168"/>
      <c r="F37" s="168"/>
      <c r="G37" s="168"/>
      <c r="H37" s="168"/>
      <c r="I37" s="168"/>
      <c r="J37" s="168"/>
      <c r="K37" s="168"/>
      <c r="L37" s="168"/>
      <c r="M37" s="168"/>
    </row>
    <row r="38" spans="1:13">
      <c r="A38" s="309"/>
      <c r="B38" s="168"/>
      <c r="C38" s="168"/>
      <c r="D38" s="168"/>
      <c r="E38" s="168"/>
      <c r="F38" s="168"/>
      <c r="G38" s="168"/>
      <c r="H38" s="168"/>
      <c r="I38" s="168"/>
      <c r="J38" s="168"/>
      <c r="K38" s="168"/>
      <c r="L38" s="168"/>
      <c r="M38" s="168"/>
    </row>
    <row r="39" spans="1:13">
      <c r="A39" s="309"/>
      <c r="B39" s="168"/>
      <c r="C39" s="168"/>
      <c r="D39" s="168"/>
      <c r="E39" s="168"/>
      <c r="F39" s="168"/>
      <c r="G39" s="168"/>
      <c r="H39" s="168"/>
      <c r="I39" s="168"/>
      <c r="J39" s="168"/>
      <c r="K39" s="168"/>
      <c r="L39" s="168"/>
      <c r="M39" s="168"/>
    </row>
    <row r="40" spans="1:13">
      <c r="A40" s="309"/>
      <c r="B40" s="168"/>
      <c r="C40" s="168"/>
      <c r="D40" s="168"/>
      <c r="E40" s="168"/>
      <c r="F40" s="168"/>
      <c r="G40" s="168"/>
      <c r="H40" s="168"/>
      <c r="I40" s="168"/>
      <c r="J40" s="168"/>
      <c r="K40" s="168"/>
      <c r="L40" s="168"/>
      <c r="M40" s="168"/>
    </row>
    <row r="41" spans="1:13">
      <c r="A41" s="309"/>
      <c r="B41" s="168"/>
      <c r="C41" s="168"/>
      <c r="D41" s="168"/>
      <c r="E41" s="168"/>
      <c r="F41" s="168"/>
      <c r="G41" s="168"/>
      <c r="H41" s="168"/>
      <c r="I41" s="168"/>
      <c r="J41" s="168"/>
      <c r="K41" s="168"/>
      <c r="L41" s="168"/>
      <c r="M41" s="168"/>
    </row>
    <row r="42" spans="1:13">
      <c r="A42" s="309"/>
      <c r="B42" s="168"/>
      <c r="C42" s="168"/>
      <c r="D42" s="168"/>
      <c r="E42" s="168"/>
      <c r="F42" s="168"/>
      <c r="G42" s="168"/>
      <c r="H42" s="168"/>
      <c r="I42" s="168"/>
      <c r="J42" s="168"/>
      <c r="K42" s="168"/>
      <c r="L42" s="168"/>
      <c r="M42" s="168"/>
    </row>
    <row r="43" spans="1:13">
      <c r="A43" s="309"/>
      <c r="B43" s="168"/>
      <c r="C43" s="168"/>
      <c r="D43" s="168"/>
      <c r="E43" s="168"/>
      <c r="F43" s="168"/>
      <c r="G43" s="168"/>
      <c r="H43" s="168"/>
      <c r="I43" s="168"/>
      <c r="J43" s="168"/>
      <c r="K43" s="168"/>
      <c r="L43" s="168"/>
      <c r="M43" s="168"/>
    </row>
    <row r="44" spans="1:13">
      <c r="A44" s="309"/>
      <c r="B44" s="168"/>
      <c r="C44" s="168"/>
      <c r="D44" s="168"/>
      <c r="E44" s="168"/>
      <c r="F44" s="168"/>
      <c r="G44" s="168"/>
      <c r="H44" s="168"/>
      <c r="I44" s="168"/>
      <c r="J44" s="168"/>
      <c r="K44" s="168"/>
      <c r="L44" s="168"/>
      <c r="M44" s="168"/>
    </row>
    <row r="45" spans="1:13">
      <c r="A45" s="309"/>
      <c r="B45" s="168"/>
      <c r="C45" s="168"/>
      <c r="D45" s="168"/>
      <c r="E45" s="168"/>
      <c r="F45" s="168"/>
      <c r="G45" s="168"/>
      <c r="H45" s="168"/>
      <c r="I45" s="168"/>
      <c r="J45" s="168"/>
      <c r="K45" s="168"/>
      <c r="L45" s="168"/>
      <c r="M45" s="168"/>
    </row>
    <row r="46" spans="1:13">
      <c r="A46" s="309"/>
      <c r="B46" s="168"/>
      <c r="C46" s="168"/>
      <c r="D46" s="168"/>
      <c r="E46" s="168"/>
      <c r="F46" s="168"/>
      <c r="G46" s="168"/>
      <c r="H46" s="168"/>
      <c r="I46" s="168"/>
      <c r="J46" s="168"/>
      <c r="K46" s="168"/>
      <c r="L46" s="168"/>
      <c r="M46" s="168"/>
    </row>
    <row r="47" spans="1:13">
      <c r="A47" s="309"/>
      <c r="B47" s="168"/>
      <c r="C47" s="168"/>
      <c r="D47" s="168"/>
      <c r="E47" s="168"/>
      <c r="F47" s="168"/>
      <c r="G47" s="168"/>
      <c r="H47" s="168"/>
      <c r="I47" s="168"/>
      <c r="J47" s="168"/>
      <c r="K47" s="168"/>
      <c r="L47" s="168"/>
      <c r="M47" s="168"/>
    </row>
    <row r="48" spans="1:13">
      <c r="A48" s="309"/>
      <c r="B48" s="168"/>
      <c r="C48" s="168"/>
      <c r="D48" s="168"/>
      <c r="E48" s="168"/>
      <c r="F48" s="168"/>
      <c r="G48" s="168"/>
      <c r="H48" s="168"/>
      <c r="I48" s="168"/>
      <c r="J48" s="168"/>
      <c r="K48" s="168"/>
      <c r="L48" s="168"/>
      <c r="M48" s="168"/>
    </row>
    <row r="49" spans="1:13">
      <c r="A49" s="309"/>
      <c r="B49" s="168"/>
      <c r="C49" s="168"/>
      <c r="D49" s="168"/>
      <c r="E49" s="168"/>
      <c r="F49" s="168"/>
      <c r="G49" s="168"/>
      <c r="H49" s="168"/>
      <c r="I49" s="168"/>
      <c r="J49" s="168"/>
      <c r="K49" s="168"/>
      <c r="L49" s="168"/>
      <c r="M49" s="168"/>
    </row>
    <row r="50" spans="1:13">
      <c r="A50" s="309"/>
      <c r="B50" s="168"/>
      <c r="C50" s="168"/>
      <c r="D50" s="168"/>
      <c r="E50" s="168"/>
      <c r="F50" s="168"/>
      <c r="G50" s="168"/>
      <c r="H50" s="168"/>
      <c r="I50" s="168"/>
      <c r="J50" s="168"/>
      <c r="K50" s="168"/>
      <c r="L50" s="168"/>
      <c r="M50" s="168"/>
    </row>
    <row r="51" spans="1:13">
      <c r="A51" s="309"/>
      <c r="B51" s="168"/>
      <c r="C51" s="168"/>
      <c r="D51" s="168"/>
      <c r="E51" s="168"/>
      <c r="F51" s="168"/>
      <c r="G51" s="168"/>
      <c r="H51" s="168"/>
      <c r="I51" s="168"/>
      <c r="J51" s="168"/>
      <c r="K51" s="168"/>
      <c r="L51" s="168"/>
      <c r="M51" s="168"/>
    </row>
    <row r="52" spans="1:13">
      <c r="A52" s="309"/>
      <c r="B52" s="168"/>
      <c r="C52" s="168"/>
      <c r="D52" s="168"/>
      <c r="E52" s="168"/>
      <c r="F52" s="168"/>
      <c r="G52" s="168"/>
      <c r="H52" s="168"/>
      <c r="I52" s="168"/>
      <c r="J52" s="168"/>
      <c r="K52" s="168"/>
      <c r="L52" s="168"/>
      <c r="M52" s="168"/>
    </row>
    <row r="53" spans="1:13">
      <c r="A53" s="309"/>
      <c r="B53" s="168"/>
      <c r="C53" s="168"/>
      <c r="D53" s="168"/>
      <c r="E53" s="168"/>
      <c r="F53" s="168"/>
      <c r="G53" s="168"/>
      <c r="H53" s="168"/>
      <c r="I53" s="168"/>
      <c r="J53" s="168"/>
      <c r="K53" s="168"/>
      <c r="L53" s="168"/>
      <c r="M53" s="168"/>
    </row>
    <row r="54" spans="1:13">
      <c r="A54" s="309"/>
      <c r="B54" s="168"/>
      <c r="C54" s="168"/>
      <c r="D54" s="168"/>
      <c r="E54" s="168"/>
      <c r="F54" s="168"/>
      <c r="G54" s="168"/>
      <c r="H54" s="168"/>
      <c r="I54" s="168"/>
      <c r="J54" s="168"/>
      <c r="K54" s="168"/>
      <c r="L54" s="168"/>
      <c r="M54" s="168"/>
    </row>
    <row r="55" spans="1:13">
      <c r="A55" s="309"/>
      <c r="B55" s="168"/>
      <c r="C55" s="168"/>
      <c r="D55" s="168"/>
      <c r="E55" s="168"/>
      <c r="F55" s="168"/>
      <c r="G55" s="168"/>
      <c r="H55" s="168"/>
      <c r="I55" s="168"/>
      <c r="J55" s="168"/>
      <c r="K55" s="168"/>
      <c r="L55" s="168"/>
      <c r="M55" s="168"/>
    </row>
    <row r="56" spans="1:13">
      <c r="A56" s="309"/>
      <c r="B56" s="168"/>
      <c r="C56" s="168"/>
      <c r="D56" s="168"/>
      <c r="E56" s="168"/>
      <c r="F56" s="168"/>
      <c r="G56" s="168"/>
      <c r="H56" s="168"/>
      <c r="I56" s="168"/>
      <c r="J56" s="168"/>
      <c r="K56" s="168"/>
      <c r="L56" s="168"/>
      <c r="M56" s="168"/>
    </row>
    <row r="57" spans="1:13">
      <c r="A57" s="309"/>
      <c r="B57" s="168"/>
      <c r="C57" s="168"/>
      <c r="D57" s="168"/>
      <c r="E57" s="168"/>
      <c r="F57" s="168"/>
      <c r="G57" s="168"/>
      <c r="H57" s="168"/>
      <c r="I57" s="168"/>
      <c r="J57" s="168"/>
      <c r="K57" s="168"/>
      <c r="L57" s="168"/>
      <c r="M57" s="168"/>
    </row>
    <row r="58" spans="1:13">
      <c r="A58" s="309"/>
      <c r="B58" s="168"/>
      <c r="C58" s="168"/>
      <c r="D58" s="168"/>
      <c r="E58" s="168"/>
      <c r="F58" s="168"/>
      <c r="G58" s="168"/>
      <c r="H58" s="168"/>
      <c r="I58" s="168"/>
      <c r="J58" s="168"/>
      <c r="K58" s="168"/>
      <c r="L58" s="168"/>
      <c r="M58" s="168"/>
    </row>
    <row r="59" spans="1:13">
      <c r="A59" s="309"/>
      <c r="B59" s="168"/>
      <c r="C59" s="168"/>
      <c r="D59" s="168"/>
      <c r="E59" s="168"/>
      <c r="F59" s="168"/>
      <c r="G59" s="168"/>
      <c r="H59" s="168"/>
      <c r="I59" s="168"/>
      <c r="J59" s="168"/>
      <c r="K59" s="168"/>
      <c r="L59" s="168"/>
      <c r="M59" s="168"/>
    </row>
    <row r="60" spans="1:13">
      <c r="A60" s="309"/>
      <c r="B60" s="168"/>
      <c r="C60" s="168"/>
      <c r="D60" s="168"/>
      <c r="E60" s="168"/>
      <c r="F60" s="168"/>
      <c r="G60" s="168"/>
      <c r="H60" s="168"/>
      <c r="I60" s="168"/>
      <c r="J60" s="168"/>
      <c r="K60" s="168"/>
      <c r="L60" s="168"/>
      <c r="M60" s="168"/>
    </row>
    <row r="61" spans="1:13">
      <c r="A61" s="309"/>
      <c r="B61" s="168"/>
      <c r="C61" s="168"/>
      <c r="D61" s="168"/>
      <c r="E61" s="168"/>
      <c r="F61" s="168"/>
      <c r="G61" s="168"/>
      <c r="H61" s="168"/>
      <c r="I61" s="168"/>
      <c r="J61" s="168"/>
      <c r="K61" s="168"/>
      <c r="L61" s="168"/>
      <c r="M61" s="168"/>
    </row>
    <row r="62" spans="1:13">
      <c r="A62" s="309"/>
      <c r="B62" s="168"/>
      <c r="C62" s="168"/>
      <c r="D62" s="168"/>
      <c r="E62" s="168"/>
      <c r="F62" s="168"/>
      <c r="G62" s="168"/>
      <c r="H62" s="168"/>
      <c r="I62" s="168"/>
      <c r="J62" s="168"/>
      <c r="K62" s="168"/>
      <c r="L62" s="168"/>
      <c r="M62" s="168"/>
    </row>
    <row r="63" spans="1:13">
      <c r="A63" s="309"/>
      <c r="B63" s="168"/>
      <c r="C63" s="168"/>
      <c r="D63" s="168"/>
      <c r="E63" s="168"/>
      <c r="F63" s="168"/>
      <c r="G63" s="168"/>
      <c r="H63" s="168"/>
      <c r="I63" s="168"/>
      <c r="J63" s="168"/>
      <c r="K63" s="168"/>
      <c r="L63" s="168"/>
      <c r="M63" s="168"/>
    </row>
    <row r="64" spans="1:13">
      <c r="A64" s="309"/>
      <c r="B64" s="168"/>
      <c r="C64" s="168"/>
      <c r="D64" s="168"/>
      <c r="E64" s="168"/>
      <c r="F64" s="168"/>
      <c r="G64" s="168"/>
      <c r="H64" s="168"/>
      <c r="I64" s="168"/>
      <c r="J64" s="168"/>
      <c r="K64" s="168"/>
      <c r="L64" s="168"/>
      <c r="M64" s="168"/>
    </row>
    <row r="65" spans="1:13">
      <c r="A65" s="309"/>
      <c r="B65" s="168"/>
      <c r="C65" s="168"/>
      <c r="D65" s="168"/>
      <c r="E65" s="168"/>
      <c r="F65" s="168"/>
      <c r="G65" s="168"/>
      <c r="H65" s="168"/>
      <c r="I65" s="168"/>
      <c r="J65" s="168"/>
      <c r="K65" s="168"/>
      <c r="L65" s="168"/>
      <c r="M65" s="168"/>
    </row>
    <row r="66" spans="1:13">
      <c r="A66" s="309"/>
      <c r="B66" s="168"/>
      <c r="C66" s="168"/>
      <c r="D66" s="168"/>
      <c r="E66" s="168"/>
      <c r="F66" s="168"/>
      <c r="G66" s="168"/>
      <c r="H66" s="168"/>
      <c r="I66" s="168"/>
      <c r="J66" s="168"/>
      <c r="K66" s="168"/>
      <c r="L66" s="168"/>
      <c r="M66" s="168"/>
    </row>
    <row r="67" spans="1:13">
      <c r="A67" s="309"/>
      <c r="B67" s="168"/>
      <c r="C67" s="168"/>
      <c r="D67" s="168"/>
      <c r="E67" s="168"/>
      <c r="F67" s="168"/>
      <c r="G67" s="168"/>
      <c r="H67" s="168"/>
      <c r="I67" s="168"/>
      <c r="J67" s="168"/>
      <c r="K67" s="168"/>
      <c r="L67" s="168"/>
      <c r="M67" s="168"/>
    </row>
    <row r="68" spans="1:13">
      <c r="A68" s="309"/>
      <c r="B68" s="168"/>
      <c r="C68" s="168"/>
      <c r="D68" s="168"/>
      <c r="E68" s="168"/>
      <c r="F68" s="168"/>
      <c r="G68" s="168"/>
      <c r="H68" s="168"/>
      <c r="I68" s="168"/>
      <c r="J68" s="168"/>
      <c r="K68" s="168"/>
      <c r="L68" s="168"/>
      <c r="M68" s="168"/>
    </row>
    <row r="69" spans="1:13">
      <c r="A69" s="309"/>
      <c r="B69" s="168"/>
      <c r="C69" s="168"/>
      <c r="D69" s="168"/>
      <c r="E69" s="168"/>
      <c r="F69" s="168"/>
      <c r="G69" s="168"/>
      <c r="H69" s="168"/>
      <c r="I69" s="168"/>
      <c r="J69" s="168"/>
      <c r="K69" s="168"/>
      <c r="L69" s="168"/>
      <c r="M69" s="168"/>
    </row>
    <row r="70" spans="1:13">
      <c r="A70" s="309"/>
      <c r="B70" s="168"/>
      <c r="C70" s="168"/>
      <c r="D70" s="168"/>
      <c r="E70" s="168"/>
      <c r="F70" s="168"/>
      <c r="G70" s="168"/>
      <c r="H70" s="168"/>
      <c r="I70" s="168"/>
      <c r="J70" s="168"/>
      <c r="K70" s="168"/>
      <c r="L70" s="168"/>
      <c r="M70" s="168"/>
    </row>
    <row r="71" spans="1:13">
      <c r="A71" s="309"/>
      <c r="B71" s="168"/>
      <c r="C71" s="168"/>
      <c r="D71" s="168"/>
      <c r="E71" s="168"/>
      <c r="F71" s="168"/>
      <c r="G71" s="168"/>
      <c r="H71" s="168"/>
      <c r="I71" s="168"/>
      <c r="J71" s="168"/>
      <c r="K71" s="168"/>
      <c r="L71" s="168"/>
      <c r="M71" s="168"/>
    </row>
    <row r="72" spans="1:13">
      <c r="A72" s="309"/>
      <c r="B72" s="168"/>
      <c r="C72" s="168"/>
      <c r="D72" s="168"/>
      <c r="E72" s="168"/>
      <c r="F72" s="168"/>
      <c r="G72" s="168"/>
      <c r="H72" s="168"/>
      <c r="I72" s="168"/>
      <c r="J72" s="168"/>
      <c r="K72" s="168"/>
      <c r="L72" s="168"/>
      <c r="M72" s="168"/>
    </row>
    <row r="73" spans="1:13">
      <c r="A73" s="309"/>
      <c r="B73" s="168"/>
      <c r="C73" s="168"/>
      <c r="D73" s="168"/>
      <c r="E73" s="168"/>
      <c r="F73" s="168"/>
      <c r="G73" s="168"/>
      <c r="H73" s="168"/>
      <c r="I73" s="168"/>
      <c r="J73" s="168"/>
      <c r="K73" s="168"/>
      <c r="L73" s="168"/>
      <c r="M73" s="168"/>
    </row>
    <row r="74" spans="1:13">
      <c r="A74" s="309"/>
      <c r="B74" s="168"/>
      <c r="C74" s="168"/>
      <c r="D74" s="168"/>
      <c r="E74" s="168"/>
      <c r="F74" s="168"/>
      <c r="G74" s="168"/>
      <c r="H74" s="168"/>
      <c r="I74" s="168"/>
      <c r="J74" s="168"/>
      <c r="K74" s="168"/>
      <c r="L74" s="168"/>
      <c r="M74" s="168"/>
    </row>
    <row r="75" spans="1:13">
      <c r="A75" s="309"/>
      <c r="B75" s="168"/>
      <c r="C75" s="168"/>
      <c r="D75" s="168"/>
      <c r="E75" s="168"/>
      <c r="F75" s="168"/>
      <c r="G75" s="168"/>
      <c r="H75" s="168"/>
      <c r="I75" s="168"/>
      <c r="J75" s="168"/>
      <c r="K75" s="168"/>
      <c r="L75" s="168"/>
      <c r="M75" s="168"/>
    </row>
    <row r="76" spans="1:13">
      <c r="A76" s="309"/>
      <c r="B76" s="168"/>
      <c r="C76" s="168"/>
      <c r="D76" s="168"/>
      <c r="E76" s="168"/>
      <c r="F76" s="168"/>
      <c r="G76" s="168"/>
      <c r="H76" s="168"/>
      <c r="I76" s="168"/>
      <c r="J76" s="168"/>
      <c r="K76" s="168"/>
      <c r="L76" s="168"/>
      <c r="M76" s="168"/>
    </row>
    <row r="77" spans="1:13">
      <c r="A77" s="309"/>
      <c r="B77" s="168"/>
      <c r="C77" s="168"/>
      <c r="D77" s="168"/>
      <c r="E77" s="168"/>
      <c r="F77" s="168"/>
      <c r="G77" s="168"/>
      <c r="H77" s="168"/>
      <c r="I77" s="168"/>
      <c r="J77" s="168"/>
      <c r="K77" s="168"/>
      <c r="L77" s="168"/>
      <c r="M77" s="168"/>
    </row>
    <row r="78" spans="1:13">
      <c r="A78" s="309"/>
      <c r="B78" s="168"/>
      <c r="C78" s="168"/>
      <c r="D78" s="168"/>
      <c r="E78" s="168"/>
      <c r="F78" s="168"/>
      <c r="G78" s="168"/>
      <c r="H78" s="168"/>
      <c r="I78" s="168"/>
      <c r="J78" s="168"/>
      <c r="K78" s="168"/>
      <c r="L78" s="168"/>
      <c r="M78" s="168"/>
    </row>
    <row r="79" spans="1:13">
      <c r="A79" s="309"/>
      <c r="B79" s="168"/>
      <c r="C79" s="168"/>
      <c r="D79" s="168"/>
      <c r="E79" s="168"/>
      <c r="F79" s="168"/>
      <c r="G79" s="168"/>
      <c r="H79" s="168"/>
      <c r="I79" s="168"/>
      <c r="J79" s="168"/>
      <c r="K79" s="168"/>
      <c r="L79" s="168"/>
      <c r="M79" s="168"/>
    </row>
    <row r="80" spans="1:13">
      <c r="A80" s="309"/>
      <c r="B80" s="168"/>
      <c r="C80" s="168"/>
      <c r="D80" s="168"/>
      <c r="E80" s="168"/>
      <c r="F80" s="168"/>
      <c r="G80" s="168"/>
      <c r="H80" s="168"/>
      <c r="I80" s="168"/>
      <c r="J80" s="168"/>
      <c r="K80" s="168"/>
      <c r="L80" s="168"/>
      <c r="M80" s="168"/>
    </row>
    <row r="81" spans="1:13">
      <c r="A81" s="309"/>
      <c r="B81" s="168"/>
      <c r="C81" s="168"/>
      <c r="D81" s="168"/>
      <c r="E81" s="168"/>
      <c r="F81" s="168"/>
      <c r="G81" s="168"/>
      <c r="H81" s="168"/>
      <c r="I81" s="168"/>
      <c r="J81" s="168"/>
      <c r="K81" s="168"/>
      <c r="L81" s="168"/>
      <c r="M81" s="168"/>
    </row>
    <row r="82" spans="1:13">
      <c r="A82" s="309"/>
      <c r="B82" s="168"/>
      <c r="C82" s="168"/>
      <c r="D82" s="168"/>
      <c r="E82" s="168"/>
      <c r="F82" s="168"/>
      <c r="G82" s="168"/>
      <c r="H82" s="168"/>
      <c r="I82" s="168"/>
      <c r="J82" s="168"/>
      <c r="K82" s="168"/>
      <c r="L82" s="168"/>
      <c r="M82" s="168"/>
    </row>
    <row r="83" spans="1:13">
      <c r="A83" s="309"/>
      <c r="B83" s="168"/>
      <c r="C83" s="168"/>
      <c r="D83" s="168"/>
      <c r="E83" s="168"/>
      <c r="F83" s="168"/>
      <c r="G83" s="168"/>
      <c r="H83" s="168"/>
      <c r="I83" s="168"/>
      <c r="J83" s="168"/>
      <c r="K83" s="168"/>
      <c r="L83" s="168"/>
      <c r="M83" s="168"/>
    </row>
    <row r="84" spans="1:13">
      <c r="A84" s="309"/>
      <c r="B84" s="168"/>
      <c r="C84" s="168"/>
      <c r="D84" s="168"/>
      <c r="E84" s="168"/>
      <c r="F84" s="168"/>
      <c r="G84" s="168"/>
      <c r="H84" s="168"/>
      <c r="I84" s="168"/>
      <c r="J84" s="168"/>
      <c r="K84" s="168"/>
      <c r="L84" s="168"/>
      <c r="M84" s="168"/>
    </row>
    <row r="85" spans="1:13">
      <c r="A85" s="309"/>
      <c r="B85" s="168"/>
      <c r="C85" s="168"/>
      <c r="D85" s="168"/>
      <c r="E85" s="168"/>
      <c r="F85" s="168"/>
      <c r="G85" s="168"/>
      <c r="H85" s="168"/>
      <c r="I85" s="168"/>
      <c r="J85" s="168"/>
      <c r="K85" s="168"/>
      <c r="L85" s="168"/>
      <c r="M85" s="168"/>
    </row>
    <row r="86" spans="1:13">
      <c r="A86" s="309"/>
      <c r="B86" s="168"/>
      <c r="C86" s="168"/>
      <c r="D86" s="168"/>
      <c r="E86" s="168"/>
      <c r="F86" s="168"/>
      <c r="G86" s="168"/>
      <c r="H86" s="168"/>
      <c r="I86" s="168"/>
      <c r="J86" s="168"/>
      <c r="K86" s="168"/>
      <c r="L86" s="168"/>
      <c r="M86" s="168"/>
    </row>
    <row r="87" spans="1:13">
      <c r="A87" s="309"/>
      <c r="B87" s="168"/>
      <c r="C87" s="168"/>
      <c r="D87" s="168"/>
      <c r="E87" s="168"/>
      <c r="F87" s="168"/>
      <c r="G87" s="168"/>
      <c r="H87" s="168"/>
      <c r="I87" s="168"/>
      <c r="J87" s="168"/>
      <c r="K87" s="168"/>
      <c r="L87" s="168"/>
      <c r="M87" s="168"/>
    </row>
    <row r="88" spans="1:13">
      <c r="A88" s="309"/>
      <c r="B88" s="168"/>
      <c r="C88" s="168"/>
      <c r="D88" s="168"/>
      <c r="E88" s="168"/>
      <c r="F88" s="168"/>
      <c r="G88" s="168"/>
      <c r="H88" s="168"/>
      <c r="I88" s="168"/>
      <c r="J88" s="168"/>
      <c r="K88" s="168"/>
      <c r="L88" s="168"/>
      <c r="M88" s="168"/>
    </row>
    <row r="89" spans="1:13">
      <c r="A89" s="309"/>
      <c r="B89" s="168"/>
      <c r="C89" s="168"/>
      <c r="D89" s="168"/>
      <c r="E89" s="168"/>
      <c r="F89" s="168"/>
      <c r="G89" s="168"/>
      <c r="H89" s="168"/>
      <c r="I89" s="168"/>
      <c r="J89" s="168"/>
      <c r="K89" s="168"/>
      <c r="L89" s="168"/>
      <c r="M89" s="168"/>
    </row>
    <row r="90" spans="1:13">
      <c r="A90" s="309"/>
      <c r="B90" s="168"/>
      <c r="C90" s="168"/>
      <c r="D90" s="168"/>
      <c r="E90" s="168"/>
      <c r="F90" s="168"/>
      <c r="G90" s="168"/>
      <c r="H90" s="168"/>
      <c r="I90" s="168"/>
      <c r="J90" s="168"/>
      <c r="K90" s="168"/>
      <c r="L90" s="168"/>
      <c r="M90" s="168"/>
    </row>
    <row r="91" spans="1:13">
      <c r="A91" s="309"/>
      <c r="B91" s="168"/>
      <c r="C91" s="168"/>
      <c r="D91" s="168"/>
      <c r="E91" s="168"/>
      <c r="F91" s="168"/>
      <c r="G91" s="168"/>
      <c r="H91" s="168"/>
      <c r="I91" s="168"/>
      <c r="J91" s="168"/>
      <c r="K91" s="168"/>
      <c r="L91" s="168"/>
      <c r="M91" s="168"/>
    </row>
    <row r="92" spans="1:13">
      <c r="A92" s="309"/>
      <c r="B92" s="168"/>
      <c r="C92" s="168"/>
      <c r="D92" s="168"/>
      <c r="E92" s="168"/>
      <c r="F92" s="168"/>
      <c r="G92" s="168"/>
      <c r="H92" s="168"/>
      <c r="I92" s="168"/>
      <c r="J92" s="168"/>
      <c r="K92" s="168"/>
      <c r="L92" s="168"/>
      <c r="M92" s="168"/>
    </row>
    <row r="93" spans="1:13">
      <c r="A93" s="309"/>
      <c r="B93" s="168"/>
      <c r="C93" s="168"/>
      <c r="D93" s="168"/>
      <c r="E93" s="168"/>
      <c r="F93" s="168"/>
      <c r="G93" s="168"/>
      <c r="H93" s="168"/>
      <c r="I93" s="168"/>
      <c r="J93" s="168"/>
      <c r="K93" s="168"/>
      <c r="L93" s="168"/>
      <c r="M93" s="168"/>
    </row>
    <row r="94" spans="1:13">
      <c r="A94" s="309"/>
      <c r="B94" s="168"/>
      <c r="C94" s="168"/>
      <c r="D94" s="168"/>
      <c r="E94" s="168"/>
      <c r="F94" s="168"/>
      <c r="G94" s="168"/>
      <c r="H94" s="168"/>
      <c r="I94" s="168"/>
      <c r="J94" s="168"/>
      <c r="K94" s="168"/>
      <c r="L94" s="168"/>
      <c r="M94" s="168"/>
    </row>
    <row r="95" spans="1:13">
      <c r="A95" s="309"/>
      <c r="B95" s="168"/>
      <c r="C95" s="168"/>
      <c r="D95" s="168"/>
      <c r="E95" s="168"/>
      <c r="F95" s="168"/>
      <c r="G95" s="168"/>
      <c r="H95" s="168"/>
      <c r="I95" s="168"/>
      <c r="J95" s="168"/>
      <c r="K95" s="168"/>
      <c r="L95" s="168"/>
      <c r="M95" s="168"/>
    </row>
    <row r="96" spans="1:13">
      <c r="A96" s="309"/>
      <c r="B96" s="168"/>
      <c r="C96" s="168"/>
      <c r="D96" s="168"/>
      <c r="E96" s="168"/>
      <c r="F96" s="168"/>
      <c r="G96" s="168"/>
      <c r="H96" s="168"/>
      <c r="I96" s="168"/>
      <c r="J96" s="168"/>
      <c r="K96" s="168"/>
      <c r="L96" s="168"/>
      <c r="M96" s="168"/>
    </row>
    <row r="97" spans="1:13">
      <c r="A97" s="309"/>
      <c r="B97" s="168"/>
      <c r="C97" s="168"/>
      <c r="D97" s="168"/>
      <c r="E97" s="168"/>
      <c r="F97" s="168"/>
      <c r="G97" s="168"/>
      <c r="H97" s="168"/>
      <c r="I97" s="168"/>
      <c r="J97" s="168"/>
      <c r="K97" s="168"/>
      <c r="L97" s="168"/>
      <c r="M97" s="168"/>
    </row>
    <row r="98" spans="1:13">
      <c r="A98" s="309"/>
      <c r="B98" s="168"/>
      <c r="C98" s="168"/>
      <c r="D98" s="168"/>
      <c r="E98" s="168"/>
      <c r="F98" s="168"/>
      <c r="G98" s="168"/>
      <c r="H98" s="168"/>
      <c r="I98" s="168"/>
      <c r="J98" s="168"/>
      <c r="K98" s="168"/>
      <c r="L98" s="168"/>
      <c r="M98" s="168"/>
    </row>
    <row r="99" spans="1:13">
      <c r="A99" s="309"/>
      <c r="B99" s="168"/>
      <c r="C99" s="168"/>
      <c r="D99" s="168"/>
      <c r="E99" s="168"/>
      <c r="F99" s="168"/>
      <c r="G99" s="168"/>
      <c r="H99" s="168"/>
      <c r="I99" s="168"/>
      <c r="J99" s="168"/>
      <c r="K99" s="168"/>
      <c r="L99" s="168"/>
      <c r="M99" s="168"/>
    </row>
    <row r="100" spans="1:13">
      <c r="A100" s="309"/>
      <c r="B100" s="168"/>
      <c r="C100" s="168"/>
      <c r="D100" s="168"/>
      <c r="E100" s="168"/>
      <c r="F100" s="168"/>
      <c r="G100" s="168"/>
      <c r="H100" s="168"/>
      <c r="I100" s="168"/>
      <c r="J100" s="168"/>
      <c r="K100" s="168"/>
      <c r="L100" s="168"/>
      <c r="M100" s="168"/>
    </row>
    <row r="101" spans="1:13">
      <c r="A101" s="309"/>
      <c r="B101" s="168"/>
      <c r="C101" s="168"/>
      <c r="D101" s="168"/>
      <c r="E101" s="168"/>
      <c r="F101" s="168"/>
      <c r="G101" s="168"/>
      <c r="H101" s="168"/>
      <c r="I101" s="168"/>
      <c r="J101" s="168"/>
      <c r="K101" s="168"/>
      <c r="L101" s="168"/>
      <c r="M101" s="168"/>
    </row>
    <row r="102" spans="1:13">
      <c r="A102" s="309"/>
      <c r="B102" s="168"/>
      <c r="C102" s="168"/>
      <c r="D102" s="168"/>
      <c r="E102" s="168"/>
      <c r="F102" s="168"/>
      <c r="G102" s="168"/>
      <c r="H102" s="168"/>
      <c r="I102" s="168"/>
      <c r="J102" s="168"/>
      <c r="K102" s="168"/>
      <c r="L102" s="168"/>
      <c r="M102" s="168"/>
    </row>
    <row r="103" spans="1:13">
      <c r="A103" s="309"/>
      <c r="B103" s="168"/>
      <c r="C103" s="168"/>
      <c r="D103" s="168"/>
      <c r="E103" s="168"/>
      <c r="F103" s="168"/>
      <c r="G103" s="168"/>
      <c r="H103" s="168"/>
      <c r="I103" s="168"/>
      <c r="J103" s="168"/>
      <c r="K103" s="168"/>
      <c r="L103" s="168"/>
      <c r="M103" s="168"/>
    </row>
    <row r="104" spans="1:13">
      <c r="A104" s="309"/>
      <c r="B104" s="168"/>
      <c r="C104" s="168"/>
      <c r="D104" s="168"/>
      <c r="E104" s="168"/>
      <c r="F104" s="168"/>
      <c r="G104" s="168"/>
      <c r="H104" s="168"/>
      <c r="I104" s="168"/>
      <c r="J104" s="168"/>
      <c r="K104" s="168"/>
      <c r="L104" s="168"/>
      <c r="M104" s="168"/>
    </row>
    <row r="105" spans="1:13">
      <c r="A105" s="309"/>
      <c r="B105" s="168"/>
      <c r="C105" s="168"/>
      <c r="D105" s="168"/>
      <c r="E105" s="168"/>
      <c r="F105" s="168"/>
      <c r="G105" s="168"/>
      <c r="H105" s="168"/>
      <c r="I105" s="168"/>
      <c r="J105" s="168"/>
      <c r="K105" s="168"/>
      <c r="L105" s="168"/>
      <c r="M105" s="168"/>
    </row>
    <row r="106" spans="1:13">
      <c r="A106" s="309"/>
      <c r="B106" s="168"/>
      <c r="C106" s="168"/>
      <c r="D106" s="168"/>
      <c r="E106" s="168"/>
      <c r="F106" s="168"/>
      <c r="G106" s="168"/>
      <c r="H106" s="168"/>
      <c r="I106" s="168"/>
      <c r="J106" s="168"/>
      <c r="K106" s="168"/>
      <c r="L106" s="168"/>
      <c r="M106" s="168"/>
    </row>
    <row r="107" spans="1:13">
      <c r="A107" s="309"/>
      <c r="B107" s="168"/>
      <c r="C107" s="168"/>
      <c r="D107" s="168"/>
      <c r="E107" s="168"/>
      <c r="F107" s="168"/>
      <c r="G107" s="168"/>
      <c r="H107" s="168"/>
      <c r="I107" s="168"/>
      <c r="J107" s="168"/>
      <c r="K107" s="168"/>
      <c r="L107" s="168"/>
      <c r="M107" s="168"/>
    </row>
    <row r="108" spans="1:13">
      <c r="A108" s="309"/>
      <c r="B108" s="168"/>
      <c r="C108" s="168"/>
      <c r="D108" s="168"/>
      <c r="E108" s="168"/>
      <c r="F108" s="168"/>
      <c r="G108" s="168"/>
      <c r="H108" s="168"/>
      <c r="I108" s="168"/>
      <c r="J108" s="168"/>
      <c r="K108" s="168"/>
      <c r="L108" s="168"/>
      <c r="M108" s="168"/>
    </row>
    <row r="109" spans="1:13">
      <c r="A109" s="309"/>
      <c r="B109" s="168"/>
      <c r="C109" s="168"/>
      <c r="D109" s="168"/>
      <c r="E109" s="168"/>
      <c r="F109" s="168"/>
      <c r="G109" s="168"/>
      <c r="H109" s="168"/>
      <c r="I109" s="168"/>
      <c r="J109" s="168"/>
      <c r="K109" s="168"/>
      <c r="L109" s="168"/>
      <c r="M109" s="168"/>
    </row>
    <row r="110" spans="1:13">
      <c r="A110" s="309"/>
      <c r="B110" s="168"/>
      <c r="C110" s="168"/>
      <c r="D110" s="168"/>
      <c r="E110" s="168"/>
      <c r="F110" s="168"/>
      <c r="G110" s="168"/>
      <c r="H110" s="168"/>
      <c r="I110" s="168"/>
      <c r="J110" s="168"/>
      <c r="K110" s="168"/>
      <c r="L110" s="168"/>
      <c r="M110" s="168"/>
    </row>
    <row r="111" spans="1:13">
      <c r="A111" s="309"/>
      <c r="B111" s="168"/>
      <c r="C111" s="168"/>
      <c r="D111" s="168"/>
      <c r="E111" s="168"/>
      <c r="F111" s="168"/>
      <c r="G111" s="168"/>
      <c r="H111" s="168"/>
      <c r="I111" s="168"/>
      <c r="J111" s="168"/>
      <c r="K111" s="168"/>
      <c r="L111" s="168"/>
      <c r="M111" s="168"/>
    </row>
    <row r="112" spans="1:13">
      <c r="A112" s="309"/>
      <c r="B112" s="168"/>
      <c r="C112" s="168"/>
      <c r="D112" s="168"/>
      <c r="E112" s="168"/>
      <c r="F112" s="168"/>
      <c r="G112" s="168"/>
      <c r="H112" s="168"/>
      <c r="I112" s="168"/>
      <c r="J112" s="168"/>
      <c r="K112" s="168"/>
      <c r="L112" s="168"/>
      <c r="M112" s="168"/>
    </row>
    <row r="113" spans="1:13">
      <c r="A113" s="309"/>
      <c r="B113" s="168"/>
      <c r="C113" s="168"/>
      <c r="D113" s="168"/>
      <c r="E113" s="168"/>
      <c r="F113" s="168"/>
      <c r="G113" s="168"/>
      <c r="H113" s="168"/>
      <c r="I113" s="168"/>
      <c r="J113" s="168"/>
      <c r="K113" s="168"/>
      <c r="L113" s="168"/>
      <c r="M113" s="168"/>
    </row>
    <row r="114" spans="1:13">
      <c r="A114" s="309"/>
      <c r="B114" s="168"/>
      <c r="C114" s="168"/>
      <c r="D114" s="168"/>
      <c r="E114" s="168"/>
      <c r="F114" s="168"/>
      <c r="G114" s="168"/>
      <c r="H114" s="168"/>
      <c r="I114" s="168"/>
      <c r="J114" s="168"/>
      <c r="K114" s="168"/>
      <c r="L114" s="168"/>
      <c r="M114" s="168"/>
    </row>
    <row r="115" spans="1:13">
      <c r="A115" s="309"/>
      <c r="B115" s="168"/>
      <c r="C115" s="168"/>
      <c r="D115" s="168"/>
      <c r="E115" s="168"/>
      <c r="F115" s="168"/>
      <c r="G115" s="168"/>
      <c r="H115" s="168"/>
      <c r="I115" s="168"/>
      <c r="J115" s="168"/>
      <c r="K115" s="168"/>
      <c r="L115" s="168"/>
      <c r="M115" s="168"/>
    </row>
    <row r="116" spans="1:13">
      <c r="A116" s="309"/>
      <c r="B116" s="168"/>
      <c r="C116" s="168"/>
      <c r="D116" s="168"/>
      <c r="E116" s="168"/>
      <c r="F116" s="168"/>
      <c r="G116" s="168"/>
      <c r="H116" s="168"/>
      <c r="I116" s="168"/>
      <c r="J116" s="168"/>
      <c r="K116" s="168"/>
      <c r="L116" s="168"/>
      <c r="M116" s="168"/>
    </row>
    <row r="117" spans="1:13">
      <c r="A117" s="309"/>
      <c r="B117" s="168"/>
      <c r="C117" s="168"/>
      <c r="D117" s="168"/>
      <c r="E117" s="168"/>
      <c r="F117" s="168"/>
      <c r="G117" s="168"/>
      <c r="H117" s="168"/>
      <c r="I117" s="168"/>
      <c r="J117" s="168"/>
      <c r="K117" s="168"/>
      <c r="L117" s="168"/>
      <c r="M117" s="168"/>
    </row>
    <row r="118" spans="1:13">
      <c r="A118" s="309"/>
      <c r="B118" s="168"/>
      <c r="C118" s="168"/>
      <c r="D118" s="168"/>
      <c r="E118" s="168"/>
      <c r="F118" s="168"/>
      <c r="G118" s="168"/>
      <c r="H118" s="168"/>
      <c r="I118" s="168"/>
      <c r="J118" s="168"/>
      <c r="K118" s="168"/>
      <c r="L118" s="168"/>
      <c r="M118" s="168"/>
    </row>
    <row r="119" spans="1:13">
      <c r="A119" s="309"/>
      <c r="B119" s="168"/>
      <c r="C119" s="168"/>
      <c r="D119" s="168"/>
      <c r="E119" s="168"/>
      <c r="F119" s="168"/>
      <c r="G119" s="168"/>
      <c r="H119" s="168"/>
      <c r="I119" s="168"/>
      <c r="J119" s="168"/>
      <c r="K119" s="168"/>
      <c r="L119" s="168"/>
      <c r="M119" s="168"/>
    </row>
    <row r="120" spans="1:13">
      <c r="A120" s="309"/>
      <c r="B120" s="168"/>
      <c r="C120" s="168"/>
      <c r="D120" s="168"/>
      <c r="E120" s="168"/>
      <c r="F120" s="168"/>
      <c r="G120" s="168"/>
      <c r="H120" s="168"/>
      <c r="I120" s="168"/>
      <c r="J120" s="168"/>
      <c r="K120" s="168"/>
      <c r="L120" s="168"/>
      <c r="M120" s="168"/>
    </row>
    <row r="121" spans="1:13">
      <c r="A121" s="309"/>
      <c r="B121" s="168"/>
      <c r="C121" s="168"/>
      <c r="D121" s="168"/>
      <c r="E121" s="168"/>
      <c r="F121" s="168"/>
      <c r="G121" s="168"/>
      <c r="H121" s="168"/>
      <c r="I121" s="168"/>
      <c r="J121" s="168"/>
      <c r="K121" s="168"/>
      <c r="L121" s="168"/>
      <c r="M121" s="168"/>
    </row>
    <row r="122" spans="1:13">
      <c r="A122" s="309"/>
      <c r="B122" s="168"/>
      <c r="C122" s="168"/>
      <c r="D122" s="168"/>
      <c r="E122" s="168"/>
      <c r="F122" s="168"/>
      <c r="G122" s="168"/>
      <c r="H122" s="168"/>
      <c r="I122" s="168"/>
      <c r="J122" s="168"/>
      <c r="K122" s="168"/>
      <c r="L122" s="168"/>
      <c r="M122" s="168"/>
    </row>
    <row r="123" spans="1:13">
      <c r="A123" s="309"/>
      <c r="B123" s="168"/>
      <c r="C123" s="168"/>
      <c r="D123" s="168"/>
      <c r="E123" s="168"/>
      <c r="F123" s="168"/>
      <c r="G123" s="168"/>
      <c r="H123" s="168"/>
      <c r="I123" s="168"/>
      <c r="J123" s="168"/>
      <c r="K123" s="168"/>
      <c r="L123" s="168"/>
      <c r="M123" s="168"/>
    </row>
    <row r="124" spans="1:13">
      <c r="A124" s="309"/>
      <c r="B124" s="168"/>
      <c r="C124" s="168"/>
      <c r="D124" s="168"/>
      <c r="E124" s="168"/>
      <c r="F124" s="168"/>
      <c r="G124" s="168"/>
      <c r="H124" s="168"/>
      <c r="I124" s="168"/>
      <c r="J124" s="168"/>
      <c r="K124" s="168"/>
      <c r="L124" s="168"/>
      <c r="M124" s="168"/>
    </row>
    <row r="125" spans="1:13">
      <c r="A125" s="309"/>
      <c r="B125" s="168"/>
      <c r="C125" s="168"/>
      <c r="D125" s="168"/>
      <c r="E125" s="168"/>
      <c r="F125" s="168"/>
      <c r="G125" s="168"/>
      <c r="H125" s="168"/>
      <c r="I125" s="168"/>
      <c r="J125" s="168"/>
      <c r="K125" s="168"/>
      <c r="L125" s="168"/>
      <c r="M125" s="168"/>
    </row>
    <row r="126" spans="1:13">
      <c r="A126" s="309"/>
      <c r="B126" s="168"/>
      <c r="C126" s="168"/>
      <c r="D126" s="168"/>
      <c r="E126" s="168"/>
      <c r="F126" s="168"/>
      <c r="G126" s="168"/>
      <c r="H126" s="168"/>
      <c r="I126" s="168"/>
      <c r="J126" s="168"/>
      <c r="K126" s="168"/>
      <c r="L126" s="168"/>
      <c r="M126" s="168"/>
    </row>
    <row r="127" spans="1:13">
      <c r="A127" s="309"/>
      <c r="B127" s="168"/>
      <c r="C127" s="168"/>
      <c r="D127" s="168"/>
      <c r="E127" s="168"/>
      <c r="F127" s="168"/>
      <c r="G127" s="168"/>
      <c r="H127" s="168"/>
      <c r="I127" s="168"/>
      <c r="J127" s="168"/>
      <c r="K127" s="168"/>
      <c r="L127" s="168"/>
      <c r="M127" s="168"/>
    </row>
    <row r="128" spans="1:13">
      <c r="A128" s="309"/>
      <c r="B128" s="168"/>
      <c r="C128" s="168"/>
      <c r="D128" s="168"/>
      <c r="E128" s="168"/>
      <c r="F128" s="168"/>
      <c r="G128" s="168"/>
      <c r="H128" s="168"/>
      <c r="I128" s="168"/>
      <c r="J128" s="168"/>
      <c r="K128" s="168"/>
      <c r="L128" s="168"/>
      <c r="M128" s="168"/>
    </row>
    <row r="129" spans="1:13">
      <c r="A129" s="309"/>
      <c r="B129" s="168"/>
      <c r="C129" s="168"/>
      <c r="D129" s="168"/>
      <c r="E129" s="168"/>
      <c r="F129" s="168"/>
      <c r="G129" s="168"/>
      <c r="H129" s="168"/>
      <c r="I129" s="168"/>
      <c r="J129" s="168"/>
      <c r="K129" s="168"/>
      <c r="L129" s="168"/>
      <c r="M129" s="168"/>
    </row>
    <row r="130" spans="1:13">
      <c r="A130" s="309"/>
      <c r="B130" s="168"/>
      <c r="C130" s="168"/>
      <c r="D130" s="168"/>
      <c r="E130" s="168"/>
      <c r="F130" s="168"/>
      <c r="G130" s="168"/>
      <c r="H130" s="168"/>
      <c r="I130" s="168"/>
      <c r="J130" s="168"/>
      <c r="K130" s="168"/>
      <c r="L130" s="168"/>
      <c r="M130" s="168"/>
    </row>
    <row r="131" spans="1:13">
      <c r="A131" s="309"/>
      <c r="B131" s="168"/>
      <c r="C131" s="168"/>
      <c r="D131" s="168"/>
      <c r="E131" s="168"/>
      <c r="F131" s="168"/>
      <c r="G131" s="168"/>
      <c r="H131" s="168"/>
      <c r="I131" s="168"/>
      <c r="J131" s="168"/>
      <c r="K131" s="168"/>
      <c r="L131" s="168"/>
      <c r="M131" s="168"/>
    </row>
    <row r="132" spans="1:13">
      <c r="A132" s="309"/>
      <c r="B132" s="168"/>
      <c r="C132" s="168"/>
      <c r="D132" s="168"/>
      <c r="E132" s="168"/>
      <c r="F132" s="168"/>
      <c r="G132" s="168"/>
      <c r="H132" s="168"/>
      <c r="I132" s="168"/>
      <c r="J132" s="168"/>
      <c r="K132" s="168"/>
      <c r="L132" s="168"/>
      <c r="M132" s="168"/>
    </row>
    <row r="133" spans="1:13">
      <c r="A133" s="309"/>
      <c r="B133" s="168"/>
      <c r="C133" s="168"/>
      <c r="D133" s="168"/>
      <c r="E133" s="168"/>
      <c r="F133" s="168"/>
      <c r="G133" s="168"/>
      <c r="H133" s="168"/>
      <c r="I133" s="168"/>
      <c r="J133" s="168"/>
      <c r="K133" s="168"/>
      <c r="L133" s="168"/>
      <c r="M133" s="168"/>
    </row>
    <row r="134" spans="1:13">
      <c r="A134" s="309"/>
      <c r="B134" s="168"/>
      <c r="C134" s="168"/>
      <c r="D134" s="168"/>
      <c r="E134" s="168"/>
      <c r="F134" s="168"/>
      <c r="G134" s="168"/>
      <c r="H134" s="168"/>
      <c r="I134" s="168"/>
      <c r="J134" s="168"/>
      <c r="K134" s="168"/>
      <c r="L134" s="168"/>
      <c r="M134" s="168"/>
    </row>
    <row r="135" spans="1:13">
      <c r="A135" s="309"/>
      <c r="B135" s="168"/>
      <c r="C135" s="168"/>
      <c r="D135" s="168"/>
      <c r="E135" s="168"/>
      <c r="F135" s="168"/>
      <c r="G135" s="168"/>
      <c r="H135" s="168"/>
      <c r="I135" s="168"/>
      <c r="J135" s="168"/>
      <c r="K135" s="168"/>
      <c r="L135" s="168"/>
      <c r="M135" s="168"/>
    </row>
    <row r="136" spans="1:13">
      <c r="A136" s="309"/>
      <c r="B136" s="168"/>
      <c r="C136" s="168"/>
      <c r="D136" s="168"/>
      <c r="E136" s="168"/>
      <c r="F136" s="168"/>
      <c r="G136" s="168"/>
      <c r="H136" s="168"/>
      <c r="I136" s="168"/>
      <c r="J136" s="168"/>
      <c r="K136" s="168"/>
      <c r="L136" s="168"/>
      <c r="M136" s="168"/>
    </row>
    <row r="137" spans="1:13">
      <c r="A137" s="309"/>
      <c r="B137" s="168"/>
      <c r="C137" s="168"/>
      <c r="D137" s="168"/>
      <c r="E137" s="168"/>
      <c r="F137" s="168"/>
      <c r="G137" s="168"/>
      <c r="H137" s="168"/>
      <c r="I137" s="168"/>
      <c r="J137" s="168"/>
      <c r="K137" s="168"/>
      <c r="L137" s="168"/>
      <c r="M137" s="168"/>
    </row>
    <row r="138" spans="1:13">
      <c r="A138" s="309"/>
      <c r="B138" s="168"/>
      <c r="C138" s="168"/>
      <c r="D138" s="168"/>
      <c r="E138" s="168"/>
      <c r="F138" s="168"/>
      <c r="G138" s="168"/>
      <c r="H138" s="168"/>
      <c r="I138" s="168"/>
      <c r="J138" s="168"/>
      <c r="K138" s="168"/>
      <c r="L138" s="168"/>
      <c r="M138" s="168"/>
    </row>
    <row r="139" spans="1:13">
      <c r="A139" s="309"/>
      <c r="B139" s="168"/>
      <c r="C139" s="168"/>
      <c r="D139" s="168"/>
      <c r="E139" s="168"/>
      <c r="F139" s="168"/>
      <c r="G139" s="168"/>
      <c r="H139" s="168"/>
      <c r="I139" s="168"/>
      <c r="J139" s="168"/>
      <c r="K139" s="168"/>
      <c r="L139" s="168"/>
      <c r="M139" s="168"/>
    </row>
    <row r="140" spans="1:13">
      <c r="A140" s="309"/>
      <c r="B140" s="168"/>
      <c r="C140" s="168"/>
      <c r="D140" s="168"/>
      <c r="E140" s="168"/>
      <c r="F140" s="168"/>
      <c r="G140" s="168"/>
      <c r="H140" s="168"/>
      <c r="I140" s="168"/>
      <c r="J140" s="168"/>
      <c r="K140" s="168"/>
      <c r="L140" s="168"/>
      <c r="M140" s="168"/>
    </row>
    <row r="141" spans="1:13">
      <c r="A141" s="309"/>
      <c r="B141" s="168"/>
      <c r="C141" s="168"/>
      <c r="D141" s="168"/>
      <c r="E141" s="168"/>
      <c r="F141" s="168"/>
      <c r="G141" s="168"/>
      <c r="H141" s="168"/>
      <c r="I141" s="168"/>
      <c r="J141" s="168"/>
      <c r="K141" s="168"/>
      <c r="L141" s="168"/>
      <c r="M141" s="168"/>
    </row>
    <row r="142" spans="1:13">
      <c r="A142" s="309"/>
      <c r="B142" s="168"/>
      <c r="C142" s="168"/>
      <c r="D142" s="168"/>
      <c r="E142" s="168"/>
      <c r="F142" s="168"/>
      <c r="G142" s="168"/>
      <c r="H142" s="168"/>
      <c r="I142" s="168"/>
      <c r="J142" s="168"/>
      <c r="K142" s="168"/>
      <c r="L142" s="168"/>
      <c r="M142" s="168"/>
    </row>
    <row r="143" spans="1:13">
      <c r="A143" s="309"/>
      <c r="B143" s="168"/>
      <c r="C143" s="168"/>
      <c r="D143" s="168"/>
      <c r="E143" s="168"/>
      <c r="F143" s="168"/>
      <c r="G143" s="168"/>
      <c r="H143" s="168"/>
      <c r="I143" s="168"/>
      <c r="J143" s="168"/>
      <c r="K143" s="168"/>
      <c r="L143" s="168"/>
      <c r="M143" s="168"/>
    </row>
    <row r="144" spans="1:13">
      <c r="A144" s="309"/>
      <c r="B144" s="168"/>
      <c r="C144" s="168"/>
      <c r="D144" s="168"/>
      <c r="E144" s="168"/>
      <c r="F144" s="168"/>
      <c r="G144" s="168"/>
      <c r="H144" s="168"/>
      <c r="I144" s="168"/>
      <c r="J144" s="168"/>
      <c r="K144" s="168"/>
      <c r="L144" s="168"/>
      <c r="M144" s="168"/>
    </row>
    <row r="145" spans="1:13">
      <c r="A145" s="309"/>
      <c r="B145" s="168"/>
      <c r="C145" s="168"/>
      <c r="D145" s="168"/>
      <c r="E145" s="168"/>
      <c r="F145" s="168"/>
      <c r="G145" s="168"/>
      <c r="H145" s="168"/>
      <c r="I145" s="168"/>
      <c r="J145" s="168"/>
      <c r="K145" s="168"/>
      <c r="L145" s="168"/>
      <c r="M145" s="168"/>
    </row>
    <row r="146" spans="1:13">
      <c r="A146" s="309"/>
      <c r="B146" s="168"/>
      <c r="C146" s="168"/>
      <c r="D146" s="168"/>
      <c r="E146" s="168"/>
      <c r="F146" s="168"/>
      <c r="G146" s="168"/>
      <c r="H146" s="168"/>
      <c r="I146" s="168"/>
      <c r="J146" s="168"/>
      <c r="K146" s="168"/>
      <c r="L146" s="168"/>
      <c r="M146" s="168"/>
    </row>
    <row r="147" spans="1:13">
      <c r="A147" s="309"/>
      <c r="B147" s="168"/>
      <c r="C147" s="168"/>
      <c r="D147" s="168"/>
      <c r="E147" s="168"/>
      <c r="F147" s="168"/>
      <c r="G147" s="168"/>
      <c r="H147" s="168"/>
      <c r="I147" s="168"/>
      <c r="J147" s="168"/>
      <c r="K147" s="168"/>
      <c r="L147" s="168"/>
      <c r="M147" s="168"/>
    </row>
    <row r="148" spans="1:13">
      <c r="A148" s="309"/>
      <c r="B148" s="168"/>
      <c r="C148" s="168"/>
      <c r="D148" s="168"/>
      <c r="E148" s="168"/>
      <c r="F148" s="168"/>
      <c r="G148" s="168"/>
      <c r="H148" s="168"/>
      <c r="I148" s="168"/>
      <c r="J148" s="168"/>
      <c r="K148" s="168"/>
      <c r="L148" s="168"/>
      <c r="M148" s="168"/>
    </row>
    <row r="149" spans="1:13">
      <c r="A149" s="309"/>
      <c r="B149" s="168"/>
      <c r="C149" s="168"/>
      <c r="D149" s="168"/>
      <c r="E149" s="168"/>
      <c r="F149" s="168"/>
      <c r="G149" s="168"/>
      <c r="H149" s="168"/>
      <c r="I149" s="168"/>
      <c r="J149" s="168"/>
      <c r="K149" s="168"/>
      <c r="L149" s="168"/>
      <c r="M149" s="168"/>
    </row>
    <row r="150" spans="1:13">
      <c r="A150" s="309"/>
      <c r="B150" s="168"/>
      <c r="C150" s="168"/>
      <c r="D150" s="168"/>
      <c r="E150" s="168"/>
      <c r="F150" s="168"/>
      <c r="G150" s="168"/>
      <c r="H150" s="168"/>
      <c r="I150" s="168"/>
      <c r="J150" s="168"/>
      <c r="K150" s="168"/>
      <c r="L150" s="168"/>
      <c r="M150" s="168"/>
    </row>
    <row r="151" spans="1:13">
      <c r="A151" s="309"/>
      <c r="B151" s="168"/>
      <c r="C151" s="168"/>
      <c r="D151" s="168"/>
      <c r="E151" s="168"/>
      <c r="F151" s="168"/>
      <c r="G151" s="168"/>
      <c r="H151" s="168"/>
      <c r="I151" s="168"/>
      <c r="J151" s="168"/>
      <c r="K151" s="168"/>
      <c r="L151" s="168"/>
      <c r="M151" s="168"/>
    </row>
    <row r="152" spans="1:13">
      <c r="A152" s="309"/>
      <c r="B152" s="168"/>
      <c r="C152" s="168"/>
      <c r="D152" s="168"/>
      <c r="E152" s="168"/>
      <c r="F152" s="168"/>
      <c r="G152" s="168"/>
      <c r="H152" s="168"/>
      <c r="I152" s="168"/>
      <c r="J152" s="168"/>
      <c r="K152" s="168"/>
      <c r="L152" s="168"/>
      <c r="M152" s="168"/>
    </row>
    <row r="153" spans="1:13">
      <c r="A153" s="309"/>
      <c r="B153" s="168"/>
      <c r="C153" s="168"/>
      <c r="D153" s="168"/>
      <c r="E153" s="168"/>
      <c r="F153" s="168"/>
      <c r="G153" s="168"/>
      <c r="H153" s="168"/>
      <c r="I153" s="168"/>
      <c r="J153" s="168"/>
      <c r="K153" s="168"/>
      <c r="L153" s="168"/>
      <c r="M153" s="168"/>
    </row>
    <row r="154" spans="1:13">
      <c r="A154" s="309"/>
      <c r="B154" s="168"/>
      <c r="C154" s="168"/>
      <c r="D154" s="168"/>
      <c r="E154" s="168"/>
      <c r="F154" s="168"/>
      <c r="G154" s="168"/>
      <c r="H154" s="168"/>
      <c r="I154" s="168"/>
      <c r="J154" s="168"/>
      <c r="K154" s="168"/>
      <c r="L154" s="168"/>
      <c r="M154" s="168"/>
    </row>
    <row r="155" spans="1:13">
      <c r="A155" s="309"/>
      <c r="B155" s="168"/>
      <c r="C155" s="168"/>
      <c r="D155" s="168"/>
      <c r="E155" s="168"/>
      <c r="F155" s="168"/>
      <c r="G155" s="168"/>
      <c r="H155" s="168"/>
      <c r="I155" s="168"/>
      <c r="J155" s="168"/>
      <c r="K155" s="168"/>
      <c r="L155" s="168"/>
      <c r="M155" s="168"/>
    </row>
    <row r="156" spans="1:13">
      <c r="A156" s="309"/>
      <c r="B156" s="168"/>
      <c r="C156" s="168"/>
      <c r="D156" s="168"/>
      <c r="E156" s="168"/>
      <c r="F156" s="168"/>
      <c r="G156" s="168"/>
      <c r="H156" s="168"/>
      <c r="I156" s="168"/>
      <c r="J156" s="168"/>
      <c r="K156" s="168"/>
      <c r="L156" s="168"/>
      <c r="M156" s="168"/>
    </row>
    <row r="157" spans="1:13">
      <c r="A157" s="309"/>
      <c r="B157" s="168"/>
      <c r="C157" s="168"/>
      <c r="D157" s="168"/>
      <c r="E157" s="168"/>
      <c r="F157" s="168"/>
      <c r="G157" s="168"/>
      <c r="H157" s="168"/>
      <c r="I157" s="168"/>
      <c r="J157" s="168"/>
      <c r="K157" s="168"/>
      <c r="L157" s="168"/>
      <c r="M157" s="168"/>
    </row>
    <row r="158" spans="1:13">
      <c r="A158" s="309"/>
      <c r="B158" s="168"/>
      <c r="C158" s="168"/>
      <c r="D158" s="168"/>
      <c r="E158" s="168"/>
      <c r="F158" s="168"/>
      <c r="G158" s="168"/>
      <c r="H158" s="168"/>
      <c r="I158" s="168"/>
      <c r="J158" s="168"/>
      <c r="K158" s="168"/>
      <c r="L158" s="168"/>
      <c r="M158" s="168"/>
    </row>
    <row r="159" spans="1:13">
      <c r="A159" s="309"/>
      <c r="B159" s="168"/>
      <c r="C159" s="168"/>
      <c r="D159" s="168"/>
      <c r="E159" s="168"/>
      <c r="F159" s="168"/>
      <c r="G159" s="168"/>
      <c r="H159" s="168"/>
      <c r="I159" s="168"/>
      <c r="J159" s="168"/>
      <c r="K159" s="168"/>
      <c r="L159" s="168"/>
      <c r="M159" s="168"/>
    </row>
    <row r="160" spans="1:13">
      <c r="A160" s="309"/>
      <c r="B160" s="168"/>
      <c r="C160" s="168"/>
      <c r="D160" s="168"/>
      <c r="E160" s="168"/>
      <c r="F160" s="168"/>
      <c r="G160" s="168"/>
      <c r="H160" s="168"/>
      <c r="I160" s="168"/>
      <c r="J160" s="168"/>
      <c r="K160" s="168"/>
      <c r="L160" s="168"/>
      <c r="M160" s="168"/>
    </row>
    <row r="161" spans="1:13">
      <c r="A161" s="309"/>
      <c r="B161" s="168"/>
      <c r="C161" s="168"/>
      <c r="D161" s="168"/>
      <c r="E161" s="168"/>
      <c r="F161" s="168"/>
      <c r="G161" s="168"/>
      <c r="H161" s="168"/>
      <c r="I161" s="168"/>
      <c r="J161" s="168"/>
      <c r="K161" s="168"/>
      <c r="L161" s="168"/>
      <c r="M161" s="168"/>
    </row>
    <row r="162" spans="1:13">
      <c r="A162" s="309"/>
      <c r="B162" s="168"/>
      <c r="C162" s="168"/>
      <c r="D162" s="168"/>
      <c r="E162" s="168"/>
      <c r="F162" s="168"/>
      <c r="G162" s="168"/>
      <c r="H162" s="168"/>
      <c r="I162" s="168"/>
      <c r="J162" s="168"/>
      <c r="K162" s="168"/>
      <c r="L162" s="168"/>
      <c r="M162" s="168"/>
    </row>
    <row r="163" spans="1:13">
      <c r="A163" s="309"/>
      <c r="B163" s="168"/>
      <c r="C163" s="168"/>
      <c r="D163" s="168"/>
      <c r="E163" s="168"/>
      <c r="F163" s="168"/>
      <c r="G163" s="168"/>
      <c r="H163" s="168"/>
      <c r="I163" s="168"/>
      <c r="J163" s="168"/>
      <c r="K163" s="168"/>
      <c r="L163" s="168"/>
      <c r="M163" s="168"/>
    </row>
    <row r="164" spans="1:13">
      <c r="A164" s="309"/>
      <c r="B164" s="168"/>
      <c r="C164" s="168"/>
      <c r="D164" s="168"/>
      <c r="E164" s="168"/>
      <c r="F164" s="168"/>
      <c r="G164" s="168"/>
      <c r="H164" s="168"/>
      <c r="I164" s="168"/>
      <c r="J164" s="168"/>
      <c r="K164" s="168"/>
      <c r="L164" s="168"/>
      <c r="M164" s="168"/>
    </row>
    <row r="165" spans="1:13">
      <c r="A165" s="309"/>
      <c r="B165" s="168"/>
      <c r="C165" s="168"/>
      <c r="D165" s="168"/>
      <c r="E165" s="168"/>
      <c r="F165" s="168"/>
      <c r="G165" s="168"/>
      <c r="H165" s="168"/>
      <c r="I165" s="168"/>
      <c r="J165" s="168"/>
      <c r="K165" s="168"/>
      <c r="L165" s="168"/>
      <c r="M165" s="168"/>
    </row>
    <row r="166" spans="1:13">
      <c r="A166" s="309"/>
      <c r="B166" s="168"/>
      <c r="C166" s="168"/>
      <c r="D166" s="168"/>
      <c r="E166" s="168"/>
      <c r="F166" s="168"/>
      <c r="G166" s="168"/>
      <c r="H166" s="168"/>
      <c r="I166" s="168"/>
      <c r="J166" s="168"/>
      <c r="K166" s="168"/>
      <c r="L166" s="168"/>
      <c r="M166" s="168"/>
    </row>
    <row r="167" spans="1:13">
      <c r="A167" s="309"/>
      <c r="B167" s="168"/>
      <c r="C167" s="168"/>
      <c r="D167" s="168"/>
      <c r="E167" s="168"/>
      <c r="F167" s="168"/>
      <c r="G167" s="168"/>
      <c r="H167" s="168"/>
      <c r="I167" s="168"/>
      <c r="J167" s="168"/>
      <c r="K167" s="168"/>
      <c r="L167" s="168"/>
      <c r="M167" s="168"/>
    </row>
    <row r="168" spans="1:13">
      <c r="A168" s="309"/>
      <c r="B168" s="168"/>
      <c r="C168" s="168"/>
      <c r="D168" s="168"/>
      <c r="E168" s="168"/>
      <c r="F168" s="168"/>
      <c r="G168" s="168"/>
      <c r="H168" s="168"/>
      <c r="I168" s="168"/>
      <c r="J168" s="168"/>
      <c r="K168" s="168"/>
      <c r="L168" s="168"/>
      <c r="M168" s="168"/>
    </row>
    <row r="169" spans="1:13">
      <c r="A169" s="309"/>
      <c r="B169" s="168"/>
      <c r="C169" s="168"/>
      <c r="D169" s="168"/>
      <c r="E169" s="168"/>
      <c r="F169" s="168"/>
      <c r="G169" s="168"/>
      <c r="H169" s="168"/>
      <c r="I169" s="168"/>
      <c r="J169" s="168"/>
      <c r="K169" s="168"/>
      <c r="L169" s="168"/>
      <c r="M169" s="168"/>
    </row>
    <row r="170" spans="1:13">
      <c r="A170" s="309"/>
      <c r="B170" s="168"/>
      <c r="C170" s="168"/>
      <c r="D170" s="168"/>
      <c r="E170" s="168"/>
      <c r="F170" s="168"/>
      <c r="G170" s="168"/>
      <c r="H170" s="168"/>
      <c r="I170" s="168"/>
      <c r="J170" s="168"/>
      <c r="K170" s="168"/>
      <c r="L170" s="168"/>
      <c r="M170" s="168"/>
    </row>
    <row r="171" spans="1:13">
      <c r="A171" s="309"/>
      <c r="B171" s="168"/>
      <c r="C171" s="168"/>
      <c r="D171" s="168"/>
      <c r="E171" s="168"/>
      <c r="F171" s="168"/>
      <c r="G171" s="168"/>
      <c r="H171" s="168"/>
      <c r="I171" s="168"/>
      <c r="J171" s="168"/>
      <c r="K171" s="168"/>
      <c r="L171" s="168"/>
      <c r="M171" s="168"/>
    </row>
    <row r="172" spans="1:13">
      <c r="A172" s="309"/>
      <c r="B172" s="168"/>
      <c r="C172" s="168"/>
      <c r="D172" s="168"/>
      <c r="E172" s="168"/>
      <c r="F172" s="168"/>
      <c r="G172" s="168"/>
      <c r="H172" s="168"/>
      <c r="I172" s="168"/>
      <c r="J172" s="168"/>
      <c r="K172" s="168"/>
      <c r="L172" s="168"/>
      <c r="M172" s="168"/>
    </row>
    <row r="173" spans="1:13">
      <c r="A173" s="309"/>
      <c r="B173" s="168"/>
      <c r="C173" s="168"/>
      <c r="D173" s="168"/>
      <c r="E173" s="168"/>
      <c r="F173" s="168"/>
      <c r="G173" s="168"/>
      <c r="H173" s="168"/>
      <c r="I173" s="168"/>
      <c r="J173" s="168"/>
      <c r="K173" s="168"/>
      <c r="L173" s="168"/>
      <c r="M173" s="168"/>
    </row>
    <row r="174" spans="1:13">
      <c r="A174" s="309"/>
      <c r="B174" s="168"/>
      <c r="C174" s="168"/>
      <c r="D174" s="168"/>
      <c r="E174" s="168"/>
      <c r="F174" s="168"/>
      <c r="G174" s="168"/>
      <c r="H174" s="168"/>
      <c r="I174" s="168"/>
      <c r="J174" s="168"/>
      <c r="K174" s="168"/>
      <c r="L174" s="168"/>
      <c r="M174" s="168"/>
    </row>
    <row r="175" spans="1:13">
      <c r="A175" s="309"/>
      <c r="B175" s="168"/>
      <c r="C175" s="168"/>
      <c r="D175" s="168"/>
      <c r="E175" s="168"/>
      <c r="F175" s="168"/>
      <c r="G175" s="168"/>
      <c r="H175" s="168"/>
      <c r="I175" s="168"/>
      <c r="J175" s="168"/>
      <c r="K175" s="168"/>
      <c r="L175" s="168"/>
      <c r="M175" s="168"/>
    </row>
    <row r="176" spans="1:13">
      <c r="A176" s="309"/>
      <c r="B176" s="168"/>
      <c r="C176" s="168"/>
      <c r="D176" s="168"/>
      <c r="E176" s="168"/>
      <c r="F176" s="168"/>
      <c r="G176" s="168"/>
      <c r="H176" s="168"/>
      <c r="I176" s="168"/>
      <c r="J176" s="168"/>
      <c r="K176" s="168"/>
      <c r="L176" s="168"/>
      <c r="M176" s="168"/>
    </row>
    <row r="177" spans="1:13">
      <c r="A177" s="309"/>
      <c r="B177" s="168"/>
      <c r="C177" s="168"/>
      <c r="D177" s="168"/>
      <c r="E177" s="168"/>
      <c r="F177" s="168"/>
      <c r="G177" s="168"/>
      <c r="H177" s="168"/>
      <c r="I177" s="168"/>
      <c r="J177" s="168"/>
      <c r="K177" s="168"/>
      <c r="L177" s="168"/>
      <c r="M177" s="168"/>
    </row>
    <row r="178" spans="1:13">
      <c r="A178" s="309"/>
      <c r="B178" s="168"/>
      <c r="C178" s="168"/>
      <c r="D178" s="168"/>
      <c r="E178" s="168"/>
      <c r="F178" s="168"/>
      <c r="G178" s="168"/>
      <c r="H178" s="168"/>
      <c r="I178" s="168"/>
      <c r="J178" s="168"/>
      <c r="K178" s="168"/>
      <c r="L178" s="168"/>
      <c r="M178" s="168"/>
    </row>
    <row r="179" spans="1:13">
      <c r="A179" s="309"/>
      <c r="B179" s="168"/>
      <c r="C179" s="168"/>
      <c r="D179" s="168"/>
      <c r="E179" s="168"/>
      <c r="F179" s="168"/>
      <c r="G179" s="168"/>
      <c r="H179" s="168"/>
      <c r="I179" s="168"/>
      <c r="J179" s="168"/>
      <c r="K179" s="168"/>
      <c r="L179" s="168"/>
      <c r="M179" s="168"/>
    </row>
    <row r="180" spans="1:13">
      <c r="A180" s="309"/>
      <c r="B180" s="168"/>
      <c r="C180" s="168"/>
      <c r="D180" s="168"/>
      <c r="E180" s="168"/>
      <c r="F180" s="168"/>
      <c r="G180" s="168"/>
      <c r="H180" s="168"/>
      <c r="I180" s="168"/>
      <c r="J180" s="168"/>
      <c r="K180" s="168"/>
      <c r="L180" s="168"/>
      <c r="M180" s="168"/>
    </row>
    <row r="181" spans="1:13">
      <c r="A181" s="309"/>
      <c r="B181" s="168"/>
      <c r="C181" s="168"/>
      <c r="D181" s="168"/>
      <c r="E181" s="168"/>
      <c r="F181" s="168"/>
      <c r="G181" s="168"/>
      <c r="H181" s="168"/>
      <c r="I181" s="168"/>
      <c r="J181" s="168"/>
      <c r="K181" s="168"/>
      <c r="L181" s="168"/>
      <c r="M181" s="168"/>
    </row>
    <row r="182" spans="1:13">
      <c r="A182" s="309"/>
      <c r="B182" s="168"/>
      <c r="C182" s="168"/>
      <c r="D182" s="168"/>
      <c r="E182" s="168"/>
      <c r="F182" s="168"/>
      <c r="G182" s="168"/>
      <c r="H182" s="168"/>
      <c r="I182" s="168"/>
      <c r="J182" s="168"/>
      <c r="K182" s="168"/>
      <c r="L182" s="168"/>
      <c r="M182" s="168"/>
    </row>
    <row r="183" spans="1:13">
      <c r="A183" s="309"/>
      <c r="B183" s="168"/>
      <c r="C183" s="168"/>
      <c r="D183" s="168"/>
      <c r="E183" s="168"/>
      <c r="F183" s="168"/>
      <c r="G183" s="168"/>
      <c r="H183" s="168"/>
      <c r="I183" s="168"/>
      <c r="J183" s="168"/>
      <c r="K183" s="168"/>
      <c r="L183" s="168"/>
      <c r="M183" s="168"/>
    </row>
    <row r="184" spans="1:13">
      <c r="A184" s="309"/>
      <c r="B184" s="168"/>
      <c r="C184" s="168"/>
      <c r="D184" s="168"/>
      <c r="E184" s="168"/>
      <c r="F184" s="168"/>
      <c r="G184" s="168"/>
      <c r="H184" s="168"/>
      <c r="I184" s="168"/>
      <c r="J184" s="168"/>
      <c r="K184" s="168"/>
      <c r="L184" s="168"/>
      <c r="M184" s="168"/>
    </row>
    <row r="185" spans="1:13">
      <c r="A185" s="309"/>
      <c r="B185" s="168"/>
      <c r="C185" s="168"/>
      <c r="D185" s="168"/>
      <c r="E185" s="168"/>
      <c r="F185" s="168"/>
      <c r="G185" s="168"/>
      <c r="H185" s="168"/>
      <c r="I185" s="168"/>
      <c r="J185" s="168"/>
      <c r="K185" s="168"/>
      <c r="L185" s="168"/>
      <c r="M185" s="168"/>
    </row>
    <row r="186" spans="1:13">
      <c r="A186" s="309"/>
      <c r="B186" s="168"/>
      <c r="C186" s="168"/>
      <c r="D186" s="168"/>
      <c r="E186" s="168"/>
      <c r="F186" s="168"/>
      <c r="G186" s="168"/>
      <c r="H186" s="168"/>
      <c r="I186" s="168"/>
      <c r="J186" s="168"/>
      <c r="K186" s="168"/>
      <c r="L186" s="168"/>
      <c r="M186" s="168"/>
    </row>
    <row r="187" spans="1:13">
      <c r="A187" s="309"/>
      <c r="B187" s="168"/>
      <c r="C187" s="168"/>
      <c r="D187" s="168"/>
      <c r="E187" s="168"/>
      <c r="F187" s="168"/>
      <c r="G187" s="168"/>
      <c r="H187" s="168"/>
      <c r="I187" s="168"/>
      <c r="J187" s="168"/>
      <c r="K187" s="168"/>
      <c r="L187" s="168"/>
      <c r="M187" s="168"/>
    </row>
    <row r="188" spans="1:13">
      <c r="A188" s="309"/>
      <c r="B188" s="168"/>
      <c r="C188" s="168"/>
      <c r="D188" s="168"/>
      <c r="E188" s="168"/>
      <c r="F188" s="168"/>
      <c r="G188" s="168"/>
      <c r="H188" s="168"/>
      <c r="I188" s="168"/>
      <c r="J188" s="168"/>
      <c r="K188" s="168"/>
      <c r="L188" s="168"/>
      <c r="M188" s="168"/>
    </row>
    <row r="189" spans="1:13">
      <c r="A189" s="309"/>
      <c r="B189" s="168"/>
      <c r="C189" s="168"/>
      <c r="D189" s="168"/>
      <c r="E189" s="168"/>
      <c r="F189" s="168"/>
      <c r="G189" s="168"/>
      <c r="H189" s="168"/>
      <c r="I189" s="168"/>
      <c r="J189" s="168"/>
      <c r="K189" s="168"/>
      <c r="L189" s="168"/>
      <c r="M189" s="168"/>
    </row>
    <row r="190" spans="1:13">
      <c r="A190" s="309"/>
      <c r="B190" s="168"/>
      <c r="C190" s="168"/>
      <c r="D190" s="168"/>
      <c r="E190" s="168"/>
      <c r="F190" s="168"/>
      <c r="G190" s="168"/>
      <c r="H190" s="168"/>
      <c r="I190" s="168"/>
      <c r="J190" s="168"/>
      <c r="K190" s="168"/>
      <c r="L190" s="168"/>
      <c r="M190" s="168"/>
    </row>
    <row r="191" spans="1:13">
      <c r="A191" s="309"/>
      <c r="B191" s="168"/>
      <c r="C191" s="168"/>
      <c r="D191" s="168"/>
      <c r="E191" s="168"/>
      <c r="F191" s="168"/>
      <c r="G191" s="168"/>
      <c r="H191" s="168"/>
      <c r="I191" s="168"/>
      <c r="J191" s="168"/>
      <c r="K191" s="168"/>
      <c r="L191" s="168"/>
      <c r="M191" s="168"/>
    </row>
    <row r="192" spans="1:13">
      <c r="A192" s="309"/>
      <c r="B192" s="168"/>
      <c r="C192" s="168"/>
      <c r="D192" s="168"/>
      <c r="E192" s="168"/>
      <c r="F192" s="168"/>
      <c r="G192" s="168"/>
      <c r="H192" s="168"/>
      <c r="I192" s="168"/>
      <c r="J192" s="168"/>
      <c r="K192" s="168"/>
      <c r="L192" s="168"/>
      <c r="M192" s="168"/>
    </row>
    <row r="193" spans="1:13">
      <c r="A193" s="309"/>
      <c r="B193" s="168"/>
      <c r="C193" s="168"/>
      <c r="D193" s="168"/>
      <c r="E193" s="168"/>
      <c r="F193" s="168"/>
      <c r="G193" s="168"/>
      <c r="H193" s="168"/>
      <c r="I193" s="168"/>
      <c r="J193" s="168"/>
      <c r="K193" s="168"/>
      <c r="L193" s="168"/>
      <c r="M193" s="168"/>
    </row>
    <row r="194" spans="1:13">
      <c r="A194" s="309"/>
      <c r="B194" s="168"/>
      <c r="C194" s="168"/>
      <c r="D194" s="168"/>
      <c r="E194" s="168"/>
      <c r="F194" s="168"/>
      <c r="G194" s="168"/>
      <c r="H194" s="168"/>
      <c r="I194" s="168"/>
      <c r="J194" s="168"/>
      <c r="K194" s="168"/>
      <c r="L194" s="168"/>
      <c r="M194" s="168"/>
    </row>
    <row r="195" spans="1:13">
      <c r="A195" s="309"/>
      <c r="B195" s="168"/>
      <c r="C195" s="168"/>
      <c r="D195" s="168"/>
      <c r="E195" s="168"/>
      <c r="F195" s="168"/>
      <c r="G195" s="168"/>
      <c r="H195" s="168"/>
      <c r="I195" s="168"/>
      <c r="J195" s="168"/>
      <c r="K195" s="168"/>
      <c r="L195" s="168"/>
      <c r="M195" s="168"/>
    </row>
    <row r="196" spans="1:13">
      <c r="A196" s="309"/>
      <c r="B196" s="168"/>
      <c r="C196" s="168"/>
      <c r="D196" s="168"/>
      <c r="E196" s="168"/>
      <c r="F196" s="168"/>
      <c r="G196" s="168"/>
      <c r="H196" s="168"/>
      <c r="I196" s="168"/>
      <c r="J196" s="168"/>
      <c r="K196" s="168"/>
      <c r="L196" s="168"/>
      <c r="M196" s="168"/>
    </row>
    <row r="197" spans="1:13">
      <c r="A197" s="309"/>
      <c r="B197" s="168"/>
      <c r="C197" s="168"/>
      <c r="D197" s="168"/>
      <c r="E197" s="168"/>
      <c r="F197" s="168"/>
      <c r="G197" s="168"/>
      <c r="H197" s="168"/>
      <c r="I197" s="168"/>
      <c r="J197" s="168"/>
      <c r="K197" s="168"/>
      <c r="L197" s="168"/>
      <c r="M197" s="168"/>
    </row>
    <row r="198" spans="1:13">
      <c r="A198" s="309"/>
      <c r="B198" s="168"/>
      <c r="C198" s="168"/>
      <c r="D198" s="168"/>
      <c r="E198" s="168"/>
      <c r="F198" s="168"/>
      <c r="G198" s="168"/>
      <c r="H198" s="168"/>
      <c r="I198" s="168"/>
      <c r="J198" s="168"/>
      <c r="K198" s="168"/>
      <c r="L198" s="168"/>
      <c r="M198" s="168"/>
    </row>
    <row r="199" spans="1:13">
      <c r="A199" s="309"/>
      <c r="B199" s="168"/>
      <c r="C199" s="168"/>
      <c r="D199" s="168"/>
      <c r="E199" s="168"/>
      <c r="F199" s="168"/>
      <c r="G199" s="168"/>
      <c r="H199" s="168"/>
      <c r="I199" s="168"/>
      <c r="J199" s="168"/>
      <c r="K199" s="168"/>
      <c r="L199" s="168"/>
      <c r="M199" s="168"/>
    </row>
    <row r="200" spans="1:13">
      <c r="A200" s="309"/>
      <c r="B200" s="168"/>
      <c r="C200" s="168"/>
      <c r="D200" s="168"/>
      <c r="E200" s="168"/>
      <c r="F200" s="168"/>
      <c r="G200" s="168"/>
      <c r="H200" s="168"/>
      <c r="I200" s="168"/>
      <c r="J200" s="168"/>
      <c r="K200" s="168"/>
      <c r="L200" s="168"/>
      <c r="M200" s="168"/>
    </row>
    <row r="201" spans="1:13">
      <c r="A201" s="309"/>
      <c r="B201" s="168"/>
      <c r="C201" s="168"/>
      <c r="D201" s="168"/>
      <c r="E201" s="168"/>
      <c r="F201" s="168"/>
      <c r="G201" s="168"/>
      <c r="H201" s="168"/>
      <c r="I201" s="168"/>
      <c r="J201" s="168"/>
      <c r="K201" s="168"/>
      <c r="L201" s="168"/>
      <c r="M201" s="168"/>
    </row>
    <row r="202" spans="1:13">
      <c r="A202" s="309"/>
      <c r="B202" s="168"/>
      <c r="C202" s="168"/>
      <c r="D202" s="168"/>
      <c r="E202" s="168"/>
      <c r="F202" s="168"/>
      <c r="G202" s="168"/>
      <c r="H202" s="168"/>
      <c r="I202" s="168"/>
      <c r="J202" s="168"/>
      <c r="K202" s="168"/>
      <c r="L202" s="168"/>
      <c r="M202" s="168"/>
    </row>
    <row r="203" spans="1:13">
      <c r="A203" s="309"/>
      <c r="B203" s="168"/>
      <c r="C203" s="168"/>
      <c r="D203" s="168"/>
      <c r="E203" s="168"/>
      <c r="F203" s="168"/>
      <c r="G203" s="168"/>
      <c r="H203" s="168"/>
      <c r="I203" s="168"/>
      <c r="J203" s="168"/>
      <c r="K203" s="168"/>
      <c r="L203" s="168"/>
      <c r="M203" s="168"/>
    </row>
    <row r="204" spans="1:13">
      <c r="A204" s="309"/>
      <c r="B204" s="168"/>
      <c r="C204" s="168"/>
      <c r="D204" s="168"/>
      <c r="E204" s="168"/>
      <c r="F204" s="168"/>
      <c r="G204" s="168"/>
      <c r="H204" s="168"/>
      <c r="I204" s="168"/>
      <c r="J204" s="168"/>
      <c r="K204" s="168"/>
      <c r="L204" s="168"/>
      <c r="M204" s="168"/>
    </row>
    <row r="205" spans="1:13">
      <c r="A205" s="309"/>
      <c r="B205" s="168"/>
      <c r="C205" s="168"/>
      <c r="D205" s="168"/>
      <c r="E205" s="168"/>
      <c r="F205" s="168"/>
      <c r="G205" s="168"/>
      <c r="H205" s="168"/>
      <c r="I205" s="168"/>
      <c r="J205" s="168"/>
      <c r="K205" s="168"/>
      <c r="L205" s="168"/>
      <c r="M205" s="168"/>
    </row>
    <row r="206" spans="1:13">
      <c r="A206" s="309"/>
      <c r="B206" s="168"/>
      <c r="C206" s="168"/>
      <c r="D206" s="168"/>
      <c r="E206" s="168"/>
      <c r="F206" s="168"/>
      <c r="G206" s="168"/>
      <c r="H206" s="168"/>
      <c r="I206" s="168"/>
      <c r="J206" s="168"/>
      <c r="K206" s="168"/>
      <c r="L206" s="168"/>
      <c r="M206" s="168"/>
    </row>
    <row r="207" spans="1:13">
      <c r="A207" s="309"/>
      <c r="B207" s="168"/>
      <c r="C207" s="168"/>
      <c r="D207" s="168"/>
      <c r="E207" s="168"/>
      <c r="F207" s="168"/>
      <c r="G207" s="168"/>
      <c r="H207" s="168"/>
      <c r="I207" s="168"/>
      <c r="J207" s="168"/>
      <c r="K207" s="168"/>
      <c r="L207" s="168"/>
      <c r="M207" s="168"/>
    </row>
    <row r="208" spans="1:13">
      <c r="A208" s="309"/>
      <c r="B208" s="168"/>
      <c r="C208" s="168"/>
      <c r="D208" s="168"/>
      <c r="E208" s="168"/>
      <c r="F208" s="168"/>
      <c r="G208" s="168"/>
      <c r="H208" s="168"/>
      <c r="I208" s="168"/>
      <c r="J208" s="168"/>
      <c r="K208" s="168"/>
      <c r="L208" s="168"/>
      <c r="M208" s="168"/>
    </row>
    <row r="209" spans="1:13">
      <c r="A209" s="309"/>
      <c r="B209" s="168"/>
      <c r="C209" s="168"/>
      <c r="D209" s="168"/>
      <c r="E209" s="168"/>
      <c r="F209" s="168"/>
      <c r="G209" s="168"/>
      <c r="H209" s="168"/>
      <c r="I209" s="168"/>
      <c r="J209" s="168"/>
      <c r="K209" s="168"/>
      <c r="L209" s="168"/>
      <c r="M209" s="168"/>
    </row>
    <row r="210" spans="1:13">
      <c r="A210" s="309"/>
      <c r="B210" s="168"/>
      <c r="C210" s="168"/>
      <c r="D210" s="168"/>
      <c r="E210" s="168"/>
      <c r="F210" s="168"/>
      <c r="G210" s="168"/>
      <c r="H210" s="168"/>
      <c r="I210" s="168"/>
      <c r="J210" s="168"/>
      <c r="K210" s="168"/>
      <c r="L210" s="168"/>
      <c r="M210" s="168"/>
    </row>
    <row r="211" spans="1:13">
      <c r="A211" s="309"/>
      <c r="B211" s="168"/>
      <c r="C211" s="168"/>
      <c r="D211" s="168"/>
      <c r="E211" s="168"/>
      <c r="F211" s="168"/>
      <c r="G211" s="168"/>
      <c r="H211" s="168"/>
      <c r="I211" s="168"/>
      <c r="J211" s="168"/>
      <c r="K211" s="168"/>
      <c r="L211" s="168"/>
      <c r="M211" s="168"/>
    </row>
    <row r="212" spans="1:13">
      <c r="A212" s="309"/>
      <c r="B212" s="168"/>
      <c r="C212" s="168"/>
      <c r="D212" s="168"/>
      <c r="E212" s="168"/>
      <c r="F212" s="168"/>
      <c r="G212" s="168"/>
      <c r="H212" s="168"/>
      <c r="I212" s="168"/>
      <c r="J212" s="168"/>
      <c r="K212" s="168"/>
      <c r="L212" s="168"/>
      <c r="M212" s="168"/>
    </row>
    <row r="213" spans="1:13">
      <c r="A213" s="309"/>
      <c r="B213" s="168"/>
      <c r="C213" s="168"/>
      <c r="D213" s="168"/>
      <c r="E213" s="168"/>
      <c r="F213" s="168"/>
      <c r="G213" s="168"/>
      <c r="H213" s="168"/>
      <c r="I213" s="168"/>
      <c r="J213" s="168"/>
      <c r="K213" s="168"/>
      <c r="L213" s="168"/>
      <c r="M213" s="168"/>
    </row>
    <row r="214" spans="1:13">
      <c r="A214" s="309"/>
      <c r="B214" s="168"/>
      <c r="C214" s="168"/>
      <c r="D214" s="168"/>
      <c r="E214" s="168"/>
      <c r="F214" s="168"/>
      <c r="G214" s="168"/>
      <c r="H214" s="168"/>
      <c r="I214" s="168"/>
      <c r="J214" s="168"/>
      <c r="K214" s="168"/>
      <c r="L214" s="168"/>
      <c r="M214" s="168"/>
    </row>
    <row r="215" spans="1:13">
      <c r="A215" s="309"/>
      <c r="B215" s="168"/>
      <c r="C215" s="168"/>
      <c r="D215" s="168"/>
      <c r="E215" s="168"/>
      <c r="F215" s="168"/>
      <c r="G215" s="168"/>
      <c r="H215" s="168"/>
      <c r="I215" s="168"/>
      <c r="J215" s="168"/>
      <c r="K215" s="168"/>
      <c r="L215" s="168"/>
      <c r="M215" s="168"/>
    </row>
    <row r="216" spans="1:13">
      <c r="A216" s="309"/>
      <c r="B216" s="168"/>
      <c r="C216" s="168"/>
      <c r="D216" s="168"/>
      <c r="E216" s="168"/>
      <c r="F216" s="168"/>
      <c r="G216" s="168"/>
      <c r="H216" s="168"/>
      <c r="I216" s="168"/>
      <c r="J216" s="168"/>
      <c r="K216" s="168"/>
      <c r="L216" s="168"/>
      <c r="M216" s="168"/>
    </row>
    <row r="217" spans="1:13">
      <c r="A217" s="309"/>
      <c r="B217" s="168"/>
      <c r="C217" s="168"/>
      <c r="D217" s="168"/>
      <c r="E217" s="168"/>
      <c r="F217" s="168"/>
      <c r="G217" s="168"/>
      <c r="H217" s="168"/>
      <c r="I217" s="168"/>
      <c r="J217" s="168"/>
      <c r="K217" s="168"/>
      <c r="L217" s="168"/>
      <c r="M217" s="168"/>
    </row>
    <row r="218" spans="1:13">
      <c r="A218" s="309"/>
      <c r="B218" s="168"/>
      <c r="C218" s="168"/>
      <c r="D218" s="168"/>
      <c r="E218" s="168"/>
      <c r="F218" s="168"/>
      <c r="G218" s="168"/>
      <c r="H218" s="168"/>
      <c r="I218" s="168"/>
      <c r="J218" s="168"/>
      <c r="K218" s="168"/>
      <c r="L218" s="168"/>
      <c r="M218" s="168"/>
    </row>
    <row r="219" spans="1:13">
      <c r="A219" s="309"/>
      <c r="B219" s="168"/>
      <c r="C219" s="168"/>
      <c r="D219" s="168"/>
      <c r="E219" s="168"/>
      <c r="F219" s="168"/>
      <c r="G219" s="168"/>
      <c r="H219" s="168"/>
      <c r="I219" s="168"/>
      <c r="J219" s="168"/>
      <c r="K219" s="168"/>
      <c r="L219" s="168"/>
      <c r="M219" s="168"/>
    </row>
    <row r="220" spans="1:13">
      <c r="A220" s="309"/>
      <c r="B220" s="168"/>
      <c r="C220" s="168"/>
      <c r="D220" s="168"/>
      <c r="E220" s="168"/>
      <c r="F220" s="168"/>
      <c r="G220" s="168"/>
      <c r="H220" s="168"/>
      <c r="I220" s="168"/>
      <c r="J220" s="168"/>
      <c r="K220" s="168"/>
      <c r="L220" s="168"/>
      <c r="M220" s="168"/>
    </row>
    <row r="221" spans="1:13">
      <c r="A221" s="309"/>
      <c r="B221" s="168"/>
      <c r="C221" s="168"/>
      <c r="D221" s="168"/>
      <c r="E221" s="168"/>
      <c r="F221" s="168"/>
      <c r="G221" s="168"/>
      <c r="H221" s="168"/>
      <c r="I221" s="168"/>
      <c r="J221" s="168"/>
      <c r="K221" s="168"/>
      <c r="L221" s="168"/>
      <c r="M221" s="168"/>
    </row>
    <row r="222" spans="1:13">
      <c r="A222" s="309"/>
      <c r="B222" s="168"/>
      <c r="C222" s="168"/>
      <c r="D222" s="168"/>
      <c r="E222" s="168"/>
      <c r="F222" s="168"/>
      <c r="G222" s="168"/>
      <c r="H222" s="168"/>
      <c r="I222" s="168"/>
      <c r="J222" s="168"/>
      <c r="K222" s="168"/>
      <c r="L222" s="168"/>
      <c r="M222" s="168"/>
    </row>
    <row r="223" spans="1:13">
      <c r="A223" s="309"/>
      <c r="B223" s="168"/>
      <c r="C223" s="168"/>
      <c r="D223" s="168"/>
      <c r="E223" s="168"/>
      <c r="F223" s="168"/>
      <c r="G223" s="168"/>
      <c r="H223" s="168"/>
      <c r="I223" s="168"/>
      <c r="J223" s="168"/>
      <c r="K223" s="168"/>
      <c r="L223" s="168"/>
      <c r="M223" s="168"/>
    </row>
    <row r="224" spans="1:13">
      <c r="A224" s="309"/>
      <c r="B224" s="168"/>
      <c r="C224" s="168"/>
      <c r="D224" s="168"/>
      <c r="E224" s="168"/>
      <c r="F224" s="168"/>
      <c r="G224" s="168"/>
      <c r="H224" s="168"/>
      <c r="I224" s="168"/>
      <c r="J224" s="168"/>
      <c r="K224" s="168"/>
      <c r="L224" s="168"/>
      <c r="M224" s="168"/>
    </row>
    <row r="225" spans="1:13">
      <c r="A225" s="309"/>
      <c r="B225" s="168"/>
      <c r="C225" s="168"/>
      <c r="D225" s="168"/>
      <c r="E225" s="168"/>
      <c r="F225" s="168"/>
      <c r="G225" s="168"/>
      <c r="H225" s="168"/>
      <c r="I225" s="168"/>
      <c r="J225" s="168"/>
      <c r="K225" s="168"/>
      <c r="L225" s="168"/>
      <c r="M225" s="168"/>
    </row>
    <row r="226" spans="1:13">
      <c r="A226" s="309"/>
      <c r="B226" s="168"/>
      <c r="C226" s="168"/>
      <c r="D226" s="168"/>
      <c r="E226" s="168"/>
      <c r="F226" s="168"/>
      <c r="G226" s="168"/>
      <c r="H226" s="168"/>
      <c r="I226" s="168"/>
      <c r="J226" s="168"/>
      <c r="K226" s="168"/>
      <c r="L226" s="168"/>
      <c r="M226" s="168"/>
    </row>
    <row r="227" spans="1:13">
      <c r="A227" s="309"/>
      <c r="B227" s="168"/>
      <c r="C227" s="168"/>
      <c r="D227" s="168"/>
      <c r="E227" s="168"/>
      <c r="F227" s="168"/>
      <c r="G227" s="168"/>
      <c r="H227" s="168"/>
      <c r="I227" s="168"/>
      <c r="J227" s="168"/>
      <c r="K227" s="168"/>
      <c r="L227" s="168"/>
      <c r="M227" s="168"/>
    </row>
    <row r="228" spans="1:13">
      <c r="A228" s="309"/>
      <c r="B228" s="168"/>
      <c r="C228" s="168"/>
      <c r="D228" s="168"/>
      <c r="E228" s="168"/>
      <c r="F228" s="168"/>
      <c r="G228" s="168"/>
      <c r="H228" s="168"/>
      <c r="I228" s="168"/>
      <c r="J228" s="168"/>
      <c r="K228" s="168"/>
      <c r="L228" s="168"/>
      <c r="M228" s="168"/>
    </row>
    <row r="229" spans="1:13">
      <c r="A229" s="309"/>
      <c r="B229" s="168"/>
      <c r="C229" s="168"/>
      <c r="D229" s="168"/>
      <c r="E229" s="168"/>
      <c r="F229" s="168"/>
      <c r="G229" s="168"/>
      <c r="H229" s="168"/>
      <c r="I229" s="168"/>
      <c r="J229" s="168"/>
      <c r="K229" s="168"/>
      <c r="L229" s="168"/>
      <c r="M229" s="168"/>
    </row>
    <row r="230" spans="1:13">
      <c r="A230" s="309"/>
      <c r="B230" s="168"/>
      <c r="C230" s="168"/>
      <c r="D230" s="168"/>
      <c r="E230" s="168"/>
      <c r="F230" s="168"/>
      <c r="G230" s="168"/>
      <c r="H230" s="168"/>
      <c r="I230" s="168"/>
      <c r="J230" s="168"/>
      <c r="K230" s="168"/>
      <c r="L230" s="168"/>
      <c r="M230" s="168"/>
    </row>
    <row r="231" spans="1:13">
      <c r="A231" s="309"/>
      <c r="B231" s="168"/>
      <c r="C231" s="168"/>
      <c r="D231" s="168"/>
      <c r="E231" s="168"/>
      <c r="F231" s="168"/>
      <c r="G231" s="168"/>
      <c r="H231" s="168"/>
      <c r="I231" s="168"/>
      <c r="J231" s="168"/>
      <c r="K231" s="168"/>
      <c r="L231" s="168"/>
      <c r="M231" s="168"/>
    </row>
    <row r="232" spans="1:13">
      <c r="A232" s="309"/>
      <c r="B232" s="168"/>
      <c r="C232" s="168"/>
      <c r="D232" s="168"/>
      <c r="E232" s="168"/>
      <c r="F232" s="168"/>
      <c r="G232" s="168"/>
      <c r="H232" s="168"/>
      <c r="I232" s="168"/>
      <c r="J232" s="168"/>
      <c r="K232" s="168"/>
      <c r="L232" s="168"/>
      <c r="M232" s="168"/>
    </row>
    <row r="233" spans="1:13">
      <c r="A233" s="309"/>
      <c r="B233" s="168"/>
      <c r="C233" s="168"/>
      <c r="D233" s="168"/>
      <c r="E233" s="168"/>
      <c r="F233" s="168"/>
      <c r="G233" s="168"/>
      <c r="H233" s="168"/>
      <c r="I233" s="168"/>
      <c r="J233" s="168"/>
      <c r="K233" s="168"/>
      <c r="L233" s="168"/>
      <c r="M233" s="168"/>
    </row>
    <row r="234" spans="1:13">
      <c r="A234" s="309"/>
      <c r="B234" s="168"/>
      <c r="C234" s="168"/>
      <c r="D234" s="168"/>
      <c r="E234" s="168"/>
      <c r="F234" s="168"/>
      <c r="G234" s="168"/>
      <c r="H234" s="168"/>
      <c r="I234" s="168"/>
      <c r="J234" s="168"/>
      <c r="K234" s="168"/>
      <c r="L234" s="168"/>
      <c r="M234" s="168"/>
    </row>
    <row r="235" spans="1:13">
      <c r="A235" s="309"/>
      <c r="B235" s="168"/>
      <c r="C235" s="168"/>
      <c r="D235" s="168"/>
      <c r="E235" s="168"/>
      <c r="F235" s="168"/>
      <c r="G235" s="168"/>
      <c r="H235" s="168"/>
      <c r="I235" s="168"/>
      <c r="J235" s="168"/>
      <c r="K235" s="168"/>
      <c r="L235" s="168"/>
      <c r="M235" s="168"/>
    </row>
    <row r="236" spans="1:13">
      <c r="A236" s="309"/>
      <c r="B236" s="168"/>
      <c r="C236" s="168"/>
      <c r="D236" s="168"/>
      <c r="E236" s="168"/>
      <c r="F236" s="168"/>
      <c r="G236" s="168"/>
      <c r="H236" s="168"/>
      <c r="I236" s="168"/>
      <c r="J236" s="168"/>
      <c r="K236" s="168"/>
      <c r="L236" s="168"/>
      <c r="M236" s="168"/>
    </row>
    <row r="237" spans="1:13">
      <c r="A237" s="309"/>
      <c r="B237" s="168"/>
      <c r="C237" s="168"/>
      <c r="D237" s="168"/>
      <c r="E237" s="168"/>
      <c r="F237" s="168"/>
      <c r="G237" s="168"/>
      <c r="H237" s="168"/>
      <c r="I237" s="168"/>
      <c r="J237" s="168"/>
      <c r="K237" s="168"/>
      <c r="L237" s="168"/>
      <c r="M237" s="168"/>
    </row>
    <row r="238" spans="1:13">
      <c r="A238" s="309"/>
      <c r="B238" s="168"/>
      <c r="C238" s="168"/>
      <c r="D238" s="168"/>
      <c r="E238" s="168"/>
      <c r="F238" s="168"/>
      <c r="G238" s="168"/>
      <c r="H238" s="168"/>
      <c r="I238" s="168"/>
      <c r="J238" s="168"/>
      <c r="K238" s="168"/>
      <c r="L238" s="168"/>
      <c r="M238" s="168"/>
    </row>
    <row r="239" spans="1:13">
      <c r="A239" s="309"/>
      <c r="B239" s="168"/>
      <c r="C239" s="168"/>
      <c r="D239" s="168"/>
      <c r="E239" s="168"/>
      <c r="F239" s="168"/>
      <c r="G239" s="168"/>
      <c r="H239" s="168"/>
      <c r="I239" s="168"/>
      <c r="J239" s="168"/>
      <c r="K239" s="168"/>
      <c r="L239" s="168"/>
      <c r="M239" s="168"/>
    </row>
    <row r="240" spans="1:13">
      <c r="A240" s="309"/>
      <c r="B240" s="168"/>
      <c r="C240" s="168"/>
      <c r="D240" s="168"/>
      <c r="E240" s="168"/>
      <c r="F240" s="168"/>
      <c r="G240" s="168"/>
      <c r="H240" s="168"/>
      <c r="I240" s="168"/>
      <c r="J240" s="168"/>
      <c r="K240" s="168"/>
      <c r="L240" s="168"/>
      <c r="M240" s="168"/>
    </row>
    <row r="241" spans="1:13">
      <c r="A241" s="309"/>
      <c r="B241" s="168"/>
      <c r="C241" s="168"/>
      <c r="D241" s="168"/>
      <c r="E241" s="168"/>
      <c r="F241" s="168"/>
      <c r="G241" s="168"/>
      <c r="H241" s="168"/>
      <c r="I241" s="168"/>
      <c r="J241" s="168"/>
      <c r="K241" s="168"/>
      <c r="L241" s="168"/>
      <c r="M241" s="168"/>
    </row>
    <row r="242" spans="1:13">
      <c r="A242" s="309"/>
      <c r="B242" s="168"/>
      <c r="C242" s="168"/>
      <c r="D242" s="168"/>
      <c r="E242" s="168"/>
      <c r="F242" s="168"/>
      <c r="G242" s="168"/>
      <c r="H242" s="168"/>
      <c r="I242" s="168"/>
      <c r="J242" s="168"/>
      <c r="K242" s="168"/>
      <c r="L242" s="168"/>
      <c r="M242" s="168"/>
    </row>
    <row r="243" spans="1:13">
      <c r="A243" s="309"/>
      <c r="B243" s="168"/>
      <c r="C243" s="168"/>
      <c r="D243" s="168"/>
      <c r="E243" s="168"/>
      <c r="F243" s="168"/>
      <c r="G243" s="168"/>
      <c r="H243" s="168"/>
      <c r="I243" s="168"/>
      <c r="J243" s="168"/>
      <c r="K243" s="168"/>
      <c r="L243" s="168"/>
      <c r="M243" s="168"/>
    </row>
    <row r="244" spans="1:13">
      <c r="A244" s="309"/>
      <c r="B244" s="168"/>
      <c r="C244" s="168"/>
      <c r="D244" s="168"/>
      <c r="E244" s="168"/>
      <c r="F244" s="168"/>
      <c r="G244" s="168"/>
      <c r="H244" s="168"/>
      <c r="I244" s="168"/>
      <c r="J244" s="168"/>
      <c r="K244" s="168"/>
      <c r="L244" s="168"/>
      <c r="M244" s="168"/>
    </row>
    <row r="245" spans="1:13">
      <c r="A245" s="309"/>
      <c r="B245" s="168"/>
      <c r="C245" s="168"/>
      <c r="D245" s="168"/>
      <c r="E245" s="168"/>
      <c r="F245" s="168"/>
      <c r="G245" s="168"/>
      <c r="H245" s="168"/>
      <c r="I245" s="168"/>
      <c r="J245" s="168"/>
      <c r="K245" s="168"/>
      <c r="L245" s="168"/>
      <c r="M245" s="168"/>
    </row>
    <row r="246" spans="1:13">
      <c r="A246" s="309"/>
      <c r="B246" s="168"/>
      <c r="C246" s="168"/>
      <c r="D246" s="168"/>
      <c r="E246" s="168"/>
      <c r="F246" s="168"/>
      <c r="G246" s="168"/>
      <c r="H246" s="168"/>
      <c r="I246" s="168"/>
      <c r="J246" s="168"/>
      <c r="K246" s="168"/>
      <c r="L246" s="168"/>
      <c r="M246" s="168"/>
    </row>
    <row r="247" spans="1:13">
      <c r="A247" s="309"/>
      <c r="B247" s="168"/>
      <c r="C247" s="168"/>
      <c r="D247" s="168"/>
      <c r="E247" s="168"/>
      <c r="F247" s="168"/>
      <c r="G247" s="168"/>
      <c r="H247" s="168"/>
      <c r="I247" s="168"/>
      <c r="J247" s="168"/>
      <c r="K247" s="168"/>
      <c r="L247" s="168"/>
      <c r="M247" s="168"/>
    </row>
    <row r="248" spans="1:13">
      <c r="A248" s="309"/>
      <c r="B248" s="168"/>
      <c r="C248" s="168"/>
      <c r="D248" s="168"/>
      <c r="E248" s="168"/>
      <c r="F248" s="168"/>
      <c r="G248" s="168"/>
      <c r="H248" s="168"/>
      <c r="I248" s="168"/>
      <c r="J248" s="168"/>
      <c r="K248" s="168"/>
      <c r="L248" s="168"/>
      <c r="M248" s="168"/>
    </row>
    <row r="249" spans="1:13">
      <c r="A249" s="309"/>
      <c r="B249" s="168"/>
      <c r="C249" s="168"/>
      <c r="D249" s="168"/>
      <c r="E249" s="168"/>
      <c r="F249" s="168"/>
      <c r="G249" s="168"/>
      <c r="H249" s="168"/>
      <c r="I249" s="168"/>
      <c r="J249" s="168"/>
      <c r="K249" s="168"/>
      <c r="L249" s="168"/>
      <c r="M249" s="168"/>
    </row>
    <row r="250" spans="1:13">
      <c r="A250" s="309"/>
      <c r="B250" s="168"/>
      <c r="C250" s="168"/>
      <c r="D250" s="168"/>
      <c r="E250" s="168"/>
      <c r="F250" s="168"/>
      <c r="G250" s="168"/>
      <c r="H250" s="168"/>
      <c r="I250" s="168"/>
      <c r="J250" s="168"/>
      <c r="K250" s="168"/>
      <c r="L250" s="168"/>
      <c r="M250" s="168"/>
    </row>
    <row r="251" spans="1:13">
      <c r="A251" s="309"/>
      <c r="B251" s="168"/>
      <c r="C251" s="168"/>
      <c r="D251" s="168"/>
      <c r="E251" s="168"/>
      <c r="F251" s="168"/>
      <c r="G251" s="168"/>
      <c r="H251" s="168"/>
      <c r="I251" s="168"/>
      <c r="J251" s="168"/>
      <c r="K251" s="168"/>
      <c r="L251" s="168"/>
      <c r="M251" s="168"/>
    </row>
    <row r="252" spans="1:13">
      <c r="A252" s="309"/>
      <c r="B252" s="168"/>
      <c r="C252" s="168"/>
      <c r="D252" s="168"/>
      <c r="E252" s="168"/>
      <c r="F252" s="168"/>
      <c r="G252" s="168"/>
      <c r="H252" s="168"/>
      <c r="I252" s="168"/>
      <c r="J252" s="168"/>
      <c r="K252" s="168"/>
      <c r="L252" s="168"/>
      <c r="M252" s="168"/>
    </row>
    <row r="253" spans="1:13">
      <c r="A253" s="309"/>
      <c r="B253" s="168"/>
      <c r="C253" s="168"/>
      <c r="D253" s="168"/>
      <c r="E253" s="168"/>
      <c r="F253" s="168"/>
      <c r="G253" s="168"/>
      <c r="H253" s="168"/>
      <c r="I253" s="168"/>
      <c r="J253" s="168"/>
      <c r="K253" s="168"/>
      <c r="L253" s="168"/>
      <c r="M253" s="168"/>
    </row>
    <row r="254" spans="1:13">
      <c r="A254" s="309"/>
      <c r="B254" s="168"/>
      <c r="C254" s="168"/>
      <c r="D254" s="168"/>
      <c r="E254" s="168"/>
      <c r="F254" s="168"/>
      <c r="G254" s="168"/>
      <c r="H254" s="168"/>
      <c r="I254" s="168"/>
      <c r="J254" s="168"/>
      <c r="K254" s="168"/>
      <c r="L254" s="168"/>
      <c r="M254" s="168"/>
    </row>
    <row r="255" spans="1:13">
      <c r="A255" s="309"/>
      <c r="B255" s="168"/>
      <c r="C255" s="168"/>
      <c r="D255" s="168"/>
      <c r="E255" s="168"/>
      <c r="F255" s="168"/>
      <c r="G255" s="168"/>
      <c r="H255" s="168"/>
      <c r="I255" s="168"/>
      <c r="J255" s="168"/>
      <c r="K255" s="168"/>
      <c r="L255" s="168"/>
      <c r="M255" s="168"/>
    </row>
    <row r="256" spans="1:13">
      <c r="A256" s="309"/>
      <c r="B256" s="168"/>
      <c r="C256" s="168"/>
      <c r="D256" s="168"/>
      <c r="E256" s="168"/>
      <c r="F256" s="168"/>
      <c r="G256" s="168"/>
      <c r="H256" s="168"/>
      <c r="I256" s="168"/>
      <c r="J256" s="168"/>
      <c r="K256" s="168"/>
      <c r="L256" s="168"/>
      <c r="M256" s="168"/>
    </row>
    <row r="257" spans="1:13">
      <c r="A257" s="309"/>
      <c r="B257" s="168"/>
      <c r="C257" s="168"/>
      <c r="D257" s="168"/>
      <c r="E257" s="168"/>
      <c r="F257" s="168"/>
      <c r="G257" s="168"/>
      <c r="H257" s="168"/>
      <c r="I257" s="168"/>
      <c r="J257" s="168"/>
      <c r="K257" s="168"/>
      <c r="L257" s="168"/>
      <c r="M257" s="168"/>
    </row>
    <row r="258" spans="1:13">
      <c r="A258" s="309"/>
      <c r="B258" s="168"/>
      <c r="C258" s="168"/>
      <c r="D258" s="168"/>
      <c r="E258" s="168"/>
      <c r="F258" s="168"/>
      <c r="G258" s="168"/>
      <c r="H258" s="168"/>
      <c r="I258" s="168"/>
      <c r="J258" s="168"/>
      <c r="K258" s="168"/>
      <c r="L258" s="168"/>
      <c r="M258" s="168"/>
    </row>
    <row r="259" spans="1:13">
      <c r="A259" s="309"/>
      <c r="B259" s="168"/>
      <c r="C259" s="168"/>
      <c r="D259" s="168"/>
      <c r="E259" s="168"/>
      <c r="F259" s="168"/>
      <c r="G259" s="168"/>
      <c r="H259" s="168"/>
      <c r="I259" s="168"/>
      <c r="J259" s="168"/>
      <c r="K259" s="168"/>
      <c r="L259" s="168"/>
      <c r="M259" s="168"/>
    </row>
    <row r="260" spans="1:13">
      <c r="A260" s="309"/>
      <c r="B260" s="168"/>
      <c r="C260" s="168"/>
      <c r="D260" s="168"/>
      <c r="E260" s="168"/>
      <c r="F260" s="168"/>
      <c r="G260" s="168"/>
      <c r="H260" s="168"/>
      <c r="I260" s="168"/>
      <c r="J260" s="168"/>
      <c r="K260" s="168"/>
      <c r="L260" s="168"/>
      <c r="M260" s="168"/>
    </row>
    <row r="261" spans="1:13">
      <c r="A261" s="309"/>
      <c r="B261" s="168"/>
      <c r="C261" s="168"/>
      <c r="D261" s="168"/>
      <c r="E261" s="168"/>
      <c r="F261" s="168"/>
      <c r="G261" s="168"/>
      <c r="H261" s="168"/>
      <c r="I261" s="168"/>
      <c r="J261" s="168"/>
      <c r="K261" s="168"/>
      <c r="L261" s="168"/>
      <c r="M261" s="168"/>
    </row>
    <row r="262" spans="1:13">
      <c r="A262" s="309"/>
      <c r="B262" s="168"/>
      <c r="C262" s="168"/>
      <c r="D262" s="168"/>
      <c r="E262" s="168"/>
      <c r="F262" s="168"/>
      <c r="G262" s="168"/>
      <c r="H262" s="168"/>
      <c r="I262" s="168"/>
      <c r="J262" s="168"/>
      <c r="K262" s="168"/>
      <c r="L262" s="168"/>
      <c r="M262" s="168"/>
    </row>
    <row r="263" spans="1:13">
      <c r="A263" s="309"/>
      <c r="B263" s="168"/>
      <c r="C263" s="168"/>
      <c r="D263" s="168"/>
      <c r="E263" s="168"/>
      <c r="F263" s="168"/>
      <c r="G263" s="168"/>
      <c r="H263" s="168"/>
      <c r="I263" s="168"/>
      <c r="J263" s="168"/>
      <c r="K263" s="168"/>
      <c r="L263" s="168"/>
      <c r="M263" s="168"/>
    </row>
    <row r="264" spans="1:13">
      <c r="A264" s="309"/>
      <c r="B264" s="168"/>
      <c r="C264" s="168"/>
      <c r="D264" s="168"/>
      <c r="E264" s="168"/>
      <c r="F264" s="168"/>
      <c r="G264" s="168"/>
      <c r="H264" s="168"/>
      <c r="I264" s="168"/>
      <c r="J264" s="168"/>
      <c r="K264" s="168"/>
      <c r="L264" s="168"/>
      <c r="M264" s="168"/>
    </row>
    <row r="265" spans="1:13">
      <c r="A265" s="309"/>
      <c r="B265" s="168"/>
      <c r="C265" s="168"/>
      <c r="D265" s="168"/>
      <c r="E265" s="168"/>
      <c r="F265" s="168"/>
      <c r="G265" s="168"/>
      <c r="H265" s="168"/>
      <c r="I265" s="168"/>
      <c r="J265" s="168"/>
      <c r="K265" s="168"/>
      <c r="L265" s="168"/>
      <c r="M265" s="168"/>
    </row>
    <row r="266" spans="1:13">
      <c r="A266" s="309"/>
      <c r="B266" s="168"/>
      <c r="C266" s="168"/>
      <c r="D266" s="168"/>
      <c r="E266" s="168"/>
      <c r="F266" s="168"/>
      <c r="G266" s="168"/>
      <c r="H266" s="168"/>
      <c r="I266" s="168"/>
      <c r="J266" s="168"/>
      <c r="K266" s="168"/>
      <c r="L266" s="168"/>
      <c r="M266" s="168"/>
    </row>
    <row r="267" spans="1:13">
      <c r="A267" s="309"/>
      <c r="B267" s="168"/>
      <c r="C267" s="168"/>
      <c r="D267" s="168"/>
      <c r="E267" s="168"/>
      <c r="F267" s="168"/>
      <c r="G267" s="168"/>
      <c r="H267" s="168"/>
      <c r="I267" s="168"/>
      <c r="J267" s="168"/>
      <c r="K267" s="168"/>
      <c r="L267" s="168"/>
      <c r="M267" s="168"/>
    </row>
    <row r="268" spans="1:13">
      <c r="A268" s="309"/>
      <c r="B268" s="168"/>
      <c r="C268" s="168"/>
      <c r="D268" s="168"/>
      <c r="E268" s="168"/>
      <c r="F268" s="168"/>
      <c r="G268" s="168"/>
      <c r="H268" s="168"/>
      <c r="I268" s="168"/>
      <c r="J268" s="168"/>
      <c r="K268" s="168"/>
      <c r="L268" s="168"/>
      <c r="M268" s="168"/>
    </row>
    <row r="269" spans="1:13">
      <c r="A269" s="309"/>
      <c r="B269" s="168"/>
      <c r="C269" s="168"/>
      <c r="D269" s="168"/>
      <c r="E269" s="168"/>
      <c r="F269" s="168"/>
      <c r="G269" s="168"/>
      <c r="H269" s="168"/>
      <c r="I269" s="168"/>
      <c r="J269" s="168"/>
      <c r="K269" s="168"/>
      <c r="L269" s="168"/>
      <c r="M269" s="168"/>
    </row>
    <row r="270" spans="1:13">
      <c r="A270" s="309"/>
      <c r="B270" s="168"/>
      <c r="C270" s="168"/>
      <c r="D270" s="168"/>
      <c r="E270" s="168"/>
      <c r="F270" s="168"/>
      <c r="G270" s="168"/>
      <c r="H270" s="168"/>
      <c r="I270" s="168"/>
      <c r="J270" s="168"/>
      <c r="K270" s="168"/>
      <c r="L270" s="168"/>
      <c r="M270" s="168"/>
    </row>
    <row r="271" spans="1:13">
      <c r="A271" s="309"/>
      <c r="B271" s="168"/>
      <c r="C271" s="168"/>
      <c r="D271" s="168"/>
      <c r="E271" s="168"/>
      <c r="F271" s="168"/>
      <c r="G271" s="168"/>
      <c r="H271" s="168"/>
      <c r="I271" s="168"/>
      <c r="J271" s="168"/>
      <c r="K271" s="168"/>
      <c r="L271" s="168"/>
      <c r="M271" s="168"/>
    </row>
    <row r="272" spans="1:13">
      <c r="A272" s="309"/>
      <c r="B272" s="168"/>
      <c r="C272" s="168"/>
      <c r="D272" s="168"/>
      <c r="E272" s="168"/>
      <c r="F272" s="168"/>
      <c r="G272" s="168"/>
      <c r="H272" s="168"/>
      <c r="I272" s="168"/>
      <c r="J272" s="168"/>
      <c r="K272" s="168"/>
      <c r="L272" s="168"/>
      <c r="M272" s="168"/>
    </row>
    <row r="273" spans="1:13">
      <c r="A273" s="309"/>
      <c r="B273" s="168"/>
      <c r="C273" s="168"/>
      <c r="D273" s="168"/>
      <c r="E273" s="168"/>
      <c r="F273" s="168"/>
      <c r="G273" s="168"/>
      <c r="H273" s="168"/>
      <c r="I273" s="168"/>
      <c r="J273" s="168"/>
      <c r="K273" s="168"/>
      <c r="L273" s="168"/>
      <c r="M273" s="168"/>
    </row>
    <row r="274" spans="1:13">
      <c r="A274" s="309"/>
      <c r="B274" s="168"/>
      <c r="C274" s="168"/>
      <c r="D274" s="168"/>
      <c r="E274" s="168"/>
      <c r="F274" s="168"/>
      <c r="G274" s="168"/>
      <c r="H274" s="168"/>
      <c r="I274" s="168"/>
      <c r="J274" s="168"/>
      <c r="K274" s="168"/>
      <c r="L274" s="168"/>
      <c r="M274" s="168"/>
    </row>
    <row r="275" spans="1:13">
      <c r="A275" s="309"/>
      <c r="B275" s="168"/>
      <c r="C275" s="168"/>
      <c r="D275" s="168"/>
      <c r="E275" s="168"/>
      <c r="F275" s="168"/>
      <c r="G275" s="168"/>
      <c r="H275" s="168"/>
      <c r="I275" s="168"/>
      <c r="J275" s="168"/>
      <c r="K275" s="168"/>
      <c r="L275" s="168"/>
      <c r="M275" s="168"/>
    </row>
    <row r="276" spans="1:13">
      <c r="A276" s="309"/>
      <c r="B276" s="168"/>
      <c r="C276" s="168"/>
      <c r="D276" s="168"/>
      <c r="E276" s="168"/>
      <c r="F276" s="168"/>
      <c r="G276" s="168"/>
      <c r="H276" s="168"/>
      <c r="I276" s="168"/>
      <c r="J276" s="168"/>
      <c r="K276" s="168"/>
      <c r="L276" s="168"/>
      <c r="M276" s="168"/>
    </row>
    <row r="277" spans="1:13">
      <c r="A277" s="309"/>
      <c r="B277" s="168"/>
      <c r="C277" s="168"/>
      <c r="D277" s="168"/>
      <c r="E277" s="168"/>
      <c r="F277" s="168"/>
      <c r="G277" s="168"/>
      <c r="H277" s="168"/>
      <c r="I277" s="168"/>
      <c r="J277" s="168"/>
      <c r="K277" s="168"/>
      <c r="L277" s="168"/>
      <c r="M277" s="168"/>
    </row>
    <row r="278" spans="1:13">
      <c r="A278" s="309"/>
      <c r="B278" s="168"/>
      <c r="C278" s="168"/>
      <c r="D278" s="168"/>
      <c r="E278" s="168"/>
      <c r="F278" s="168"/>
      <c r="G278" s="168"/>
      <c r="H278" s="168"/>
      <c r="I278" s="168"/>
      <c r="J278" s="168"/>
      <c r="K278" s="168"/>
      <c r="L278" s="168"/>
      <c r="M278" s="168"/>
    </row>
    <row r="279" spans="1:13">
      <c r="A279" s="309"/>
      <c r="B279" s="168"/>
      <c r="C279" s="168"/>
      <c r="D279" s="168"/>
      <c r="E279" s="168"/>
      <c r="F279" s="168"/>
      <c r="G279" s="168"/>
      <c r="H279" s="168"/>
      <c r="I279" s="168"/>
      <c r="J279" s="168"/>
      <c r="K279" s="168"/>
      <c r="L279" s="168"/>
      <c r="M279" s="168"/>
    </row>
    <row r="280" spans="1:13">
      <c r="A280" s="309"/>
      <c r="B280" s="168"/>
      <c r="C280" s="168"/>
      <c r="D280" s="168"/>
      <c r="E280" s="168"/>
      <c r="F280" s="168"/>
      <c r="G280" s="168"/>
      <c r="H280" s="168"/>
      <c r="I280" s="168"/>
      <c r="J280" s="168"/>
      <c r="K280" s="168"/>
      <c r="L280" s="168"/>
      <c r="M280" s="168"/>
    </row>
    <row r="281" spans="1:13">
      <c r="A281" s="309"/>
      <c r="B281" s="168"/>
      <c r="C281" s="168"/>
      <c r="D281" s="168"/>
      <c r="E281" s="168"/>
      <c r="F281" s="168"/>
      <c r="G281" s="168"/>
      <c r="H281" s="168"/>
      <c r="I281" s="168"/>
      <c r="J281" s="168"/>
      <c r="K281" s="168"/>
      <c r="L281" s="168"/>
      <c r="M281" s="168"/>
    </row>
    <row r="282" spans="1:13">
      <c r="A282" s="309"/>
      <c r="B282" s="168"/>
      <c r="C282" s="168"/>
      <c r="D282" s="168"/>
      <c r="E282" s="168"/>
      <c r="F282" s="168"/>
      <c r="G282" s="168"/>
      <c r="H282" s="168"/>
      <c r="I282" s="168"/>
      <c r="J282" s="168"/>
      <c r="K282" s="168"/>
      <c r="L282" s="168"/>
      <c r="M282" s="168"/>
    </row>
    <row r="283" spans="1:13">
      <c r="A283" s="309"/>
      <c r="B283" s="168"/>
      <c r="C283" s="168"/>
      <c r="D283" s="168"/>
      <c r="E283" s="168"/>
      <c r="F283" s="168"/>
      <c r="G283" s="168"/>
      <c r="H283" s="168"/>
      <c r="I283" s="168"/>
      <c r="J283" s="168"/>
      <c r="K283" s="168"/>
      <c r="L283" s="168"/>
      <c r="M283" s="168"/>
    </row>
    <row r="284" spans="1:13">
      <c r="A284" s="309"/>
      <c r="B284" s="168"/>
      <c r="C284" s="168"/>
      <c r="D284" s="168"/>
      <c r="E284" s="168"/>
      <c r="F284" s="168"/>
      <c r="G284" s="168"/>
      <c r="H284" s="168"/>
      <c r="I284" s="168"/>
      <c r="J284" s="168"/>
      <c r="K284" s="168"/>
      <c r="L284" s="168"/>
      <c r="M284" s="168"/>
    </row>
    <row r="285" spans="1:13">
      <c r="A285" s="309"/>
      <c r="B285" s="168"/>
      <c r="C285" s="168"/>
      <c r="D285" s="168"/>
      <c r="E285" s="168"/>
      <c r="F285" s="168"/>
      <c r="G285" s="168"/>
      <c r="H285" s="168"/>
      <c r="I285" s="168"/>
      <c r="J285" s="168"/>
      <c r="K285" s="168"/>
      <c r="L285" s="168"/>
      <c r="M285" s="168"/>
    </row>
    <row r="286" spans="1:13">
      <c r="A286" s="309"/>
      <c r="B286" s="168"/>
      <c r="C286" s="168"/>
      <c r="D286" s="168"/>
      <c r="E286" s="168"/>
      <c r="F286" s="168"/>
      <c r="G286" s="168"/>
      <c r="H286" s="168"/>
      <c r="I286" s="168"/>
      <c r="J286" s="168"/>
      <c r="K286" s="168"/>
      <c r="L286" s="168"/>
      <c r="M286" s="168"/>
    </row>
    <row r="287" spans="1:13">
      <c r="A287" s="309"/>
      <c r="B287" s="168"/>
      <c r="C287" s="168"/>
      <c r="D287" s="168"/>
      <c r="E287" s="168"/>
      <c r="F287" s="168"/>
      <c r="G287" s="168"/>
      <c r="H287" s="168"/>
      <c r="I287" s="168"/>
      <c r="J287" s="168"/>
      <c r="K287" s="168"/>
      <c r="L287" s="168"/>
      <c r="M287" s="168"/>
    </row>
    <row r="288" spans="1:13">
      <c r="A288" s="309"/>
      <c r="B288" s="168"/>
      <c r="C288" s="168"/>
      <c r="D288" s="168"/>
      <c r="E288" s="168"/>
      <c r="F288" s="168"/>
      <c r="G288" s="168"/>
      <c r="H288" s="168"/>
      <c r="I288" s="168"/>
      <c r="J288" s="168"/>
      <c r="K288" s="168"/>
      <c r="L288" s="168"/>
      <c r="M288" s="168"/>
    </row>
    <row r="289" spans="1:13">
      <c r="A289" s="309"/>
      <c r="B289" s="168"/>
      <c r="C289" s="168"/>
      <c r="D289" s="168"/>
      <c r="E289" s="168"/>
      <c r="F289" s="168"/>
      <c r="G289" s="168"/>
      <c r="H289" s="168"/>
      <c r="I289" s="168"/>
      <c r="J289" s="168"/>
      <c r="K289" s="168"/>
      <c r="L289" s="168"/>
      <c r="M289" s="168"/>
    </row>
    <row r="290" spans="1:13">
      <c r="A290" s="309"/>
      <c r="B290" s="168"/>
      <c r="C290" s="168"/>
      <c r="D290" s="168"/>
      <c r="E290" s="168"/>
      <c r="F290" s="168"/>
      <c r="G290" s="168"/>
      <c r="H290" s="168"/>
      <c r="I290" s="168"/>
      <c r="J290" s="168"/>
      <c r="K290" s="168"/>
      <c r="L290" s="168"/>
      <c r="M290" s="168"/>
    </row>
    <row r="291" spans="1:13">
      <c r="A291" s="309"/>
      <c r="B291" s="168"/>
      <c r="C291" s="168"/>
      <c r="D291" s="168"/>
      <c r="E291" s="168"/>
      <c r="F291" s="168"/>
      <c r="G291" s="168"/>
      <c r="H291" s="168"/>
      <c r="I291" s="168"/>
      <c r="J291" s="168"/>
      <c r="K291" s="168"/>
      <c r="L291" s="168"/>
      <c r="M291" s="168"/>
    </row>
    <row r="292" spans="1:13">
      <c r="A292" s="309"/>
      <c r="B292" s="168"/>
      <c r="C292" s="168"/>
      <c r="D292" s="168"/>
      <c r="E292" s="168"/>
      <c r="F292" s="168"/>
      <c r="G292" s="168"/>
      <c r="H292" s="168"/>
      <c r="I292" s="168"/>
      <c r="J292" s="168"/>
      <c r="K292" s="168"/>
      <c r="L292" s="168"/>
      <c r="M292" s="168"/>
    </row>
    <row r="293" spans="1:13">
      <c r="A293" s="309"/>
      <c r="B293" s="168"/>
      <c r="C293" s="168"/>
      <c r="D293" s="168"/>
      <c r="E293" s="168"/>
      <c r="F293" s="168"/>
      <c r="G293" s="168"/>
      <c r="H293" s="168"/>
      <c r="I293" s="168"/>
      <c r="J293" s="168"/>
      <c r="K293" s="168"/>
      <c r="L293" s="168"/>
      <c r="M293" s="168"/>
    </row>
    <row r="294" spans="1:13">
      <c r="A294" s="309"/>
      <c r="B294" s="168"/>
      <c r="C294" s="168"/>
      <c r="D294" s="168"/>
      <c r="E294" s="168"/>
      <c r="F294" s="168"/>
      <c r="G294" s="168"/>
      <c r="H294" s="168"/>
      <c r="I294" s="168"/>
      <c r="J294" s="168"/>
      <c r="K294" s="168"/>
      <c r="L294" s="168"/>
      <c r="M294" s="168"/>
    </row>
    <row r="295" spans="1:13">
      <c r="A295" s="309"/>
      <c r="B295" s="168"/>
      <c r="C295" s="168"/>
      <c r="D295" s="168"/>
      <c r="E295" s="168"/>
      <c r="F295" s="168"/>
      <c r="G295" s="168"/>
      <c r="H295" s="168"/>
      <c r="I295" s="168"/>
      <c r="J295" s="168"/>
      <c r="K295" s="168"/>
      <c r="L295" s="168"/>
      <c r="M295" s="168"/>
    </row>
    <row r="296" spans="1:13">
      <c r="A296" s="309"/>
      <c r="B296" s="168"/>
      <c r="C296" s="168"/>
      <c r="D296" s="168"/>
      <c r="E296" s="168"/>
      <c r="F296" s="168"/>
      <c r="G296" s="168"/>
      <c r="H296" s="168"/>
      <c r="I296" s="168"/>
      <c r="J296" s="168"/>
      <c r="K296" s="168"/>
      <c r="L296" s="168"/>
      <c r="M296" s="168"/>
    </row>
    <row r="297" spans="1:13">
      <c r="A297" s="309"/>
      <c r="B297" s="168"/>
      <c r="C297" s="168"/>
      <c r="D297" s="168"/>
      <c r="E297" s="168"/>
      <c r="F297" s="168"/>
      <c r="G297" s="168"/>
      <c r="H297" s="168"/>
      <c r="I297" s="168"/>
      <c r="J297" s="168"/>
      <c r="K297" s="168"/>
      <c r="L297" s="168"/>
      <c r="M297" s="168"/>
    </row>
    <row r="298" spans="1:13">
      <c r="A298" s="309"/>
      <c r="B298" s="168"/>
      <c r="C298" s="168"/>
      <c r="D298" s="168"/>
      <c r="E298" s="168"/>
      <c r="F298" s="168"/>
      <c r="G298" s="168"/>
      <c r="H298" s="168"/>
      <c r="I298" s="168"/>
      <c r="J298" s="168"/>
      <c r="K298" s="168"/>
      <c r="L298" s="168"/>
      <c r="M298" s="168"/>
    </row>
    <row r="299" spans="1:13">
      <c r="A299" s="309"/>
      <c r="B299" s="168"/>
      <c r="C299" s="168"/>
      <c r="D299" s="168"/>
      <c r="E299" s="168"/>
      <c r="F299" s="168"/>
      <c r="G299" s="168"/>
      <c r="H299" s="168"/>
      <c r="I299" s="168"/>
      <c r="J299" s="168"/>
      <c r="K299" s="168"/>
      <c r="L299" s="168"/>
      <c r="M299" s="168"/>
    </row>
    <row r="300" spans="1:13">
      <c r="A300" s="309"/>
      <c r="B300" s="168"/>
      <c r="C300" s="168"/>
      <c r="D300" s="168"/>
      <c r="E300" s="168"/>
      <c r="F300" s="168"/>
      <c r="G300" s="168"/>
      <c r="H300" s="168"/>
      <c r="I300" s="168"/>
      <c r="J300" s="168"/>
      <c r="K300" s="168"/>
      <c r="L300" s="168"/>
      <c r="M300" s="168"/>
    </row>
    <row r="301" spans="1:13">
      <c r="A301" s="309"/>
      <c r="B301" s="168"/>
      <c r="C301" s="168"/>
      <c r="D301" s="168"/>
      <c r="E301" s="168"/>
      <c r="F301" s="168"/>
      <c r="G301" s="168"/>
      <c r="H301" s="168"/>
      <c r="I301" s="168"/>
      <c r="J301" s="168"/>
      <c r="K301" s="168"/>
      <c r="L301" s="168"/>
      <c r="M301" s="168"/>
    </row>
    <row r="302" spans="1:13">
      <c r="A302" s="309"/>
      <c r="B302" s="168"/>
      <c r="C302" s="168"/>
      <c r="D302" s="168"/>
      <c r="E302" s="168"/>
      <c r="F302" s="168"/>
      <c r="G302" s="168"/>
      <c r="H302" s="168"/>
      <c r="I302" s="168"/>
      <c r="J302" s="168"/>
      <c r="K302" s="168"/>
      <c r="L302" s="168"/>
      <c r="M302" s="168"/>
    </row>
    <row r="303" spans="1:13">
      <c r="A303" s="309"/>
      <c r="B303" s="168"/>
      <c r="C303" s="168"/>
      <c r="D303" s="168"/>
      <c r="E303" s="168"/>
      <c r="F303" s="168"/>
      <c r="G303" s="168"/>
      <c r="H303" s="168"/>
      <c r="I303" s="168"/>
      <c r="J303" s="168"/>
      <c r="K303" s="168"/>
      <c r="L303" s="168"/>
      <c r="M303" s="168"/>
    </row>
    <row r="304" spans="1:13">
      <c r="A304" s="309"/>
      <c r="B304" s="168"/>
      <c r="C304" s="168"/>
      <c r="D304" s="168"/>
      <c r="E304" s="168"/>
      <c r="F304" s="168"/>
      <c r="G304" s="168"/>
      <c r="H304" s="168"/>
      <c r="I304" s="168"/>
      <c r="J304" s="168"/>
      <c r="K304" s="168"/>
      <c r="L304" s="168"/>
      <c r="M304" s="168"/>
    </row>
    <row r="305" spans="1:13">
      <c r="A305" s="309"/>
      <c r="B305" s="168"/>
      <c r="C305" s="168"/>
      <c r="D305" s="168"/>
      <c r="E305" s="168"/>
      <c r="F305" s="168"/>
      <c r="G305" s="168"/>
      <c r="H305" s="168"/>
      <c r="I305" s="168"/>
      <c r="J305" s="168"/>
      <c r="K305" s="168"/>
      <c r="L305" s="168"/>
      <c r="M305" s="168"/>
    </row>
    <row r="306" spans="1:13">
      <c r="A306" s="309"/>
      <c r="B306" s="168"/>
      <c r="C306" s="168"/>
      <c r="D306" s="168"/>
      <c r="E306" s="168"/>
      <c r="F306" s="168"/>
      <c r="G306" s="168"/>
      <c r="H306" s="168"/>
      <c r="I306" s="168"/>
      <c r="J306" s="168"/>
      <c r="K306" s="168"/>
      <c r="L306" s="168"/>
      <c r="M306" s="168"/>
    </row>
    <row r="307" spans="1:13">
      <c r="A307" s="309"/>
      <c r="B307" s="168"/>
      <c r="C307" s="168"/>
      <c r="D307" s="168"/>
      <c r="E307" s="168"/>
      <c r="F307" s="168"/>
      <c r="G307" s="168"/>
      <c r="H307" s="168"/>
      <c r="I307" s="168"/>
      <c r="J307" s="168"/>
      <c r="K307" s="168"/>
      <c r="L307" s="168"/>
      <c r="M307" s="168"/>
    </row>
    <row r="308" spans="1:13">
      <c r="A308" s="309"/>
      <c r="B308" s="168"/>
      <c r="C308" s="168"/>
      <c r="D308" s="168"/>
      <c r="E308" s="168"/>
      <c r="F308" s="168"/>
      <c r="G308" s="168"/>
      <c r="H308" s="168"/>
      <c r="I308" s="168"/>
      <c r="J308" s="168"/>
      <c r="K308" s="168"/>
      <c r="L308" s="168"/>
      <c r="M308" s="168"/>
    </row>
    <row r="309" spans="1:13">
      <c r="A309" s="309"/>
      <c r="B309" s="168"/>
      <c r="C309" s="168"/>
      <c r="D309" s="168"/>
      <c r="E309" s="168"/>
      <c r="F309" s="168"/>
      <c r="G309" s="168"/>
      <c r="H309" s="168"/>
      <c r="I309" s="168"/>
      <c r="J309" s="168"/>
      <c r="K309" s="168"/>
      <c r="L309" s="168"/>
      <c r="M309" s="168"/>
    </row>
    <row r="310" spans="1:13">
      <c r="A310" s="309"/>
      <c r="B310" s="168"/>
      <c r="C310" s="168"/>
      <c r="D310" s="168"/>
      <c r="E310" s="168"/>
      <c r="F310" s="168"/>
      <c r="G310" s="168"/>
      <c r="H310" s="168"/>
      <c r="I310" s="168"/>
      <c r="J310" s="168"/>
      <c r="K310" s="168"/>
      <c r="L310" s="168"/>
      <c r="M310" s="168"/>
    </row>
    <row r="311" spans="1:13">
      <c r="A311" s="309"/>
      <c r="B311" s="168"/>
      <c r="C311" s="168"/>
      <c r="D311" s="168"/>
      <c r="E311" s="168"/>
      <c r="F311" s="168"/>
      <c r="G311" s="168"/>
      <c r="H311" s="168"/>
      <c r="I311" s="168"/>
      <c r="J311" s="168"/>
      <c r="K311" s="168"/>
      <c r="L311" s="168"/>
      <c r="M311" s="168"/>
    </row>
    <row r="312" spans="1:13">
      <c r="A312" s="309"/>
      <c r="B312" s="168"/>
      <c r="C312" s="168"/>
      <c r="D312" s="168"/>
      <c r="E312" s="168"/>
      <c r="F312" s="168"/>
      <c r="G312" s="168"/>
      <c r="H312" s="168"/>
      <c r="I312" s="168"/>
      <c r="J312" s="168"/>
      <c r="K312" s="168"/>
      <c r="L312" s="168"/>
      <c r="M312" s="168"/>
    </row>
    <row r="313" spans="1:13">
      <c r="A313" s="309"/>
      <c r="B313" s="168"/>
      <c r="C313" s="168"/>
      <c r="D313" s="168"/>
      <c r="E313" s="168"/>
      <c r="F313" s="168"/>
      <c r="G313" s="168"/>
      <c r="H313" s="168"/>
      <c r="I313" s="168"/>
      <c r="J313" s="168"/>
      <c r="K313" s="168"/>
      <c r="L313" s="168"/>
      <c r="M313" s="168"/>
    </row>
    <row r="314" spans="1:13">
      <c r="A314" s="309"/>
      <c r="B314" s="168"/>
      <c r="C314" s="168"/>
      <c r="D314" s="168"/>
      <c r="E314" s="168"/>
      <c r="F314" s="168"/>
      <c r="G314" s="168"/>
      <c r="H314" s="168"/>
      <c r="I314" s="168"/>
      <c r="J314" s="168"/>
      <c r="K314" s="168"/>
      <c r="L314" s="168"/>
      <c r="M314" s="168"/>
    </row>
    <row r="315" spans="1:13">
      <c r="A315" s="309"/>
      <c r="B315" s="168"/>
      <c r="C315" s="168"/>
      <c r="D315" s="168"/>
      <c r="E315" s="168"/>
      <c r="F315" s="168"/>
      <c r="G315" s="168"/>
      <c r="H315" s="168"/>
      <c r="I315" s="168"/>
      <c r="J315" s="168"/>
      <c r="K315" s="168"/>
      <c r="L315" s="168"/>
      <c r="M315" s="168"/>
    </row>
    <row r="316" spans="1:13">
      <c r="A316" s="309"/>
      <c r="B316" s="168"/>
      <c r="C316" s="168"/>
      <c r="D316" s="168"/>
      <c r="E316" s="168"/>
      <c r="F316" s="168"/>
      <c r="G316" s="168"/>
      <c r="H316" s="168"/>
      <c r="I316" s="168"/>
      <c r="J316" s="168"/>
      <c r="K316" s="168"/>
      <c r="L316" s="168"/>
      <c r="M316" s="168"/>
    </row>
    <row r="317" spans="1:13">
      <c r="A317" s="309"/>
      <c r="B317" s="168"/>
      <c r="C317" s="168"/>
      <c r="D317" s="168"/>
      <c r="E317" s="168"/>
      <c r="F317" s="168"/>
      <c r="G317" s="168"/>
      <c r="H317" s="168"/>
      <c r="I317" s="168"/>
      <c r="J317" s="168"/>
      <c r="K317" s="168"/>
      <c r="L317" s="168"/>
      <c r="M317" s="168"/>
    </row>
    <row r="318" spans="1:13">
      <c r="A318" s="309"/>
      <c r="B318" s="168"/>
      <c r="C318" s="168"/>
      <c r="D318" s="168"/>
      <c r="E318" s="168"/>
      <c r="F318" s="168"/>
      <c r="G318" s="168"/>
      <c r="H318" s="168"/>
      <c r="I318" s="168"/>
      <c r="J318" s="168"/>
      <c r="K318" s="168"/>
      <c r="L318" s="168"/>
      <c r="M318" s="168"/>
    </row>
    <row r="319" spans="1:13">
      <c r="A319" s="309"/>
      <c r="B319" s="168"/>
      <c r="C319" s="168"/>
      <c r="D319" s="168"/>
      <c r="E319" s="168"/>
      <c r="F319" s="168"/>
      <c r="G319" s="168"/>
      <c r="H319" s="168"/>
      <c r="I319" s="168"/>
      <c r="J319" s="168"/>
      <c r="K319" s="168"/>
      <c r="L319" s="168"/>
      <c r="M319" s="168"/>
    </row>
    <row r="320" spans="1:13">
      <c r="A320" s="309"/>
      <c r="B320" s="168"/>
      <c r="C320" s="168"/>
      <c r="D320" s="168"/>
      <c r="E320" s="168"/>
      <c r="F320" s="168"/>
      <c r="G320" s="168"/>
      <c r="H320" s="168"/>
      <c r="I320" s="168"/>
      <c r="J320" s="168"/>
      <c r="K320" s="168"/>
      <c r="L320" s="168"/>
      <c r="M320" s="168"/>
    </row>
    <row r="321" spans="1:13">
      <c r="A321" s="309"/>
      <c r="B321" s="168"/>
      <c r="C321" s="168"/>
      <c r="D321" s="168"/>
      <c r="E321" s="168"/>
      <c r="F321" s="168"/>
      <c r="G321" s="168"/>
      <c r="H321" s="168"/>
      <c r="I321" s="168"/>
      <c r="J321" s="168"/>
      <c r="K321" s="168"/>
      <c r="L321" s="168"/>
      <c r="M321" s="168"/>
    </row>
    <row r="322" spans="1:13">
      <c r="A322" s="309"/>
      <c r="B322" s="168"/>
      <c r="C322" s="168"/>
      <c r="D322" s="168"/>
      <c r="E322" s="168"/>
      <c r="F322" s="168"/>
      <c r="G322" s="168"/>
      <c r="H322" s="168"/>
      <c r="I322" s="168"/>
      <c r="J322" s="168"/>
      <c r="K322" s="168"/>
      <c r="L322" s="168"/>
      <c r="M322" s="168"/>
    </row>
    <row r="323" spans="1:13">
      <c r="A323" s="309"/>
      <c r="B323" s="168"/>
      <c r="C323" s="168"/>
      <c r="D323" s="168"/>
      <c r="E323" s="168"/>
      <c r="F323" s="168"/>
      <c r="G323" s="168"/>
      <c r="H323" s="168"/>
      <c r="I323" s="168"/>
      <c r="J323" s="168"/>
      <c r="K323" s="168"/>
      <c r="L323" s="168"/>
      <c r="M323" s="168"/>
    </row>
    <row r="324" spans="1:13">
      <c r="A324" s="309"/>
      <c r="B324" s="168"/>
      <c r="C324" s="168"/>
      <c r="D324" s="168"/>
      <c r="E324" s="168"/>
      <c r="F324" s="168"/>
      <c r="G324" s="168"/>
      <c r="H324" s="168"/>
      <c r="I324" s="168"/>
      <c r="J324" s="168"/>
      <c r="K324" s="168"/>
      <c r="L324" s="168"/>
      <c r="M324" s="168"/>
    </row>
    <row r="325" spans="1:13">
      <c r="A325" s="309"/>
      <c r="B325" s="168"/>
      <c r="C325" s="168"/>
      <c r="D325" s="168"/>
      <c r="E325" s="168"/>
      <c r="F325" s="168"/>
      <c r="G325" s="168"/>
      <c r="H325" s="168"/>
      <c r="I325" s="168"/>
      <c r="J325" s="168"/>
      <c r="K325" s="168"/>
      <c r="L325" s="168"/>
      <c r="M325" s="168"/>
    </row>
    <row r="326" spans="1:13">
      <c r="A326" s="309"/>
      <c r="B326" s="168"/>
      <c r="C326" s="168"/>
      <c r="D326" s="168"/>
      <c r="E326" s="168"/>
      <c r="F326" s="168"/>
      <c r="G326" s="168"/>
      <c r="H326" s="168"/>
      <c r="I326" s="168"/>
      <c r="J326" s="168"/>
      <c r="K326" s="168"/>
      <c r="L326" s="168"/>
      <c r="M326" s="168"/>
    </row>
    <row r="327" spans="1:13">
      <c r="A327" s="309"/>
      <c r="B327" s="168"/>
      <c r="C327" s="168"/>
      <c r="D327" s="168"/>
      <c r="E327" s="168"/>
      <c r="F327" s="168"/>
      <c r="G327" s="168"/>
      <c r="H327" s="168"/>
      <c r="I327" s="168"/>
      <c r="J327" s="168"/>
      <c r="K327" s="168"/>
      <c r="L327" s="168"/>
      <c r="M327" s="168"/>
    </row>
    <row r="328" spans="1:13">
      <c r="A328" s="309"/>
      <c r="B328" s="168"/>
      <c r="C328" s="168"/>
      <c r="D328" s="168"/>
      <c r="E328" s="168"/>
      <c r="F328" s="168"/>
      <c r="G328" s="168"/>
      <c r="H328" s="168"/>
      <c r="I328" s="168"/>
      <c r="J328" s="168"/>
      <c r="K328" s="168"/>
      <c r="L328" s="168"/>
      <c r="M328" s="168"/>
    </row>
    <row r="329" spans="1:13">
      <c r="A329" s="309"/>
      <c r="B329" s="168"/>
      <c r="C329" s="168"/>
      <c r="D329" s="168"/>
      <c r="E329" s="168"/>
      <c r="F329" s="168"/>
      <c r="G329" s="168"/>
      <c r="H329" s="168"/>
      <c r="I329" s="168"/>
      <c r="J329" s="168"/>
      <c r="K329" s="168"/>
      <c r="L329" s="168"/>
      <c r="M329" s="168"/>
    </row>
    <row r="330" spans="1:13">
      <c r="A330" s="309"/>
      <c r="B330" s="168"/>
      <c r="C330" s="168"/>
      <c r="D330" s="168"/>
      <c r="E330" s="168"/>
      <c r="F330" s="168"/>
      <c r="G330" s="168"/>
      <c r="H330" s="168"/>
      <c r="I330" s="168"/>
      <c r="J330" s="168"/>
      <c r="K330" s="168"/>
      <c r="L330" s="168"/>
      <c r="M330" s="168"/>
    </row>
    <row r="331" spans="1:13">
      <c r="A331" s="309"/>
      <c r="B331" s="168"/>
      <c r="C331" s="168"/>
      <c r="D331" s="168"/>
      <c r="E331" s="168"/>
      <c r="F331" s="168"/>
      <c r="G331" s="168"/>
      <c r="H331" s="168"/>
      <c r="I331" s="168"/>
      <c r="J331" s="168"/>
      <c r="K331" s="168"/>
      <c r="L331" s="168"/>
      <c r="M331" s="168"/>
    </row>
    <row r="332" spans="1:13">
      <c r="A332" s="309"/>
      <c r="B332" s="168"/>
      <c r="C332" s="168"/>
      <c r="D332" s="168"/>
      <c r="E332" s="168"/>
      <c r="F332" s="168"/>
      <c r="G332" s="168"/>
      <c r="H332" s="168"/>
      <c r="I332" s="168"/>
      <c r="J332" s="168"/>
      <c r="K332" s="168"/>
      <c r="L332" s="168"/>
      <c r="M332" s="168"/>
    </row>
    <row r="333" spans="1:13">
      <c r="A333" s="309"/>
      <c r="B333" s="168"/>
      <c r="C333" s="168"/>
      <c r="D333" s="168"/>
      <c r="E333" s="168"/>
      <c r="F333" s="168"/>
      <c r="G333" s="168"/>
      <c r="H333" s="168"/>
      <c r="I333" s="168"/>
      <c r="J333" s="168"/>
      <c r="K333" s="168"/>
      <c r="L333" s="168"/>
      <c r="M333" s="168"/>
    </row>
    <row r="334" spans="1:13">
      <c r="A334" s="309"/>
      <c r="B334" s="168"/>
      <c r="C334" s="168"/>
      <c r="D334" s="168"/>
      <c r="E334" s="168"/>
      <c r="F334" s="168"/>
      <c r="G334" s="168"/>
      <c r="H334" s="168"/>
      <c r="I334" s="168"/>
      <c r="J334" s="168"/>
      <c r="K334" s="168"/>
      <c r="L334" s="168"/>
      <c r="M334" s="168"/>
    </row>
    <row r="335" spans="1:13">
      <c r="A335" s="309"/>
      <c r="B335" s="168"/>
      <c r="C335" s="168"/>
      <c r="D335" s="168"/>
      <c r="E335" s="168"/>
      <c r="F335" s="168"/>
      <c r="G335" s="168"/>
      <c r="H335" s="168"/>
      <c r="I335" s="168"/>
      <c r="J335" s="168"/>
      <c r="K335" s="168"/>
      <c r="L335" s="168"/>
      <c r="M335" s="168"/>
    </row>
    <row r="336" spans="1:13">
      <c r="A336" s="309"/>
      <c r="B336" s="168"/>
      <c r="C336" s="168"/>
      <c r="D336" s="168"/>
      <c r="E336" s="168"/>
      <c r="F336" s="168"/>
      <c r="G336" s="168"/>
      <c r="H336" s="168"/>
      <c r="I336" s="168"/>
      <c r="J336" s="168"/>
      <c r="K336" s="168"/>
      <c r="L336" s="168"/>
      <c r="M336" s="168"/>
    </row>
    <row r="337" spans="1:13">
      <c r="A337" s="309"/>
      <c r="B337" s="168"/>
      <c r="C337" s="168"/>
      <c r="D337" s="168"/>
      <c r="E337" s="168"/>
      <c r="F337" s="168"/>
      <c r="G337" s="168"/>
      <c r="H337" s="168"/>
      <c r="I337" s="168"/>
      <c r="J337" s="168"/>
      <c r="K337" s="168"/>
      <c r="L337" s="168"/>
      <c r="M337" s="168"/>
    </row>
    <row r="338" spans="1:13">
      <c r="A338" s="309"/>
      <c r="B338" s="168"/>
      <c r="C338" s="168"/>
      <c r="D338" s="168"/>
      <c r="E338" s="168"/>
      <c r="F338" s="168"/>
      <c r="G338" s="168"/>
      <c r="H338" s="168"/>
      <c r="I338" s="168"/>
      <c r="J338" s="168"/>
      <c r="K338" s="168"/>
      <c r="L338" s="168"/>
      <c r="M338" s="168"/>
    </row>
    <row r="339" spans="1:13">
      <c r="A339" s="309"/>
      <c r="B339" s="168"/>
      <c r="C339" s="168"/>
      <c r="D339" s="168"/>
      <c r="E339" s="168"/>
      <c r="F339" s="168"/>
      <c r="G339" s="168"/>
      <c r="H339" s="168"/>
      <c r="I339" s="168"/>
      <c r="J339" s="168"/>
      <c r="K339" s="168"/>
      <c r="L339" s="168"/>
      <c r="M339" s="168"/>
    </row>
    <row r="340" spans="1:13">
      <c r="A340" s="309"/>
      <c r="B340" s="168"/>
      <c r="C340" s="168"/>
      <c r="D340" s="168"/>
      <c r="E340" s="168"/>
      <c r="F340" s="168"/>
      <c r="G340" s="168"/>
      <c r="H340" s="168"/>
      <c r="I340" s="168"/>
      <c r="J340" s="168"/>
      <c r="K340" s="168"/>
      <c r="L340" s="168"/>
      <c r="M340" s="168"/>
    </row>
    <row r="341" spans="1:13">
      <c r="A341" s="309"/>
      <c r="B341" s="168"/>
      <c r="C341" s="168"/>
      <c r="D341" s="168"/>
      <c r="E341" s="168"/>
      <c r="F341" s="168"/>
      <c r="G341" s="168"/>
      <c r="H341" s="168"/>
      <c r="I341" s="168"/>
      <c r="J341" s="168"/>
      <c r="K341" s="168"/>
      <c r="L341" s="168"/>
      <c r="M341" s="168"/>
    </row>
    <row r="342" spans="1:13">
      <c r="A342" s="309"/>
      <c r="B342" s="168"/>
      <c r="C342" s="168"/>
      <c r="D342" s="168"/>
      <c r="E342" s="168"/>
      <c r="F342" s="168"/>
      <c r="G342" s="168"/>
      <c r="H342" s="168"/>
      <c r="I342" s="168"/>
      <c r="J342" s="168"/>
      <c r="K342" s="168"/>
      <c r="L342" s="168"/>
      <c r="M342" s="168"/>
    </row>
    <row r="343" spans="1:13">
      <c r="A343" s="309"/>
      <c r="B343" s="168"/>
      <c r="C343" s="168"/>
      <c r="D343" s="168"/>
      <c r="E343" s="168"/>
      <c r="F343" s="168"/>
      <c r="G343" s="168"/>
      <c r="H343" s="168"/>
      <c r="I343" s="168"/>
      <c r="J343" s="168"/>
      <c r="K343" s="168"/>
      <c r="L343" s="168"/>
      <c r="M343" s="168"/>
    </row>
    <row r="344" spans="1:13">
      <c r="A344" s="309"/>
      <c r="B344" s="168"/>
      <c r="C344" s="168"/>
      <c r="D344" s="168"/>
      <c r="E344" s="168"/>
      <c r="F344" s="168"/>
      <c r="G344" s="168"/>
      <c r="H344" s="168"/>
      <c r="I344" s="168"/>
      <c r="J344" s="168"/>
      <c r="K344" s="168"/>
      <c r="L344" s="168"/>
      <c r="M344" s="168"/>
    </row>
    <row r="345" spans="1:13">
      <c r="A345" s="309"/>
      <c r="B345" s="168"/>
      <c r="C345" s="168"/>
      <c r="D345" s="168"/>
      <c r="E345" s="168"/>
      <c r="F345" s="168"/>
      <c r="G345" s="168"/>
      <c r="H345" s="168"/>
      <c r="I345" s="168"/>
      <c r="J345" s="168"/>
      <c r="K345" s="168"/>
      <c r="L345" s="168"/>
      <c r="M345" s="168"/>
    </row>
    <row r="346" spans="1:13">
      <c r="A346" s="309"/>
      <c r="B346" s="168"/>
      <c r="C346" s="168"/>
      <c r="D346" s="168"/>
      <c r="E346" s="168"/>
      <c r="F346" s="168"/>
      <c r="G346" s="168"/>
      <c r="H346" s="168"/>
      <c r="I346" s="168"/>
      <c r="J346" s="168"/>
      <c r="K346" s="168"/>
      <c r="L346" s="168"/>
      <c r="M346" s="168"/>
    </row>
    <row r="347" spans="1:13">
      <c r="A347" s="309"/>
      <c r="B347" s="168"/>
      <c r="C347" s="168"/>
      <c r="D347" s="168"/>
      <c r="E347" s="168"/>
      <c r="F347" s="168"/>
      <c r="G347" s="168"/>
      <c r="H347" s="168"/>
      <c r="I347" s="168"/>
      <c r="J347" s="168"/>
      <c r="K347" s="168"/>
      <c r="L347" s="168"/>
      <c r="M347" s="168"/>
    </row>
    <row r="348" spans="1:13">
      <c r="A348" s="309"/>
      <c r="B348" s="168"/>
      <c r="C348" s="168"/>
      <c r="D348" s="168"/>
      <c r="E348" s="168"/>
      <c r="F348" s="168"/>
      <c r="G348" s="168"/>
      <c r="H348" s="168"/>
      <c r="I348" s="168"/>
      <c r="J348" s="168"/>
      <c r="K348" s="168"/>
      <c r="L348" s="168"/>
      <c r="M348" s="168"/>
    </row>
    <row r="349" spans="1:13">
      <c r="A349" s="309"/>
      <c r="B349" s="168"/>
      <c r="C349" s="168"/>
      <c r="D349" s="168"/>
      <c r="E349" s="168"/>
      <c r="F349" s="168"/>
      <c r="G349" s="168"/>
      <c r="H349" s="168"/>
      <c r="I349" s="168"/>
      <c r="J349" s="168"/>
      <c r="K349" s="168"/>
      <c r="L349" s="168"/>
      <c r="M349" s="168"/>
    </row>
    <row r="350" spans="1:13">
      <c r="A350" s="309"/>
      <c r="B350" s="168"/>
      <c r="C350" s="168"/>
      <c r="D350" s="168"/>
      <c r="E350" s="168"/>
      <c r="F350" s="168"/>
      <c r="G350" s="168"/>
      <c r="H350" s="168"/>
      <c r="I350" s="168"/>
      <c r="J350" s="168"/>
      <c r="K350" s="168"/>
      <c r="L350" s="168"/>
      <c r="M350" s="168"/>
    </row>
    <row r="351" spans="1:13">
      <c r="A351" s="309"/>
      <c r="B351" s="168"/>
      <c r="C351" s="168"/>
      <c r="D351" s="168"/>
      <c r="E351" s="168"/>
      <c r="F351" s="168"/>
      <c r="G351" s="168"/>
      <c r="H351" s="168"/>
      <c r="I351" s="168"/>
      <c r="J351" s="168"/>
      <c r="K351" s="168"/>
      <c r="L351" s="168"/>
      <c r="M351" s="168"/>
    </row>
    <row r="352" spans="1:13">
      <c r="A352" s="309"/>
      <c r="B352" s="168"/>
      <c r="C352" s="168"/>
      <c r="D352" s="168"/>
      <c r="E352" s="168"/>
      <c r="F352" s="168"/>
      <c r="G352" s="168"/>
      <c r="H352" s="168"/>
      <c r="I352" s="168"/>
      <c r="J352" s="168"/>
      <c r="K352" s="168"/>
      <c r="L352" s="168"/>
      <c r="M352" s="168"/>
    </row>
    <row r="353" spans="1:13">
      <c r="A353" s="309"/>
      <c r="B353" s="168"/>
      <c r="C353" s="168"/>
      <c r="D353" s="168"/>
      <c r="E353" s="168"/>
      <c r="F353" s="168"/>
      <c r="G353" s="168"/>
      <c r="H353" s="168"/>
      <c r="I353" s="168"/>
      <c r="J353" s="168"/>
      <c r="K353" s="168"/>
      <c r="L353" s="168"/>
      <c r="M353" s="168"/>
    </row>
    <row r="354" spans="1:13">
      <c r="A354" s="309"/>
      <c r="B354" s="168"/>
      <c r="C354" s="168"/>
      <c r="D354" s="168"/>
      <c r="E354" s="168"/>
      <c r="F354" s="168"/>
      <c r="G354" s="168"/>
      <c r="H354" s="168"/>
      <c r="I354" s="168"/>
      <c r="J354" s="168"/>
      <c r="K354" s="168"/>
      <c r="L354" s="168"/>
      <c r="M354" s="168"/>
    </row>
    <row r="355" spans="1:13">
      <c r="A355" s="309"/>
      <c r="B355" s="168"/>
      <c r="C355" s="168"/>
      <c r="D355" s="168"/>
      <c r="E355" s="168"/>
      <c r="F355" s="168"/>
      <c r="G355" s="168"/>
      <c r="H355" s="168"/>
      <c r="I355" s="168"/>
      <c r="J355" s="168"/>
      <c r="K355" s="168"/>
      <c r="L355" s="168"/>
      <c r="M355" s="168"/>
    </row>
    <row r="356" spans="1:13">
      <c r="A356" s="309"/>
      <c r="B356" s="168"/>
      <c r="C356" s="168"/>
      <c r="D356" s="168"/>
      <c r="E356" s="168"/>
      <c r="F356" s="168"/>
      <c r="G356" s="168"/>
      <c r="H356" s="168"/>
      <c r="I356" s="168"/>
      <c r="J356" s="168"/>
      <c r="K356" s="168"/>
      <c r="L356" s="168"/>
      <c r="M356" s="168"/>
    </row>
    <row r="357" spans="1:13">
      <c r="A357" s="309"/>
      <c r="B357" s="168"/>
      <c r="C357" s="168"/>
      <c r="D357" s="168"/>
      <c r="E357" s="168"/>
      <c r="F357" s="168"/>
      <c r="G357" s="168"/>
      <c r="H357" s="168"/>
      <c r="I357" s="168"/>
      <c r="J357" s="168"/>
      <c r="K357" s="168"/>
      <c r="L357" s="168"/>
      <c r="M357" s="168"/>
    </row>
    <row r="358" spans="1:13">
      <c r="A358" s="309"/>
      <c r="B358" s="168"/>
      <c r="C358" s="168"/>
      <c r="D358" s="168"/>
      <c r="E358" s="168"/>
      <c r="F358" s="168"/>
      <c r="G358" s="168"/>
      <c r="H358" s="168"/>
      <c r="I358" s="168"/>
      <c r="J358" s="168"/>
      <c r="K358" s="168"/>
      <c r="L358" s="168"/>
      <c r="M358" s="168"/>
    </row>
    <row r="359" spans="1:13">
      <c r="A359" s="309"/>
      <c r="B359" s="168"/>
      <c r="C359" s="168"/>
      <c r="D359" s="168"/>
      <c r="E359" s="168"/>
      <c r="F359" s="168"/>
      <c r="G359" s="168"/>
      <c r="H359" s="168"/>
      <c r="I359" s="168"/>
      <c r="J359" s="168"/>
      <c r="K359" s="168"/>
      <c r="L359" s="168"/>
      <c r="M359" s="168"/>
    </row>
    <row r="360" spans="1:13">
      <c r="A360" s="309"/>
      <c r="B360" s="168"/>
      <c r="C360" s="168"/>
      <c r="D360" s="168"/>
      <c r="E360" s="168"/>
      <c r="F360" s="168"/>
      <c r="G360" s="168"/>
      <c r="H360" s="168"/>
      <c r="I360" s="168"/>
      <c r="J360" s="168"/>
      <c r="K360" s="168"/>
      <c r="L360" s="168"/>
      <c r="M360" s="168"/>
    </row>
    <row r="361" spans="1:13">
      <c r="A361" s="309"/>
      <c r="B361" s="168"/>
      <c r="C361" s="168"/>
      <c r="D361" s="168"/>
      <c r="E361" s="168"/>
      <c r="F361" s="168"/>
      <c r="G361" s="168"/>
      <c r="H361" s="168"/>
      <c r="I361" s="168"/>
      <c r="J361" s="168"/>
      <c r="K361" s="168"/>
      <c r="L361" s="168"/>
      <c r="M361" s="168"/>
    </row>
  </sheetData>
  <mergeCells count="15">
    <mergeCell ref="A2:M2"/>
    <mergeCell ref="A5:M5"/>
    <mergeCell ref="A6:A8"/>
    <mergeCell ref="B6:B8"/>
    <mergeCell ref="A4:M4"/>
    <mergeCell ref="C6:C8"/>
    <mergeCell ref="A3:M3"/>
    <mergeCell ref="D6:D8"/>
    <mergeCell ref="E6:E8"/>
    <mergeCell ref="F6:H6"/>
    <mergeCell ref="I6:J7"/>
    <mergeCell ref="K6:L7"/>
    <mergeCell ref="M6:M8"/>
    <mergeCell ref="F7:F8"/>
    <mergeCell ref="G7:H7"/>
  </mergeCells>
  <printOptions horizontalCentered="1"/>
  <pageMargins left="0.19" right="0.2" top="0.63" bottom="0.46" header="0.33" footer="0.35"/>
  <pageSetup paperSize="9" scale="73" orientation="landscape" r:id="rId1"/>
  <headerFooter>
    <oddHeader>&amp;C9</oddHeader>
  </headerFooter>
</worksheet>
</file>

<file path=xl/worksheets/sheet6.xml><?xml version="1.0" encoding="utf-8"?>
<worksheet xmlns="http://schemas.openxmlformats.org/spreadsheetml/2006/main" xmlns:r="http://schemas.openxmlformats.org/officeDocument/2006/relationships">
  <sheetPr>
    <pageSetUpPr fitToPage="1"/>
  </sheetPr>
  <dimension ref="A1:IV322"/>
  <sheetViews>
    <sheetView topLeftCell="A4" workbookViewId="0">
      <selection activeCell="B60" sqref="B60"/>
    </sheetView>
  </sheetViews>
  <sheetFormatPr defaultColWidth="7.125" defaultRowHeight="42.75" customHeight="1"/>
  <cols>
    <col min="1" max="1" width="3.5" style="177" customWidth="1"/>
    <col min="2" max="2" width="30" style="169" customWidth="1"/>
    <col min="3" max="5" width="8.5" style="170" customWidth="1"/>
    <col min="6" max="20" width="8.5" style="171" customWidth="1"/>
    <col min="21" max="21" width="9.625" style="171" customWidth="1"/>
    <col min="22" max="226" width="8" style="168" customWidth="1"/>
    <col min="227" max="227" width="4.5" style="168" customWidth="1"/>
    <col min="228" max="228" width="21" style="168" customWidth="1"/>
    <col min="229" max="229" width="6.875" style="168" customWidth="1"/>
    <col min="230" max="230" width="7.75" style="168" customWidth="1"/>
    <col min="231" max="231" width="7.375" style="168" customWidth="1"/>
    <col min="232" max="232" width="8.25" style="168" customWidth="1"/>
    <col min="233" max="233" width="8.875" style="168" customWidth="1"/>
    <col min="234" max="234" width="6.875" style="168" customWidth="1"/>
    <col min="235" max="236" width="8.25" style="168" customWidth="1"/>
    <col min="237" max="238" width="8.625" style="168" customWidth="1"/>
    <col min="239" max="239" width="7.75" style="168" customWidth="1"/>
    <col min="240" max="240" width="8.25" style="168" customWidth="1"/>
    <col min="241" max="241" width="6" style="168" customWidth="1"/>
    <col min="242" max="242" width="7.125" style="168" customWidth="1"/>
    <col min="243" max="243" width="9.125" style="168" customWidth="1"/>
    <col min="244" max="244" width="7.375" style="168" customWidth="1"/>
    <col min="245" max="245" width="8.625" style="168" customWidth="1"/>
    <col min="246" max="246" width="8.25" style="168" customWidth="1"/>
    <col min="247" max="247" width="6.5" style="168" customWidth="1"/>
    <col min="248" max="248" width="7.375" style="168" customWidth="1"/>
    <col min="249" max="250" width="7.125" style="168" customWidth="1"/>
    <col min="251" max="251" width="10" style="168" customWidth="1"/>
    <col min="252" max="252" width="8.25" style="168" customWidth="1"/>
    <col min="253" max="253" width="6.5" style="168" customWidth="1"/>
    <col min="254" max="255" width="7.375" style="168" customWidth="1"/>
    <col min="256" max="16384" width="7.125" style="168"/>
  </cols>
  <sheetData>
    <row r="1" spans="1:256" ht="18.75" customHeight="1">
      <c r="A1" s="176"/>
      <c r="B1" s="176"/>
      <c r="C1" s="176"/>
      <c r="D1" s="176"/>
      <c r="E1" s="176"/>
      <c r="F1" s="176"/>
      <c r="G1" s="176"/>
      <c r="H1" s="176"/>
      <c r="I1" s="176"/>
      <c r="J1" s="176"/>
      <c r="K1" s="176"/>
      <c r="L1" s="176"/>
      <c r="M1" s="176"/>
      <c r="N1" s="176"/>
      <c r="O1" s="176"/>
      <c r="P1" s="176"/>
      <c r="Q1" s="176"/>
      <c r="R1" s="176"/>
      <c r="S1" s="176"/>
      <c r="T1" s="176"/>
      <c r="U1" s="39" t="s">
        <v>167</v>
      </c>
      <c r="V1" s="172"/>
      <c r="W1" s="172"/>
      <c r="X1" s="172"/>
      <c r="Y1" s="172"/>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72"/>
      <c r="CD1" s="172"/>
      <c r="CE1" s="172"/>
      <c r="CF1" s="172"/>
      <c r="CG1" s="172"/>
      <c r="CH1" s="172"/>
      <c r="CI1" s="172"/>
      <c r="CJ1" s="172"/>
      <c r="CK1" s="172"/>
      <c r="CL1" s="172"/>
      <c r="CM1" s="172"/>
      <c r="CN1" s="172"/>
      <c r="CO1" s="172"/>
      <c r="CP1" s="172"/>
      <c r="CQ1" s="172"/>
      <c r="CR1" s="172"/>
      <c r="CS1" s="172"/>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72"/>
      <c r="EF1" s="172"/>
      <c r="EG1" s="172"/>
      <c r="EH1" s="172"/>
      <c r="EI1" s="172"/>
      <c r="EJ1" s="172"/>
      <c r="EK1" s="172"/>
      <c r="EL1" s="172"/>
      <c r="EM1" s="172"/>
      <c r="EN1" s="172"/>
      <c r="EO1" s="172"/>
      <c r="EP1" s="172"/>
      <c r="EQ1" s="172"/>
      <c r="ER1" s="172"/>
      <c r="ES1" s="172"/>
      <c r="ET1" s="172"/>
      <c r="EU1" s="172"/>
      <c r="EV1" s="172"/>
      <c r="EW1" s="172"/>
      <c r="EX1" s="172"/>
      <c r="EY1" s="172"/>
      <c r="EZ1" s="172"/>
      <c r="FA1" s="172"/>
      <c r="FB1" s="172"/>
      <c r="FC1" s="172"/>
      <c r="FD1" s="172"/>
      <c r="FE1" s="172"/>
      <c r="FF1" s="172"/>
      <c r="FG1" s="172"/>
      <c r="FH1" s="172"/>
      <c r="FI1" s="172"/>
      <c r="FJ1" s="172"/>
      <c r="FK1" s="172"/>
      <c r="FL1" s="172"/>
      <c r="FM1" s="172"/>
      <c r="FN1" s="172"/>
      <c r="FO1" s="172"/>
      <c r="FP1" s="172"/>
      <c r="FQ1" s="172"/>
      <c r="FR1" s="172"/>
      <c r="FS1" s="172"/>
      <c r="FT1" s="172"/>
      <c r="FU1" s="172"/>
      <c r="FV1" s="172"/>
      <c r="FW1" s="172"/>
      <c r="FX1" s="172"/>
      <c r="FY1" s="172"/>
      <c r="FZ1" s="172"/>
      <c r="GA1" s="172"/>
      <c r="GB1" s="172"/>
      <c r="GC1" s="172"/>
      <c r="GD1" s="172"/>
      <c r="GE1" s="172"/>
      <c r="GF1" s="172"/>
      <c r="GG1" s="172"/>
      <c r="GH1" s="172"/>
      <c r="GI1" s="172"/>
      <c r="GJ1" s="172"/>
      <c r="GK1" s="172"/>
      <c r="GL1" s="172"/>
      <c r="GM1" s="172"/>
      <c r="GN1" s="172"/>
      <c r="GO1" s="172"/>
      <c r="GP1" s="172"/>
      <c r="GQ1" s="172"/>
      <c r="GR1" s="172"/>
      <c r="GS1" s="172"/>
      <c r="GT1" s="172"/>
      <c r="GU1" s="172"/>
      <c r="GV1" s="172"/>
      <c r="GW1" s="172"/>
      <c r="GX1" s="172"/>
      <c r="GY1" s="172"/>
      <c r="GZ1" s="172"/>
      <c r="HA1" s="172"/>
      <c r="HB1" s="172"/>
      <c r="HC1" s="172"/>
      <c r="HD1" s="172"/>
      <c r="HE1" s="172"/>
      <c r="HF1" s="172"/>
      <c r="HG1" s="172"/>
      <c r="HH1" s="172"/>
      <c r="HI1" s="172"/>
      <c r="HJ1" s="172"/>
      <c r="HK1" s="172"/>
      <c r="HL1" s="172"/>
      <c r="HM1" s="172"/>
      <c r="HN1" s="172"/>
      <c r="HO1" s="172"/>
      <c r="HP1" s="172"/>
      <c r="HQ1" s="172"/>
      <c r="HR1" s="172"/>
      <c r="HS1" s="172"/>
      <c r="HT1" s="172"/>
      <c r="HU1" s="172"/>
      <c r="HV1" s="172"/>
      <c r="HW1" s="172"/>
      <c r="HX1" s="172"/>
      <c r="HY1" s="172"/>
      <c r="HZ1" s="172"/>
      <c r="IA1" s="172"/>
      <c r="IB1" s="172"/>
      <c r="IC1" s="172"/>
      <c r="ID1" s="172"/>
      <c r="IE1" s="172"/>
      <c r="IF1" s="172"/>
      <c r="IG1" s="172"/>
      <c r="IH1" s="172"/>
      <c r="II1" s="172"/>
      <c r="IJ1" s="172"/>
      <c r="IK1" s="172"/>
      <c r="IL1" s="172"/>
      <c r="IM1" s="172"/>
      <c r="IN1" s="172"/>
      <c r="IO1" s="172"/>
      <c r="IP1" s="172"/>
      <c r="IQ1" s="172"/>
      <c r="IR1" s="172"/>
      <c r="IS1" s="172"/>
      <c r="IT1" s="172"/>
      <c r="IU1" s="172"/>
      <c r="IV1" s="172"/>
    </row>
    <row r="2" spans="1:256" ht="16.5" customHeight="1">
      <c r="A2" s="176"/>
      <c r="B2" s="176"/>
      <c r="C2" s="176"/>
      <c r="D2" s="176"/>
      <c r="E2" s="176"/>
      <c r="F2" s="176"/>
      <c r="G2" s="176"/>
      <c r="H2" s="176"/>
      <c r="I2" s="176"/>
      <c r="J2" s="176"/>
      <c r="K2" s="176"/>
      <c r="L2" s="176"/>
      <c r="M2" s="176"/>
      <c r="N2" s="176"/>
      <c r="O2" s="176"/>
      <c r="P2" s="176"/>
      <c r="Q2" s="176"/>
      <c r="R2" s="176"/>
      <c r="S2" s="176"/>
      <c r="T2" s="176"/>
      <c r="U2" s="39"/>
      <c r="V2" s="172"/>
      <c r="W2" s="172"/>
      <c r="X2" s="172"/>
      <c r="Y2" s="172"/>
      <c r="Z2" s="172"/>
      <c r="AA2" s="172"/>
      <c r="AB2" s="172"/>
      <c r="AC2" s="172"/>
      <c r="AD2" s="172"/>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c r="FW2" s="172"/>
      <c r="FX2" s="172"/>
      <c r="FY2" s="172"/>
      <c r="FZ2" s="172"/>
      <c r="GA2" s="172"/>
      <c r="GB2" s="172"/>
      <c r="GC2" s="172"/>
      <c r="GD2" s="172"/>
      <c r="GE2" s="172"/>
      <c r="GF2" s="172"/>
      <c r="GG2" s="172"/>
      <c r="GH2" s="172"/>
      <c r="GI2" s="172"/>
      <c r="GJ2" s="172"/>
      <c r="GK2" s="172"/>
      <c r="GL2" s="172"/>
      <c r="GM2" s="172"/>
      <c r="GN2" s="172"/>
      <c r="GO2" s="172"/>
      <c r="GP2" s="172"/>
      <c r="GQ2" s="172"/>
      <c r="GR2" s="172"/>
      <c r="GS2" s="172"/>
      <c r="GT2" s="172"/>
      <c r="GU2" s="172"/>
      <c r="GV2" s="172"/>
      <c r="GW2" s="172"/>
      <c r="GX2" s="172"/>
      <c r="GY2" s="172"/>
      <c r="GZ2" s="172"/>
      <c r="HA2" s="172"/>
      <c r="HB2" s="172"/>
      <c r="HC2" s="172"/>
      <c r="HD2" s="172"/>
      <c r="HE2" s="172"/>
      <c r="HF2" s="172"/>
      <c r="HG2" s="172"/>
      <c r="HH2" s="172"/>
      <c r="HI2" s="172"/>
      <c r="HJ2" s="172"/>
      <c r="HK2" s="172"/>
      <c r="HL2" s="172"/>
      <c r="HM2" s="172"/>
      <c r="HN2" s="172"/>
      <c r="HO2" s="172"/>
      <c r="HP2" s="172"/>
      <c r="HQ2" s="172"/>
      <c r="HR2" s="172"/>
      <c r="HS2" s="172"/>
      <c r="HT2" s="172"/>
      <c r="HU2" s="172"/>
      <c r="HV2" s="172"/>
      <c r="HW2" s="172"/>
      <c r="HX2" s="172"/>
      <c r="HY2" s="172"/>
      <c r="HZ2" s="172"/>
      <c r="IA2" s="172"/>
      <c r="IB2" s="172"/>
      <c r="IC2" s="172"/>
      <c r="ID2" s="172"/>
      <c r="IE2" s="172"/>
      <c r="IF2" s="172"/>
      <c r="IG2" s="172"/>
      <c r="IH2" s="172"/>
      <c r="II2" s="172"/>
      <c r="IJ2" s="172"/>
      <c r="IK2" s="172"/>
      <c r="IL2" s="172"/>
      <c r="IM2" s="172"/>
      <c r="IN2" s="172"/>
      <c r="IO2" s="172"/>
      <c r="IP2" s="172"/>
      <c r="IQ2" s="172"/>
      <c r="IR2" s="172"/>
      <c r="IS2" s="172"/>
      <c r="IT2" s="172"/>
      <c r="IU2" s="172"/>
      <c r="IV2" s="172"/>
    </row>
    <row r="3" spans="1:256" ht="23.25" customHeight="1">
      <c r="A3" s="852" t="s">
        <v>382</v>
      </c>
      <c r="B3" s="852"/>
      <c r="C3" s="852"/>
      <c r="D3" s="852"/>
      <c r="E3" s="852"/>
      <c r="F3" s="852"/>
      <c r="G3" s="852"/>
      <c r="H3" s="852"/>
      <c r="I3" s="852"/>
      <c r="J3" s="852"/>
      <c r="K3" s="852"/>
      <c r="L3" s="852"/>
      <c r="M3" s="852"/>
      <c r="N3" s="852"/>
      <c r="O3" s="852"/>
      <c r="P3" s="852"/>
      <c r="Q3" s="852"/>
      <c r="R3" s="852"/>
      <c r="S3" s="852"/>
      <c r="T3" s="852"/>
      <c r="U3" s="852"/>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c r="CJ3" s="173"/>
      <c r="CK3" s="173"/>
      <c r="CL3" s="173"/>
      <c r="CM3" s="173"/>
      <c r="CN3" s="173"/>
      <c r="CO3" s="173"/>
      <c r="CP3" s="173"/>
      <c r="CQ3" s="173"/>
      <c r="CR3" s="173"/>
      <c r="CS3" s="173"/>
      <c r="CT3" s="173"/>
      <c r="CU3" s="173"/>
      <c r="CV3" s="173"/>
      <c r="CW3" s="173"/>
      <c r="CX3" s="173"/>
      <c r="CY3" s="173"/>
      <c r="CZ3" s="173"/>
      <c r="DA3" s="173"/>
      <c r="DB3" s="173"/>
      <c r="DC3" s="173"/>
      <c r="DD3" s="173"/>
      <c r="DE3" s="173"/>
      <c r="DF3" s="173"/>
      <c r="DG3" s="173"/>
      <c r="DH3" s="173"/>
      <c r="DI3" s="173"/>
      <c r="DJ3" s="173"/>
      <c r="DK3" s="173"/>
      <c r="DL3" s="173"/>
      <c r="DM3" s="173"/>
      <c r="DN3" s="173"/>
      <c r="DO3" s="173"/>
      <c r="DP3" s="173"/>
      <c r="DQ3" s="173"/>
      <c r="DR3" s="173"/>
      <c r="DS3" s="173"/>
      <c r="DT3" s="173"/>
      <c r="DU3" s="173"/>
      <c r="DV3" s="173"/>
      <c r="DW3" s="173"/>
      <c r="DX3" s="173"/>
      <c r="DY3" s="173"/>
      <c r="DZ3" s="173"/>
      <c r="EA3" s="173"/>
      <c r="EB3" s="173"/>
      <c r="EC3" s="173"/>
      <c r="ED3" s="173"/>
      <c r="EE3" s="173"/>
      <c r="EF3" s="173"/>
      <c r="EG3" s="173"/>
      <c r="EH3" s="173"/>
      <c r="EI3" s="173"/>
      <c r="EJ3" s="173"/>
      <c r="EK3" s="173"/>
      <c r="EL3" s="173"/>
      <c r="EM3" s="173"/>
      <c r="EN3" s="173"/>
      <c r="EO3" s="173"/>
      <c r="EP3" s="173"/>
      <c r="EQ3" s="173"/>
      <c r="ER3" s="173"/>
      <c r="ES3" s="173"/>
      <c r="ET3" s="173"/>
      <c r="EU3" s="173"/>
      <c r="EV3" s="173"/>
      <c r="EW3" s="173"/>
      <c r="EX3" s="173"/>
      <c r="EY3" s="173"/>
      <c r="EZ3" s="173"/>
      <c r="FA3" s="173"/>
      <c r="FB3" s="173"/>
      <c r="FC3" s="173"/>
      <c r="FD3" s="173"/>
      <c r="FE3" s="173"/>
      <c r="FF3" s="173"/>
      <c r="FG3" s="173"/>
      <c r="FH3" s="173"/>
      <c r="FI3" s="173"/>
      <c r="FJ3" s="173"/>
      <c r="FK3" s="173"/>
      <c r="FL3" s="173"/>
      <c r="FM3" s="173"/>
      <c r="FN3" s="173"/>
      <c r="FO3" s="173"/>
      <c r="FP3" s="173"/>
      <c r="FQ3" s="173"/>
      <c r="FR3" s="173"/>
      <c r="FS3" s="173"/>
      <c r="FT3" s="173"/>
      <c r="FU3" s="173"/>
      <c r="FV3" s="173"/>
      <c r="FW3" s="173"/>
      <c r="FX3" s="173"/>
      <c r="FY3" s="173"/>
      <c r="FZ3" s="173"/>
      <c r="GA3" s="173"/>
      <c r="GB3" s="173"/>
      <c r="GC3" s="173"/>
      <c r="GD3" s="173"/>
      <c r="GE3" s="173"/>
      <c r="GF3" s="173"/>
      <c r="GG3" s="173"/>
      <c r="GH3" s="173"/>
      <c r="GI3" s="173"/>
      <c r="GJ3" s="173"/>
      <c r="GK3" s="173"/>
      <c r="GL3" s="173"/>
      <c r="GM3" s="173"/>
      <c r="GN3" s="173"/>
      <c r="GO3" s="173"/>
      <c r="GP3" s="173"/>
      <c r="GQ3" s="173"/>
      <c r="GR3" s="173"/>
      <c r="GS3" s="173"/>
      <c r="GT3" s="173"/>
      <c r="GU3" s="173"/>
      <c r="GV3" s="173"/>
      <c r="GW3" s="173"/>
      <c r="GX3" s="173"/>
      <c r="GY3" s="173"/>
      <c r="GZ3" s="173"/>
      <c r="HA3" s="173"/>
      <c r="HB3" s="173"/>
      <c r="HC3" s="173"/>
      <c r="HD3" s="173"/>
      <c r="HE3" s="173"/>
      <c r="HF3" s="173"/>
      <c r="HG3" s="173"/>
      <c r="HH3" s="173"/>
      <c r="HI3" s="173"/>
      <c r="HJ3" s="173"/>
      <c r="HK3" s="173"/>
      <c r="HL3" s="173"/>
      <c r="HM3" s="173"/>
      <c r="HN3" s="173"/>
      <c r="HO3" s="173"/>
      <c r="HP3" s="173"/>
      <c r="HQ3" s="173"/>
      <c r="HR3" s="173"/>
      <c r="HS3" s="173"/>
      <c r="HT3" s="173"/>
      <c r="HU3" s="173"/>
      <c r="HV3" s="173"/>
      <c r="HW3" s="173"/>
      <c r="HX3" s="173"/>
      <c r="HY3" s="173"/>
      <c r="HZ3" s="173"/>
      <c r="IA3" s="173"/>
      <c r="IB3" s="173"/>
      <c r="IC3" s="173"/>
      <c r="ID3" s="173"/>
      <c r="IE3" s="173"/>
      <c r="IF3" s="173"/>
      <c r="IG3" s="173"/>
      <c r="IH3" s="173"/>
      <c r="II3" s="173"/>
      <c r="IJ3" s="173"/>
      <c r="IK3" s="173"/>
      <c r="IL3" s="173"/>
      <c r="IM3" s="173"/>
      <c r="IN3" s="173"/>
      <c r="IO3" s="173"/>
      <c r="IP3" s="173"/>
      <c r="IQ3" s="173"/>
      <c r="IR3" s="173"/>
      <c r="IS3" s="173"/>
      <c r="IT3" s="173"/>
      <c r="IU3" s="173"/>
      <c r="IV3" s="173"/>
    </row>
    <row r="4" spans="1:256" ht="23.25" customHeight="1">
      <c r="A4" s="852" t="s">
        <v>434</v>
      </c>
      <c r="B4" s="852"/>
      <c r="C4" s="852"/>
      <c r="D4" s="852"/>
      <c r="E4" s="852"/>
      <c r="F4" s="852"/>
      <c r="G4" s="852"/>
      <c r="H4" s="852"/>
      <c r="I4" s="852"/>
      <c r="J4" s="852"/>
      <c r="K4" s="852"/>
      <c r="L4" s="852"/>
      <c r="M4" s="852"/>
      <c r="N4" s="852"/>
      <c r="O4" s="852"/>
      <c r="P4" s="852"/>
      <c r="Q4" s="852"/>
      <c r="R4" s="852"/>
      <c r="S4" s="852"/>
      <c r="T4" s="852"/>
      <c r="U4" s="852"/>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c r="CJ4" s="173"/>
      <c r="CK4" s="173"/>
      <c r="CL4" s="173"/>
      <c r="CM4" s="173"/>
      <c r="CN4" s="173"/>
      <c r="CO4" s="173"/>
      <c r="CP4" s="173"/>
      <c r="CQ4" s="173"/>
      <c r="CR4" s="173"/>
      <c r="CS4" s="173"/>
      <c r="CT4" s="173"/>
      <c r="CU4" s="173"/>
      <c r="CV4" s="173"/>
      <c r="CW4" s="173"/>
      <c r="CX4" s="173"/>
      <c r="CY4" s="173"/>
      <c r="CZ4" s="173"/>
      <c r="DA4" s="173"/>
      <c r="DB4" s="173"/>
      <c r="DC4" s="173"/>
      <c r="DD4" s="173"/>
      <c r="DE4" s="173"/>
      <c r="DF4" s="173"/>
      <c r="DG4" s="173"/>
      <c r="DH4" s="173"/>
      <c r="DI4" s="173"/>
      <c r="DJ4" s="173"/>
      <c r="DK4" s="173"/>
      <c r="DL4" s="173"/>
      <c r="DM4" s="173"/>
      <c r="DN4" s="173"/>
      <c r="DO4" s="173"/>
      <c r="DP4" s="173"/>
      <c r="DQ4" s="173"/>
      <c r="DR4" s="173"/>
      <c r="DS4" s="173"/>
      <c r="DT4" s="173"/>
      <c r="DU4" s="173"/>
      <c r="DV4" s="173"/>
      <c r="DW4" s="173"/>
      <c r="DX4" s="173"/>
      <c r="DY4" s="173"/>
      <c r="DZ4" s="173"/>
      <c r="EA4" s="173"/>
      <c r="EB4" s="173"/>
      <c r="EC4" s="173"/>
      <c r="ED4" s="173"/>
      <c r="EE4" s="173"/>
      <c r="EF4" s="173"/>
      <c r="EG4" s="173"/>
      <c r="EH4" s="173"/>
      <c r="EI4" s="173"/>
      <c r="EJ4" s="173"/>
      <c r="EK4" s="173"/>
      <c r="EL4" s="173"/>
      <c r="EM4" s="173"/>
      <c r="EN4" s="173"/>
      <c r="EO4" s="173"/>
      <c r="EP4" s="173"/>
      <c r="EQ4" s="173"/>
      <c r="ER4" s="173"/>
      <c r="ES4" s="173"/>
      <c r="ET4" s="173"/>
      <c r="EU4" s="173"/>
      <c r="EV4" s="173"/>
      <c r="EW4" s="173"/>
      <c r="EX4" s="173"/>
      <c r="EY4" s="173"/>
      <c r="EZ4" s="173"/>
      <c r="FA4" s="173"/>
      <c r="FB4" s="173"/>
      <c r="FC4" s="173"/>
      <c r="FD4" s="173"/>
      <c r="FE4" s="173"/>
      <c r="FF4" s="173"/>
      <c r="FG4" s="173"/>
      <c r="FH4" s="173"/>
      <c r="FI4" s="173"/>
      <c r="FJ4" s="173"/>
      <c r="FK4" s="173"/>
      <c r="FL4" s="173"/>
      <c r="FM4" s="173"/>
      <c r="FN4" s="173"/>
      <c r="FO4" s="173"/>
      <c r="FP4" s="173"/>
      <c r="FQ4" s="173"/>
      <c r="FR4" s="173"/>
      <c r="FS4" s="173"/>
      <c r="FT4" s="173"/>
      <c r="FU4" s="173"/>
      <c r="FV4" s="173"/>
      <c r="FW4" s="173"/>
      <c r="FX4" s="173"/>
      <c r="FY4" s="173"/>
      <c r="FZ4" s="173"/>
      <c r="GA4" s="173"/>
      <c r="GB4" s="173"/>
      <c r="GC4" s="173"/>
      <c r="GD4" s="173"/>
      <c r="GE4" s="173"/>
      <c r="GF4" s="173"/>
      <c r="GG4" s="173"/>
      <c r="GH4" s="173"/>
      <c r="GI4" s="173"/>
      <c r="GJ4" s="173"/>
      <c r="GK4" s="173"/>
      <c r="GL4" s="173"/>
      <c r="GM4" s="173"/>
      <c r="GN4" s="173"/>
      <c r="GO4" s="173"/>
      <c r="GP4" s="173"/>
      <c r="GQ4" s="173"/>
      <c r="GR4" s="173"/>
      <c r="GS4" s="173"/>
      <c r="GT4" s="173"/>
      <c r="GU4" s="173"/>
      <c r="GV4" s="173"/>
      <c r="GW4" s="173"/>
      <c r="GX4" s="173"/>
      <c r="GY4" s="173"/>
      <c r="GZ4" s="173"/>
      <c r="HA4" s="173"/>
      <c r="HB4" s="173"/>
      <c r="HC4" s="173"/>
      <c r="HD4" s="173"/>
      <c r="HE4" s="173"/>
      <c r="HF4" s="173"/>
      <c r="HG4" s="173"/>
      <c r="HH4" s="173"/>
      <c r="HI4" s="173"/>
      <c r="HJ4" s="173"/>
      <c r="HK4" s="173"/>
      <c r="HL4" s="173"/>
      <c r="HM4" s="173"/>
      <c r="HN4" s="173"/>
      <c r="HO4" s="173"/>
      <c r="HP4" s="173"/>
      <c r="HQ4" s="173"/>
      <c r="HR4" s="173"/>
      <c r="HS4" s="173"/>
      <c r="HT4" s="173"/>
      <c r="HU4" s="173"/>
      <c r="HV4" s="173"/>
      <c r="HW4" s="173"/>
      <c r="HX4" s="173"/>
      <c r="HY4" s="173"/>
      <c r="HZ4" s="173"/>
      <c r="IA4" s="173"/>
      <c r="IB4" s="173"/>
      <c r="IC4" s="173"/>
      <c r="ID4" s="173"/>
      <c r="IE4" s="173"/>
      <c r="IF4" s="173"/>
      <c r="IG4" s="173"/>
      <c r="IH4" s="173"/>
      <c r="II4" s="173"/>
      <c r="IJ4" s="173"/>
      <c r="IK4" s="173"/>
      <c r="IL4" s="173"/>
      <c r="IM4" s="173"/>
      <c r="IN4" s="173"/>
      <c r="IO4" s="173"/>
      <c r="IP4" s="173"/>
      <c r="IQ4" s="173"/>
      <c r="IR4" s="173"/>
      <c r="IS4" s="173"/>
      <c r="IT4" s="173"/>
      <c r="IU4" s="173"/>
      <c r="IV4" s="173"/>
    </row>
    <row r="5" spans="1:256" ht="23.25" customHeight="1">
      <c r="A5" s="823" t="s">
        <v>67</v>
      </c>
      <c r="B5" s="823"/>
      <c r="C5" s="823"/>
      <c r="D5" s="823"/>
      <c r="E5" s="823"/>
      <c r="F5" s="823"/>
      <c r="G5" s="823"/>
      <c r="H5" s="823"/>
      <c r="I5" s="823"/>
      <c r="J5" s="823"/>
      <c r="K5" s="823"/>
      <c r="L5" s="823"/>
      <c r="M5" s="823"/>
      <c r="N5" s="823"/>
      <c r="O5" s="823"/>
      <c r="P5" s="823"/>
      <c r="Q5" s="823"/>
      <c r="R5" s="823"/>
      <c r="S5" s="823"/>
      <c r="T5" s="823"/>
      <c r="U5" s="82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c r="CJ5" s="173"/>
      <c r="CK5" s="173"/>
      <c r="CL5" s="173"/>
      <c r="CM5" s="173"/>
      <c r="CN5" s="173"/>
      <c r="CO5" s="173"/>
      <c r="CP5" s="173"/>
      <c r="CQ5" s="173"/>
      <c r="CR5" s="173"/>
      <c r="CS5" s="173"/>
      <c r="CT5" s="173"/>
      <c r="CU5" s="173"/>
      <c r="CV5" s="173"/>
      <c r="CW5" s="173"/>
      <c r="CX5" s="173"/>
      <c r="CY5" s="173"/>
      <c r="CZ5" s="173"/>
      <c r="DA5" s="173"/>
      <c r="DB5" s="173"/>
      <c r="DC5" s="173"/>
      <c r="DD5" s="173"/>
      <c r="DE5" s="173"/>
      <c r="DF5" s="173"/>
      <c r="DG5" s="173"/>
      <c r="DH5" s="173"/>
      <c r="DI5" s="173"/>
      <c r="DJ5" s="173"/>
      <c r="DK5" s="173"/>
      <c r="DL5" s="173"/>
      <c r="DM5" s="173"/>
      <c r="DN5" s="173"/>
      <c r="DO5" s="173"/>
      <c r="DP5" s="173"/>
      <c r="DQ5" s="173"/>
      <c r="DR5" s="173"/>
      <c r="DS5" s="173"/>
      <c r="DT5" s="173"/>
      <c r="DU5" s="173"/>
      <c r="DV5" s="173"/>
      <c r="DW5" s="173"/>
      <c r="DX5" s="173"/>
      <c r="DY5" s="173"/>
      <c r="DZ5" s="173"/>
      <c r="EA5" s="173"/>
      <c r="EB5" s="173"/>
      <c r="EC5" s="173"/>
      <c r="ED5" s="173"/>
      <c r="EE5" s="173"/>
      <c r="EF5" s="173"/>
      <c r="EG5" s="173"/>
      <c r="EH5" s="173"/>
      <c r="EI5" s="173"/>
      <c r="EJ5" s="173"/>
      <c r="EK5" s="173"/>
      <c r="EL5" s="173"/>
      <c r="EM5" s="173"/>
      <c r="EN5" s="173"/>
      <c r="EO5" s="173"/>
      <c r="EP5" s="173"/>
      <c r="EQ5" s="173"/>
      <c r="ER5" s="173"/>
      <c r="ES5" s="173"/>
      <c r="ET5" s="173"/>
      <c r="EU5" s="173"/>
      <c r="EV5" s="173"/>
      <c r="EW5" s="173"/>
      <c r="EX5" s="173"/>
      <c r="EY5" s="173"/>
      <c r="EZ5" s="173"/>
      <c r="FA5" s="173"/>
      <c r="FB5" s="173"/>
      <c r="FC5" s="173"/>
      <c r="FD5" s="173"/>
      <c r="FE5" s="173"/>
      <c r="FF5" s="173"/>
      <c r="FG5" s="173"/>
      <c r="FH5" s="173"/>
      <c r="FI5" s="173"/>
      <c r="FJ5" s="173"/>
      <c r="FK5" s="173"/>
      <c r="FL5" s="173"/>
      <c r="FM5" s="173"/>
      <c r="FN5" s="173"/>
      <c r="FO5" s="173"/>
      <c r="FP5" s="173"/>
      <c r="FQ5" s="173"/>
      <c r="FR5" s="173"/>
      <c r="FS5" s="173"/>
      <c r="FT5" s="173"/>
      <c r="FU5" s="173"/>
      <c r="FV5" s="173"/>
      <c r="FW5" s="173"/>
      <c r="FX5" s="173"/>
      <c r="FY5" s="173"/>
      <c r="FZ5" s="173"/>
      <c r="GA5" s="173"/>
      <c r="GB5" s="173"/>
      <c r="GC5" s="173"/>
      <c r="GD5" s="173"/>
      <c r="GE5" s="173"/>
      <c r="GF5" s="173"/>
      <c r="GG5" s="173"/>
      <c r="GH5" s="173"/>
      <c r="GI5" s="173"/>
      <c r="GJ5" s="173"/>
      <c r="GK5" s="173"/>
      <c r="GL5" s="173"/>
      <c r="GM5" s="173"/>
      <c r="GN5" s="173"/>
      <c r="GO5" s="173"/>
      <c r="GP5" s="173"/>
      <c r="GQ5" s="173"/>
      <c r="GR5" s="173"/>
      <c r="GS5" s="173"/>
      <c r="GT5" s="173"/>
      <c r="GU5" s="173"/>
      <c r="GV5" s="173"/>
      <c r="GW5" s="173"/>
      <c r="GX5" s="173"/>
      <c r="GY5" s="173"/>
      <c r="GZ5" s="173"/>
      <c r="HA5" s="173"/>
      <c r="HB5" s="173"/>
      <c r="HC5" s="173"/>
      <c r="HD5" s="173"/>
      <c r="HE5" s="173"/>
      <c r="HF5" s="173"/>
      <c r="HG5" s="173"/>
      <c r="HH5" s="173"/>
      <c r="HI5" s="173"/>
      <c r="HJ5" s="173"/>
      <c r="HK5" s="173"/>
      <c r="HL5" s="173"/>
      <c r="HM5" s="173"/>
      <c r="HN5" s="173"/>
      <c r="HO5" s="173"/>
      <c r="HP5" s="173"/>
      <c r="HQ5" s="173"/>
      <c r="HR5" s="173"/>
      <c r="HS5" s="173"/>
      <c r="HT5" s="173"/>
      <c r="HU5" s="173"/>
      <c r="HV5" s="173"/>
      <c r="HW5" s="173"/>
      <c r="HX5" s="173"/>
      <c r="HY5" s="173"/>
      <c r="HZ5" s="173"/>
      <c r="IA5" s="173"/>
      <c r="IB5" s="173"/>
      <c r="IC5" s="173"/>
      <c r="ID5" s="173"/>
      <c r="IE5" s="173"/>
      <c r="IF5" s="173"/>
      <c r="IG5" s="173"/>
      <c r="IH5" s="173"/>
      <c r="II5" s="173"/>
      <c r="IJ5" s="173"/>
      <c r="IK5" s="173"/>
      <c r="IL5" s="173"/>
      <c r="IM5" s="173"/>
      <c r="IN5" s="173"/>
      <c r="IO5" s="173"/>
      <c r="IP5" s="173"/>
      <c r="IQ5" s="173"/>
      <c r="IR5" s="173"/>
      <c r="IS5" s="173"/>
      <c r="IT5" s="173"/>
      <c r="IU5" s="173"/>
      <c r="IV5" s="173"/>
    </row>
    <row r="6" spans="1:256" ht="15" customHeight="1">
      <c r="A6" s="203"/>
      <c r="B6" s="203"/>
      <c r="C6" s="203"/>
      <c r="D6" s="203"/>
      <c r="E6" s="203"/>
      <c r="F6" s="203"/>
      <c r="G6" s="203"/>
      <c r="H6" s="203"/>
      <c r="I6" s="203"/>
      <c r="J6" s="203"/>
      <c r="K6" s="203"/>
      <c r="L6" s="203"/>
      <c r="M6" s="203"/>
      <c r="N6" s="203"/>
      <c r="O6" s="203"/>
      <c r="P6" s="203"/>
      <c r="Q6" s="203"/>
      <c r="R6" s="203"/>
      <c r="S6" s="203"/>
      <c r="T6" s="203"/>
      <c r="U6" s="20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c r="CA6" s="173"/>
      <c r="CB6" s="173"/>
      <c r="CC6" s="173"/>
      <c r="CD6" s="173"/>
      <c r="CE6" s="173"/>
      <c r="CF6" s="173"/>
      <c r="CG6" s="173"/>
      <c r="CH6" s="173"/>
      <c r="CI6" s="173"/>
      <c r="CJ6" s="173"/>
      <c r="CK6" s="173"/>
      <c r="CL6" s="173"/>
      <c r="CM6" s="173"/>
      <c r="CN6" s="173"/>
      <c r="CO6" s="173"/>
      <c r="CP6" s="173"/>
      <c r="CQ6" s="173"/>
      <c r="CR6" s="173"/>
      <c r="CS6" s="173"/>
      <c r="CT6" s="173"/>
      <c r="CU6" s="173"/>
      <c r="CV6" s="173"/>
      <c r="CW6" s="173"/>
      <c r="CX6" s="173"/>
      <c r="CY6" s="173"/>
      <c r="CZ6" s="173"/>
      <c r="DA6" s="173"/>
      <c r="DB6" s="173"/>
      <c r="DC6" s="173"/>
      <c r="DD6" s="173"/>
      <c r="DE6" s="173"/>
      <c r="DF6" s="173"/>
      <c r="DG6" s="173"/>
      <c r="DH6" s="173"/>
      <c r="DI6" s="173"/>
      <c r="DJ6" s="173"/>
      <c r="DK6" s="173"/>
      <c r="DL6" s="173"/>
      <c r="DM6" s="173"/>
      <c r="DN6" s="173"/>
      <c r="DO6" s="173"/>
      <c r="DP6" s="173"/>
      <c r="DQ6" s="173"/>
      <c r="DR6" s="173"/>
      <c r="DS6" s="173"/>
      <c r="DT6" s="173"/>
      <c r="DU6" s="173"/>
      <c r="DV6" s="173"/>
      <c r="DW6" s="173"/>
      <c r="DX6" s="173"/>
      <c r="DY6" s="173"/>
      <c r="DZ6" s="173"/>
      <c r="EA6" s="173"/>
      <c r="EB6" s="173"/>
      <c r="EC6" s="173"/>
      <c r="ED6" s="173"/>
      <c r="EE6" s="173"/>
      <c r="EF6" s="173"/>
      <c r="EG6" s="173"/>
      <c r="EH6" s="173"/>
      <c r="EI6" s="173"/>
      <c r="EJ6" s="173"/>
      <c r="EK6" s="173"/>
      <c r="EL6" s="173"/>
      <c r="EM6" s="173"/>
      <c r="EN6" s="173"/>
      <c r="EO6" s="173"/>
      <c r="EP6" s="173"/>
      <c r="EQ6" s="173"/>
      <c r="ER6" s="173"/>
      <c r="ES6" s="173"/>
      <c r="ET6" s="173"/>
      <c r="EU6" s="173"/>
      <c r="EV6" s="173"/>
      <c r="EW6" s="173"/>
      <c r="EX6" s="173"/>
      <c r="EY6" s="173"/>
      <c r="EZ6" s="173"/>
      <c r="FA6" s="173"/>
      <c r="FB6" s="173"/>
      <c r="FC6" s="173"/>
      <c r="FD6" s="173"/>
      <c r="FE6" s="173"/>
      <c r="FF6" s="173"/>
      <c r="FG6" s="173"/>
      <c r="FH6" s="173"/>
      <c r="FI6" s="173"/>
      <c r="FJ6" s="173"/>
      <c r="FK6" s="173"/>
      <c r="FL6" s="173"/>
      <c r="FM6" s="173"/>
      <c r="FN6" s="173"/>
      <c r="FO6" s="173"/>
      <c r="FP6" s="173"/>
      <c r="FQ6" s="173"/>
      <c r="FR6" s="173"/>
      <c r="FS6" s="173"/>
      <c r="FT6" s="173"/>
      <c r="FU6" s="173"/>
      <c r="FV6" s="173"/>
      <c r="FW6" s="173"/>
      <c r="FX6" s="173"/>
      <c r="FY6" s="173"/>
      <c r="FZ6" s="173"/>
      <c r="GA6" s="173"/>
      <c r="GB6" s="173"/>
      <c r="GC6" s="173"/>
      <c r="GD6" s="173"/>
      <c r="GE6" s="173"/>
      <c r="GF6" s="173"/>
      <c r="GG6" s="173"/>
      <c r="GH6" s="173"/>
      <c r="GI6" s="173"/>
      <c r="GJ6" s="173"/>
      <c r="GK6" s="173"/>
      <c r="GL6" s="173"/>
      <c r="GM6" s="173"/>
      <c r="GN6" s="173"/>
      <c r="GO6" s="173"/>
      <c r="GP6" s="173"/>
      <c r="GQ6" s="173"/>
      <c r="GR6" s="173"/>
      <c r="GS6" s="173"/>
      <c r="GT6" s="173"/>
      <c r="GU6" s="173"/>
      <c r="GV6" s="173"/>
      <c r="GW6" s="173"/>
      <c r="GX6" s="173"/>
      <c r="GY6" s="173"/>
      <c r="GZ6" s="173"/>
      <c r="HA6" s="173"/>
      <c r="HB6" s="173"/>
      <c r="HC6" s="173"/>
      <c r="HD6" s="173"/>
      <c r="HE6" s="173"/>
      <c r="HF6" s="173"/>
      <c r="HG6" s="173"/>
      <c r="HH6" s="173"/>
      <c r="HI6" s="173"/>
      <c r="HJ6" s="173"/>
      <c r="HK6" s="173"/>
      <c r="HL6" s="173"/>
      <c r="HM6" s="173"/>
      <c r="HN6" s="173"/>
      <c r="HO6" s="173"/>
      <c r="HP6" s="173"/>
      <c r="HQ6" s="173"/>
      <c r="HR6" s="173"/>
      <c r="HS6" s="173"/>
      <c r="HT6" s="173"/>
      <c r="HU6" s="173"/>
      <c r="HV6" s="173"/>
      <c r="HW6" s="173"/>
      <c r="HX6" s="173"/>
      <c r="HY6" s="173"/>
      <c r="HZ6" s="173"/>
      <c r="IA6" s="173"/>
      <c r="IB6" s="173"/>
      <c r="IC6" s="173"/>
      <c r="ID6" s="173"/>
      <c r="IE6" s="173"/>
      <c r="IF6" s="173"/>
      <c r="IG6" s="173"/>
      <c r="IH6" s="173"/>
      <c r="II6" s="173"/>
      <c r="IJ6" s="173"/>
      <c r="IK6" s="173"/>
      <c r="IL6" s="173"/>
      <c r="IM6" s="173"/>
      <c r="IN6" s="173"/>
      <c r="IO6" s="173"/>
      <c r="IP6" s="173"/>
      <c r="IQ6" s="173"/>
      <c r="IR6" s="173"/>
      <c r="IS6" s="173"/>
      <c r="IT6" s="173"/>
      <c r="IU6" s="173"/>
      <c r="IV6" s="173"/>
    </row>
    <row r="7" spans="1:256" ht="20.25" customHeight="1" thickBot="1">
      <c r="A7" s="853" t="s">
        <v>187</v>
      </c>
      <c r="B7" s="853"/>
      <c r="C7" s="853"/>
      <c r="D7" s="853"/>
      <c r="E7" s="853"/>
      <c r="F7" s="853"/>
      <c r="G7" s="853"/>
      <c r="H7" s="853"/>
      <c r="I7" s="853"/>
      <c r="J7" s="853"/>
      <c r="K7" s="853"/>
      <c r="L7" s="853"/>
      <c r="M7" s="853"/>
      <c r="N7" s="853"/>
      <c r="O7" s="853"/>
      <c r="P7" s="853"/>
      <c r="Q7" s="853"/>
      <c r="R7" s="853"/>
      <c r="S7" s="853"/>
      <c r="T7" s="853"/>
      <c r="U7" s="853"/>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c r="CT7" s="174"/>
      <c r="CU7" s="174"/>
      <c r="CV7" s="174"/>
      <c r="CW7" s="174"/>
      <c r="CX7" s="174"/>
      <c r="CY7" s="174"/>
      <c r="CZ7" s="174"/>
      <c r="DA7" s="174"/>
      <c r="DB7" s="174"/>
      <c r="DC7" s="174"/>
      <c r="DD7" s="174"/>
      <c r="DE7" s="174"/>
      <c r="DF7" s="174"/>
      <c r="DG7" s="174"/>
      <c r="DH7" s="174"/>
      <c r="DI7" s="174"/>
      <c r="DJ7" s="174"/>
      <c r="DK7" s="174"/>
      <c r="DL7" s="174"/>
      <c r="DM7" s="174"/>
      <c r="DN7" s="174"/>
      <c r="DO7" s="174"/>
      <c r="DP7" s="174"/>
      <c r="DQ7" s="174"/>
      <c r="DR7" s="174"/>
      <c r="DS7" s="174"/>
      <c r="DT7" s="174"/>
      <c r="DU7" s="174"/>
      <c r="DV7" s="174"/>
      <c r="DW7" s="174"/>
      <c r="DX7" s="174"/>
      <c r="DY7" s="174"/>
      <c r="DZ7" s="174"/>
      <c r="EA7" s="174"/>
      <c r="EB7" s="174"/>
      <c r="EC7" s="174"/>
      <c r="ED7" s="174"/>
      <c r="EE7" s="174"/>
      <c r="EF7" s="174"/>
      <c r="EG7" s="174"/>
      <c r="EH7" s="174"/>
      <c r="EI7" s="174"/>
      <c r="EJ7" s="174"/>
      <c r="EK7" s="174"/>
      <c r="EL7" s="174"/>
      <c r="EM7" s="174"/>
      <c r="EN7" s="174"/>
      <c r="EO7" s="174"/>
      <c r="EP7" s="174"/>
      <c r="EQ7" s="174"/>
      <c r="ER7" s="174"/>
      <c r="ES7" s="174"/>
      <c r="ET7" s="174"/>
      <c r="EU7" s="174"/>
      <c r="EV7" s="174"/>
      <c r="EW7" s="174"/>
      <c r="EX7" s="174"/>
      <c r="EY7" s="174"/>
      <c r="EZ7" s="174"/>
      <c r="FA7" s="174"/>
      <c r="FB7" s="174"/>
      <c r="FC7" s="174"/>
      <c r="FD7" s="174"/>
      <c r="FE7" s="174"/>
      <c r="FF7" s="174"/>
      <c r="FG7" s="174"/>
      <c r="FH7" s="174"/>
      <c r="FI7" s="174"/>
      <c r="FJ7" s="174"/>
      <c r="FK7" s="174"/>
      <c r="FL7" s="174"/>
      <c r="FM7" s="174"/>
      <c r="FN7" s="174"/>
      <c r="FO7" s="174"/>
      <c r="FP7" s="174"/>
      <c r="FQ7" s="174"/>
      <c r="FR7" s="174"/>
      <c r="FS7" s="174"/>
      <c r="FT7" s="174"/>
      <c r="FU7" s="174"/>
      <c r="FV7" s="174"/>
      <c r="FW7" s="174"/>
      <c r="FX7" s="174"/>
      <c r="FY7" s="174"/>
      <c r="FZ7" s="174"/>
      <c r="GA7" s="174"/>
      <c r="GB7" s="174"/>
      <c r="GC7" s="174"/>
      <c r="GD7" s="174"/>
      <c r="GE7" s="174"/>
      <c r="GF7" s="174"/>
      <c r="GG7" s="174"/>
      <c r="GH7" s="174"/>
      <c r="GI7" s="174"/>
      <c r="GJ7" s="174"/>
      <c r="GK7" s="174"/>
      <c r="GL7" s="174"/>
      <c r="GM7" s="174"/>
      <c r="GN7" s="174"/>
      <c r="GO7" s="174"/>
      <c r="GP7" s="174"/>
      <c r="GQ7" s="174"/>
      <c r="GR7" s="174"/>
      <c r="GS7" s="174"/>
      <c r="GT7" s="174"/>
      <c r="GU7" s="174"/>
      <c r="GV7" s="174"/>
      <c r="GW7" s="174"/>
      <c r="GX7" s="174"/>
      <c r="GY7" s="174"/>
      <c r="GZ7" s="174"/>
      <c r="HA7" s="174"/>
      <c r="HB7" s="174"/>
      <c r="HC7" s="174"/>
      <c r="HD7" s="174"/>
      <c r="HE7" s="174"/>
      <c r="HF7" s="174"/>
      <c r="HG7" s="174"/>
      <c r="HH7" s="174"/>
      <c r="HI7" s="174"/>
      <c r="HJ7" s="174"/>
      <c r="HK7" s="174"/>
      <c r="HL7" s="174"/>
      <c r="HM7" s="174"/>
      <c r="HN7" s="174"/>
      <c r="HO7" s="174"/>
      <c r="HP7" s="174"/>
      <c r="HQ7" s="174"/>
      <c r="HR7" s="174"/>
      <c r="HS7" s="174"/>
      <c r="HT7" s="174"/>
      <c r="HU7" s="174"/>
      <c r="HV7" s="174"/>
      <c r="HW7" s="174"/>
      <c r="HX7" s="174"/>
      <c r="HY7" s="174"/>
      <c r="HZ7" s="174"/>
      <c r="IA7" s="174"/>
      <c r="IB7" s="174"/>
      <c r="IC7" s="174"/>
      <c r="ID7" s="174"/>
      <c r="IE7" s="174"/>
      <c r="IF7" s="174"/>
      <c r="IG7" s="174"/>
      <c r="IH7" s="174"/>
      <c r="II7" s="174"/>
      <c r="IJ7" s="174"/>
      <c r="IK7" s="174"/>
      <c r="IL7" s="174"/>
      <c r="IM7" s="174"/>
      <c r="IN7" s="174"/>
      <c r="IO7" s="174"/>
      <c r="IP7" s="174"/>
      <c r="IQ7" s="174"/>
      <c r="IR7" s="174"/>
      <c r="IS7" s="174"/>
      <c r="IT7" s="174"/>
      <c r="IU7" s="174"/>
      <c r="IV7" s="174"/>
    </row>
    <row r="8" spans="1:256" s="32" customFormat="1" ht="45" customHeight="1">
      <c r="A8" s="880" t="s">
        <v>287</v>
      </c>
      <c r="B8" s="883" t="s">
        <v>277</v>
      </c>
      <c r="C8" s="540"/>
      <c r="D8" s="540"/>
      <c r="E8" s="540"/>
      <c r="F8" s="886" t="s">
        <v>273</v>
      </c>
      <c r="G8" s="887"/>
      <c r="H8" s="887"/>
      <c r="I8" s="887"/>
      <c r="J8" s="887"/>
      <c r="K8" s="887"/>
      <c r="L8" s="888"/>
      <c r="M8" s="868" t="s">
        <v>396</v>
      </c>
      <c r="N8" s="869"/>
      <c r="O8" s="869"/>
      <c r="P8" s="870"/>
      <c r="Q8" s="868" t="s">
        <v>397</v>
      </c>
      <c r="R8" s="869"/>
      <c r="S8" s="869"/>
      <c r="T8" s="870"/>
      <c r="U8" s="889" t="s">
        <v>248</v>
      </c>
      <c r="V8" s="197"/>
      <c r="W8" s="197"/>
      <c r="X8" s="197"/>
      <c r="Y8" s="197"/>
      <c r="Z8" s="197"/>
      <c r="AA8" s="197"/>
      <c r="AB8" s="197"/>
      <c r="AC8" s="197"/>
      <c r="AD8" s="197"/>
      <c r="AE8" s="197"/>
      <c r="AF8" s="197"/>
      <c r="AG8" s="197"/>
      <c r="AH8" s="197"/>
      <c r="AI8" s="197"/>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97"/>
      <c r="CI8" s="197"/>
      <c r="CJ8" s="197"/>
      <c r="CK8" s="197"/>
      <c r="CL8" s="197"/>
      <c r="CM8" s="197"/>
      <c r="CN8" s="197"/>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c r="FQ8" s="197"/>
      <c r="FR8" s="197"/>
      <c r="FS8" s="197"/>
      <c r="FT8" s="197"/>
      <c r="FU8" s="197"/>
      <c r="FV8" s="197"/>
      <c r="FW8" s="197"/>
      <c r="FX8" s="197"/>
      <c r="FY8" s="197"/>
      <c r="FZ8" s="197"/>
      <c r="GA8" s="197"/>
      <c r="GB8" s="197"/>
      <c r="GC8" s="197"/>
      <c r="GD8" s="197"/>
      <c r="GE8" s="197"/>
      <c r="GF8" s="197"/>
      <c r="GG8" s="197"/>
      <c r="GH8" s="197"/>
      <c r="GI8" s="197"/>
      <c r="GJ8" s="197"/>
      <c r="GK8" s="197"/>
      <c r="GL8" s="197"/>
      <c r="GM8" s="197"/>
      <c r="GN8" s="197"/>
      <c r="GO8" s="197"/>
      <c r="GP8" s="197"/>
      <c r="GQ8" s="197"/>
      <c r="GR8" s="197"/>
      <c r="GS8" s="197"/>
      <c r="GT8" s="197"/>
      <c r="GU8" s="197"/>
      <c r="GV8" s="197"/>
      <c r="GW8" s="197"/>
      <c r="GX8" s="197"/>
      <c r="GY8" s="197"/>
      <c r="GZ8" s="197"/>
      <c r="HA8" s="197"/>
      <c r="HB8" s="197"/>
      <c r="HC8" s="197"/>
      <c r="HD8" s="197"/>
      <c r="HE8" s="197"/>
      <c r="HF8" s="197"/>
      <c r="HG8" s="197"/>
      <c r="HH8" s="197"/>
      <c r="HI8" s="197"/>
      <c r="HJ8" s="197"/>
      <c r="HK8" s="197"/>
      <c r="HL8" s="197"/>
      <c r="HM8" s="197"/>
      <c r="HN8" s="197"/>
      <c r="HO8" s="197"/>
      <c r="HP8" s="197"/>
      <c r="HQ8" s="197"/>
      <c r="HR8" s="197"/>
      <c r="HS8" s="197"/>
      <c r="HT8" s="197"/>
      <c r="HU8" s="197"/>
      <c r="HV8" s="197"/>
      <c r="HW8" s="197"/>
      <c r="HX8" s="197"/>
      <c r="HY8" s="197"/>
      <c r="HZ8" s="197"/>
      <c r="IA8" s="197"/>
      <c r="IB8" s="197"/>
      <c r="IC8" s="197"/>
      <c r="ID8" s="197"/>
      <c r="IE8" s="197"/>
      <c r="IF8" s="197"/>
      <c r="IG8" s="197"/>
      <c r="IH8" s="197"/>
      <c r="II8" s="197"/>
      <c r="IJ8" s="197"/>
      <c r="IK8" s="197"/>
      <c r="IL8" s="197"/>
      <c r="IM8" s="197"/>
      <c r="IN8" s="197"/>
      <c r="IO8" s="197"/>
      <c r="IP8" s="197"/>
      <c r="IQ8" s="197"/>
      <c r="IR8" s="197"/>
      <c r="IS8" s="197"/>
      <c r="IT8" s="197"/>
      <c r="IU8" s="197"/>
      <c r="IV8" s="197"/>
    </row>
    <row r="9" spans="1:256" s="32" customFormat="1" ht="24.75" customHeight="1">
      <c r="A9" s="881"/>
      <c r="B9" s="884"/>
      <c r="C9" s="878" t="s">
        <v>270</v>
      </c>
      <c r="D9" s="878" t="s">
        <v>271</v>
      </c>
      <c r="E9" s="878" t="s">
        <v>272</v>
      </c>
      <c r="F9" s="872" t="s">
        <v>274</v>
      </c>
      <c r="G9" s="867" t="s">
        <v>275</v>
      </c>
      <c r="H9" s="867"/>
      <c r="I9" s="867"/>
      <c r="J9" s="867"/>
      <c r="K9" s="867"/>
      <c r="L9" s="867"/>
      <c r="M9" s="867" t="s">
        <v>409</v>
      </c>
      <c r="N9" s="857" t="s">
        <v>56</v>
      </c>
      <c r="O9" s="857"/>
      <c r="P9" s="857"/>
      <c r="Q9" s="867" t="s">
        <v>410</v>
      </c>
      <c r="R9" s="857" t="s">
        <v>56</v>
      </c>
      <c r="S9" s="857"/>
      <c r="T9" s="857"/>
      <c r="U9" s="890"/>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7"/>
      <c r="BP9" s="197"/>
      <c r="BQ9" s="197"/>
      <c r="BR9" s="197"/>
      <c r="BS9" s="197"/>
      <c r="BT9" s="197"/>
      <c r="BU9" s="197"/>
      <c r="BV9" s="197"/>
      <c r="BW9" s="197"/>
      <c r="BX9" s="197"/>
      <c r="BY9" s="197"/>
      <c r="BZ9" s="197"/>
      <c r="CA9" s="197"/>
      <c r="CB9" s="197"/>
      <c r="CC9" s="197"/>
      <c r="CD9" s="197"/>
      <c r="CE9" s="197"/>
      <c r="CF9" s="197"/>
      <c r="CG9" s="197"/>
      <c r="CH9" s="197"/>
      <c r="CI9" s="197"/>
      <c r="CJ9" s="197"/>
      <c r="CK9" s="197"/>
      <c r="CL9" s="197"/>
      <c r="CM9" s="197"/>
      <c r="CN9" s="197"/>
      <c r="CO9" s="197"/>
      <c r="CP9" s="197"/>
      <c r="CQ9" s="197"/>
      <c r="CR9" s="197"/>
      <c r="CS9" s="197"/>
      <c r="CT9" s="197"/>
      <c r="CU9" s="197"/>
      <c r="CV9" s="197"/>
      <c r="CW9" s="197"/>
      <c r="CX9" s="197"/>
      <c r="CY9" s="197"/>
      <c r="CZ9" s="197"/>
      <c r="DA9" s="197"/>
      <c r="DB9" s="197"/>
      <c r="DC9" s="197"/>
      <c r="DD9" s="197"/>
      <c r="DE9" s="197"/>
      <c r="DF9" s="197"/>
      <c r="DG9" s="197"/>
      <c r="DH9" s="197"/>
      <c r="DI9" s="197"/>
      <c r="DJ9" s="197"/>
      <c r="DK9" s="197"/>
      <c r="DL9" s="197"/>
      <c r="DM9" s="197"/>
      <c r="DN9" s="197"/>
      <c r="DO9" s="197"/>
      <c r="DP9" s="197"/>
      <c r="DQ9" s="197"/>
      <c r="DR9" s="197"/>
      <c r="DS9" s="197"/>
      <c r="DT9" s="197"/>
      <c r="DU9" s="197"/>
      <c r="DV9" s="197"/>
      <c r="DW9" s="197"/>
      <c r="DX9" s="197"/>
      <c r="DY9" s="197"/>
      <c r="DZ9" s="197"/>
      <c r="EA9" s="197"/>
      <c r="EB9" s="197"/>
      <c r="EC9" s="197"/>
      <c r="ED9" s="197"/>
      <c r="EE9" s="197"/>
      <c r="EF9" s="197"/>
      <c r="EG9" s="197"/>
      <c r="EH9" s="197"/>
      <c r="EI9" s="197"/>
      <c r="EJ9" s="197"/>
      <c r="EK9" s="197"/>
      <c r="EL9" s="197"/>
      <c r="EM9" s="197"/>
      <c r="EN9" s="197"/>
      <c r="EO9" s="197"/>
      <c r="EP9" s="197"/>
      <c r="EQ9" s="197"/>
      <c r="ER9" s="197"/>
      <c r="ES9" s="197"/>
      <c r="ET9" s="197"/>
      <c r="EU9" s="197"/>
      <c r="EV9" s="197"/>
      <c r="EW9" s="197"/>
      <c r="EX9" s="197"/>
      <c r="EY9" s="197"/>
      <c r="EZ9" s="197"/>
      <c r="FA9" s="197"/>
      <c r="FB9" s="197"/>
      <c r="FC9" s="197"/>
      <c r="FD9" s="197"/>
      <c r="FE9" s="197"/>
      <c r="FF9" s="197"/>
      <c r="FG9" s="197"/>
      <c r="FH9" s="197"/>
      <c r="FI9" s="197"/>
      <c r="FJ9" s="197"/>
      <c r="FK9" s="197"/>
      <c r="FL9" s="197"/>
      <c r="FM9" s="197"/>
      <c r="FN9" s="197"/>
      <c r="FO9" s="197"/>
      <c r="FP9" s="197"/>
      <c r="FQ9" s="197"/>
      <c r="FR9" s="197"/>
      <c r="FS9" s="197"/>
      <c r="FT9" s="197"/>
      <c r="FU9" s="197"/>
      <c r="FV9" s="197"/>
      <c r="FW9" s="197"/>
      <c r="FX9" s="197"/>
      <c r="FY9" s="197"/>
      <c r="FZ9" s="197"/>
      <c r="GA9" s="197"/>
      <c r="GB9" s="197"/>
      <c r="GC9" s="197"/>
      <c r="GD9" s="197"/>
      <c r="GE9" s="197"/>
      <c r="GF9" s="197"/>
      <c r="GG9" s="197"/>
      <c r="GH9" s="197"/>
      <c r="GI9" s="197"/>
      <c r="GJ9" s="197"/>
      <c r="GK9" s="197"/>
      <c r="GL9" s="197"/>
      <c r="GM9" s="197"/>
      <c r="GN9" s="197"/>
      <c r="GO9" s="197"/>
      <c r="GP9" s="197"/>
      <c r="GQ9" s="197"/>
      <c r="GR9" s="197"/>
      <c r="GS9" s="197"/>
      <c r="GT9" s="197"/>
      <c r="GU9" s="197"/>
      <c r="GV9" s="197"/>
      <c r="GW9" s="197"/>
      <c r="GX9" s="197"/>
      <c r="GY9" s="197"/>
      <c r="GZ9" s="197"/>
      <c r="HA9" s="197"/>
      <c r="HB9" s="197"/>
      <c r="HC9" s="197"/>
      <c r="HD9" s="197"/>
      <c r="HE9" s="197"/>
      <c r="HF9" s="197"/>
      <c r="HG9" s="197"/>
      <c r="HH9" s="197"/>
      <c r="HI9" s="197"/>
      <c r="HJ9" s="197"/>
      <c r="HK9" s="197"/>
      <c r="HL9" s="197"/>
      <c r="HM9" s="197"/>
      <c r="HN9" s="197"/>
      <c r="HO9" s="197"/>
      <c r="HP9" s="197"/>
      <c r="HQ9" s="197"/>
      <c r="HR9" s="197"/>
      <c r="HS9" s="197"/>
      <c r="HT9" s="197"/>
      <c r="HU9" s="197"/>
      <c r="HV9" s="197"/>
      <c r="HW9" s="197"/>
      <c r="HX9" s="197"/>
      <c r="HY9" s="197"/>
      <c r="HZ9" s="197"/>
      <c r="IA9" s="197"/>
      <c r="IB9" s="197"/>
      <c r="IC9" s="197"/>
      <c r="ID9" s="197"/>
      <c r="IE9" s="197"/>
      <c r="IF9" s="197"/>
      <c r="IG9" s="197"/>
      <c r="IH9" s="197"/>
      <c r="II9" s="197"/>
      <c r="IJ9" s="197"/>
      <c r="IK9" s="197"/>
      <c r="IL9" s="197"/>
      <c r="IM9" s="197"/>
      <c r="IN9" s="197"/>
      <c r="IO9" s="197"/>
      <c r="IP9" s="197"/>
      <c r="IQ9" s="197"/>
      <c r="IR9" s="197"/>
      <c r="IS9" s="197"/>
      <c r="IT9" s="197"/>
      <c r="IU9" s="197"/>
      <c r="IV9" s="197"/>
    </row>
    <row r="10" spans="1:256" s="32" customFormat="1" ht="24.75" customHeight="1">
      <c r="A10" s="881"/>
      <c r="B10" s="884"/>
      <c r="C10" s="878"/>
      <c r="D10" s="878"/>
      <c r="E10" s="878"/>
      <c r="F10" s="873"/>
      <c r="G10" s="872" t="s">
        <v>408</v>
      </c>
      <c r="H10" s="867" t="s">
        <v>56</v>
      </c>
      <c r="I10" s="867"/>
      <c r="J10" s="867"/>
      <c r="K10" s="867"/>
      <c r="L10" s="867"/>
      <c r="M10" s="867"/>
      <c r="N10" s="867" t="s">
        <v>279</v>
      </c>
      <c r="O10" s="867"/>
      <c r="P10" s="875" t="s">
        <v>286</v>
      </c>
      <c r="Q10" s="867"/>
      <c r="R10" s="867" t="s">
        <v>279</v>
      </c>
      <c r="S10" s="867"/>
      <c r="T10" s="875" t="s">
        <v>286</v>
      </c>
      <c r="U10" s="890"/>
      <c r="V10" s="197"/>
      <c r="W10" s="197"/>
      <c r="X10" s="197"/>
      <c r="Y10" s="197"/>
      <c r="Z10" s="197"/>
      <c r="AA10" s="197"/>
      <c r="AB10" s="197"/>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7"/>
      <c r="BP10" s="197"/>
      <c r="BQ10" s="197"/>
      <c r="BR10" s="197"/>
      <c r="BS10" s="197"/>
      <c r="BT10" s="197"/>
      <c r="BU10" s="197"/>
      <c r="BV10" s="197"/>
      <c r="BW10" s="197"/>
      <c r="BX10" s="197"/>
      <c r="BY10" s="197"/>
      <c r="BZ10" s="197"/>
      <c r="CA10" s="197"/>
      <c r="CB10" s="197"/>
      <c r="CC10" s="197"/>
      <c r="CD10" s="197"/>
      <c r="CE10" s="197"/>
      <c r="CF10" s="197"/>
      <c r="CG10" s="197"/>
      <c r="CH10" s="197"/>
      <c r="CI10" s="197"/>
      <c r="CJ10" s="197"/>
      <c r="CK10" s="197"/>
      <c r="CL10" s="197"/>
      <c r="CM10" s="197"/>
      <c r="CN10" s="197"/>
      <c r="CO10" s="197"/>
      <c r="CP10" s="197"/>
      <c r="CQ10" s="197"/>
      <c r="CR10" s="197"/>
      <c r="CS10" s="197"/>
      <c r="CT10" s="197"/>
      <c r="CU10" s="197"/>
      <c r="CV10" s="197"/>
      <c r="CW10" s="197"/>
      <c r="CX10" s="197"/>
      <c r="CY10" s="197"/>
      <c r="CZ10" s="197"/>
      <c r="DA10" s="197"/>
      <c r="DB10" s="197"/>
      <c r="DC10" s="197"/>
      <c r="DD10" s="197"/>
      <c r="DE10" s="197"/>
      <c r="DF10" s="197"/>
      <c r="DG10" s="197"/>
      <c r="DH10" s="197"/>
      <c r="DI10" s="197"/>
      <c r="DJ10" s="197"/>
      <c r="DK10" s="197"/>
      <c r="DL10" s="197"/>
      <c r="DM10" s="197"/>
      <c r="DN10" s="197"/>
      <c r="DO10" s="197"/>
      <c r="DP10" s="197"/>
      <c r="DQ10" s="197"/>
      <c r="DR10" s="197"/>
      <c r="DS10" s="197"/>
      <c r="DT10" s="197"/>
      <c r="DU10" s="197"/>
      <c r="DV10" s="197"/>
      <c r="DW10" s="197"/>
      <c r="DX10" s="197"/>
      <c r="DY10" s="197"/>
      <c r="DZ10" s="197"/>
      <c r="EA10" s="197"/>
      <c r="EB10" s="197"/>
      <c r="EC10" s="197"/>
      <c r="ED10" s="197"/>
      <c r="EE10" s="197"/>
      <c r="EF10" s="197"/>
      <c r="EG10" s="197"/>
      <c r="EH10" s="197"/>
      <c r="EI10" s="197"/>
      <c r="EJ10" s="197"/>
      <c r="EK10" s="197"/>
      <c r="EL10" s="197"/>
      <c r="EM10" s="197"/>
      <c r="EN10" s="197"/>
      <c r="EO10" s="197"/>
      <c r="EP10" s="197"/>
      <c r="EQ10" s="197"/>
      <c r="ER10" s="197"/>
      <c r="ES10" s="197"/>
      <c r="ET10" s="197"/>
      <c r="EU10" s="197"/>
      <c r="EV10" s="197"/>
      <c r="EW10" s="197"/>
      <c r="EX10" s="197"/>
      <c r="EY10" s="197"/>
      <c r="EZ10" s="197"/>
      <c r="FA10" s="197"/>
      <c r="FB10" s="197"/>
      <c r="FC10" s="197"/>
      <c r="FD10" s="197"/>
      <c r="FE10" s="197"/>
      <c r="FF10" s="197"/>
      <c r="FG10" s="197"/>
      <c r="FH10" s="197"/>
      <c r="FI10" s="197"/>
      <c r="FJ10" s="197"/>
      <c r="FK10" s="197"/>
      <c r="FL10" s="197"/>
      <c r="FM10" s="197"/>
      <c r="FN10" s="197"/>
      <c r="FO10" s="197"/>
      <c r="FP10" s="197"/>
      <c r="FQ10" s="197"/>
      <c r="FR10" s="197"/>
      <c r="FS10" s="197"/>
      <c r="FT10" s="197"/>
      <c r="FU10" s="197"/>
      <c r="FV10" s="197"/>
      <c r="FW10" s="197"/>
      <c r="FX10" s="197"/>
      <c r="FY10" s="197"/>
      <c r="FZ10" s="197"/>
      <c r="GA10" s="197"/>
      <c r="GB10" s="197"/>
      <c r="GC10" s="197"/>
      <c r="GD10" s="197"/>
      <c r="GE10" s="197"/>
      <c r="GF10" s="197"/>
      <c r="GG10" s="197"/>
      <c r="GH10" s="197"/>
      <c r="GI10" s="197"/>
      <c r="GJ10" s="197"/>
      <c r="GK10" s="197"/>
      <c r="GL10" s="197"/>
      <c r="GM10" s="197"/>
      <c r="GN10" s="197"/>
      <c r="GO10" s="197"/>
      <c r="GP10" s="197"/>
      <c r="GQ10" s="197"/>
      <c r="GR10" s="197"/>
      <c r="GS10" s="197"/>
      <c r="GT10" s="197"/>
      <c r="GU10" s="197"/>
      <c r="GV10" s="197"/>
      <c r="GW10" s="197"/>
      <c r="GX10" s="197"/>
      <c r="GY10" s="197"/>
      <c r="GZ10" s="197"/>
      <c r="HA10" s="197"/>
      <c r="HB10" s="197"/>
      <c r="HC10" s="197"/>
      <c r="HD10" s="197"/>
      <c r="HE10" s="197"/>
      <c r="HF10" s="197"/>
      <c r="HG10" s="197"/>
      <c r="HH10" s="197"/>
      <c r="HI10" s="197"/>
      <c r="HJ10" s="197"/>
      <c r="HK10" s="197"/>
      <c r="HL10" s="197"/>
      <c r="HM10" s="197"/>
      <c r="HN10" s="197"/>
      <c r="HO10" s="197"/>
      <c r="HP10" s="197"/>
      <c r="HQ10" s="197"/>
      <c r="HR10" s="197"/>
      <c r="HS10" s="197"/>
      <c r="HT10" s="197"/>
      <c r="HU10" s="197"/>
      <c r="HV10" s="197"/>
      <c r="HW10" s="197"/>
      <c r="HX10" s="197"/>
      <c r="HY10" s="197"/>
      <c r="HZ10" s="197"/>
      <c r="IA10" s="197"/>
      <c r="IB10" s="197"/>
      <c r="IC10" s="197"/>
      <c r="ID10" s="197"/>
      <c r="IE10" s="197"/>
      <c r="IF10" s="197"/>
      <c r="IG10" s="197"/>
      <c r="IH10" s="197"/>
      <c r="II10" s="197"/>
      <c r="IJ10" s="197"/>
      <c r="IK10" s="197"/>
      <c r="IL10" s="197"/>
      <c r="IM10" s="197"/>
      <c r="IN10" s="197"/>
      <c r="IO10" s="197"/>
      <c r="IP10" s="197"/>
      <c r="IQ10" s="197"/>
      <c r="IR10" s="197"/>
      <c r="IS10" s="197"/>
      <c r="IT10" s="197"/>
      <c r="IU10" s="197"/>
      <c r="IV10" s="197"/>
    </row>
    <row r="11" spans="1:256" s="32" customFormat="1" ht="39" customHeight="1">
      <c r="A11" s="881"/>
      <c r="B11" s="884"/>
      <c r="C11" s="878"/>
      <c r="D11" s="878"/>
      <c r="E11" s="878"/>
      <c r="F11" s="873"/>
      <c r="G11" s="873"/>
      <c r="H11" s="857" t="s">
        <v>279</v>
      </c>
      <c r="I11" s="857"/>
      <c r="J11" s="857"/>
      <c r="K11" s="867" t="s">
        <v>280</v>
      </c>
      <c r="L11" s="867"/>
      <c r="M11" s="867"/>
      <c r="N11" s="867" t="s">
        <v>180</v>
      </c>
      <c r="O11" s="875" t="s">
        <v>433</v>
      </c>
      <c r="P11" s="876"/>
      <c r="Q11" s="867"/>
      <c r="R11" s="867" t="s">
        <v>180</v>
      </c>
      <c r="S11" s="875" t="s">
        <v>433</v>
      </c>
      <c r="T11" s="876"/>
      <c r="U11" s="890"/>
      <c r="V11" s="197"/>
      <c r="W11" s="197"/>
      <c r="X11" s="197"/>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7"/>
      <c r="CH11" s="197"/>
      <c r="CI11" s="197"/>
      <c r="CJ11" s="197"/>
      <c r="CK11" s="197"/>
      <c r="CL11" s="197"/>
      <c r="CM11" s="197"/>
      <c r="CN11" s="197"/>
      <c r="CO11" s="197"/>
      <c r="CP11" s="197"/>
      <c r="CQ11" s="197"/>
      <c r="CR11" s="197"/>
      <c r="CS11" s="197"/>
      <c r="CT11" s="197"/>
      <c r="CU11" s="197"/>
      <c r="CV11" s="197"/>
      <c r="CW11" s="197"/>
      <c r="CX11" s="197"/>
      <c r="CY11" s="197"/>
      <c r="CZ11" s="197"/>
      <c r="DA11" s="197"/>
      <c r="DB11" s="197"/>
      <c r="DC11" s="197"/>
      <c r="DD11" s="197"/>
      <c r="DE11" s="197"/>
      <c r="DF11" s="197"/>
      <c r="DG11" s="197"/>
      <c r="DH11" s="197"/>
      <c r="DI11" s="197"/>
      <c r="DJ11" s="197"/>
      <c r="DK11" s="197"/>
      <c r="DL11" s="197"/>
      <c r="DM11" s="197"/>
      <c r="DN11" s="197"/>
      <c r="DO11" s="197"/>
      <c r="DP11" s="197"/>
      <c r="DQ11" s="197"/>
      <c r="DR11" s="197"/>
      <c r="DS11" s="197"/>
      <c r="DT11" s="197"/>
      <c r="DU11" s="197"/>
      <c r="DV11" s="197"/>
      <c r="DW11" s="197"/>
      <c r="DX11" s="197"/>
      <c r="DY11" s="197"/>
      <c r="DZ11" s="197"/>
      <c r="EA11" s="197"/>
      <c r="EB11" s="197"/>
      <c r="EC11" s="197"/>
      <c r="ED11" s="197"/>
      <c r="EE11" s="197"/>
      <c r="EF11" s="197"/>
      <c r="EG11" s="197"/>
      <c r="EH11" s="197"/>
      <c r="EI11" s="197"/>
      <c r="EJ11" s="197"/>
      <c r="EK11" s="197"/>
      <c r="EL11" s="197"/>
      <c r="EM11" s="197"/>
      <c r="EN11" s="197"/>
      <c r="EO11" s="197"/>
      <c r="EP11" s="197"/>
      <c r="EQ11" s="197"/>
      <c r="ER11" s="197"/>
      <c r="ES11" s="197"/>
      <c r="ET11" s="197"/>
      <c r="EU11" s="197"/>
      <c r="EV11" s="197"/>
      <c r="EW11" s="197"/>
      <c r="EX11" s="197"/>
      <c r="EY11" s="197"/>
      <c r="EZ11" s="197"/>
      <c r="FA11" s="197"/>
      <c r="FB11" s="197"/>
      <c r="FC11" s="197"/>
      <c r="FD11" s="197"/>
      <c r="FE11" s="197"/>
      <c r="FF11" s="197"/>
      <c r="FG11" s="197"/>
      <c r="FH11" s="197"/>
      <c r="FI11" s="197"/>
      <c r="FJ11" s="197"/>
      <c r="FK11" s="197"/>
      <c r="FL11" s="197"/>
      <c r="FM11" s="197"/>
      <c r="FN11" s="197"/>
      <c r="FO11" s="197"/>
      <c r="FP11" s="197"/>
      <c r="FQ11" s="197"/>
      <c r="FR11" s="197"/>
      <c r="FS11" s="197"/>
      <c r="FT11" s="197"/>
      <c r="FU11" s="197"/>
      <c r="FV11" s="197"/>
      <c r="FW11" s="197"/>
      <c r="FX11" s="197"/>
      <c r="FY11" s="197"/>
      <c r="FZ11" s="197"/>
      <c r="GA11" s="197"/>
      <c r="GB11" s="197"/>
      <c r="GC11" s="197"/>
      <c r="GD11" s="197"/>
      <c r="GE11" s="197"/>
      <c r="GF11" s="197"/>
      <c r="GG11" s="197"/>
      <c r="GH11" s="197"/>
      <c r="GI11" s="197"/>
      <c r="GJ11" s="197"/>
      <c r="GK11" s="197"/>
      <c r="GL11" s="197"/>
      <c r="GM11" s="197"/>
      <c r="GN11" s="197"/>
      <c r="GO11" s="197"/>
      <c r="GP11" s="197"/>
      <c r="GQ11" s="197"/>
      <c r="GR11" s="197"/>
      <c r="GS11" s="197"/>
      <c r="GT11" s="197"/>
      <c r="GU11" s="197"/>
      <c r="GV11" s="197"/>
      <c r="GW11" s="197"/>
      <c r="GX11" s="197"/>
      <c r="GY11" s="197"/>
      <c r="GZ11" s="197"/>
      <c r="HA11" s="197"/>
      <c r="HB11" s="197"/>
      <c r="HC11" s="197"/>
      <c r="HD11" s="197"/>
      <c r="HE11" s="197"/>
      <c r="HF11" s="197"/>
      <c r="HG11" s="197"/>
      <c r="HH11" s="197"/>
      <c r="HI11" s="197"/>
      <c r="HJ11" s="197"/>
      <c r="HK11" s="197"/>
      <c r="HL11" s="197"/>
      <c r="HM11" s="197"/>
      <c r="HN11" s="197"/>
      <c r="HO11" s="197"/>
      <c r="HP11" s="197"/>
      <c r="HQ11" s="197"/>
      <c r="HR11" s="197"/>
      <c r="HS11" s="197"/>
      <c r="HT11" s="197"/>
      <c r="HU11" s="197"/>
      <c r="HV11" s="197"/>
      <c r="HW11" s="197"/>
      <c r="HX11" s="197"/>
      <c r="HY11" s="197"/>
      <c r="HZ11" s="197"/>
      <c r="IA11" s="197"/>
      <c r="IB11" s="197"/>
      <c r="IC11" s="197"/>
      <c r="ID11" s="197"/>
      <c r="IE11" s="197"/>
      <c r="IF11" s="197"/>
      <c r="IG11" s="197"/>
      <c r="IH11" s="197"/>
      <c r="II11" s="197"/>
      <c r="IJ11" s="197"/>
      <c r="IK11" s="197"/>
      <c r="IL11" s="197"/>
      <c r="IM11" s="197"/>
      <c r="IN11" s="197"/>
      <c r="IO11" s="197"/>
      <c r="IP11" s="197"/>
      <c r="IQ11" s="197"/>
      <c r="IR11" s="197"/>
      <c r="IS11" s="197"/>
      <c r="IT11" s="197"/>
      <c r="IU11" s="197"/>
      <c r="IV11" s="197"/>
    </row>
    <row r="12" spans="1:256" s="32" customFormat="1" ht="24.75" customHeight="1">
      <c r="A12" s="881"/>
      <c r="B12" s="884"/>
      <c r="C12" s="878"/>
      <c r="D12" s="878"/>
      <c r="E12" s="878"/>
      <c r="F12" s="873"/>
      <c r="G12" s="873"/>
      <c r="H12" s="867" t="s">
        <v>180</v>
      </c>
      <c r="I12" s="867" t="s">
        <v>56</v>
      </c>
      <c r="J12" s="867"/>
      <c r="K12" s="871" t="s">
        <v>282</v>
      </c>
      <c r="L12" s="871" t="s">
        <v>283</v>
      </c>
      <c r="M12" s="867"/>
      <c r="N12" s="867"/>
      <c r="O12" s="876"/>
      <c r="P12" s="876"/>
      <c r="Q12" s="867"/>
      <c r="R12" s="867"/>
      <c r="S12" s="876"/>
      <c r="T12" s="876"/>
      <c r="U12" s="890"/>
      <c r="V12" s="197"/>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c r="BW12" s="197"/>
      <c r="BX12" s="197"/>
      <c r="BY12" s="197"/>
      <c r="BZ12" s="197"/>
      <c r="CA12" s="197"/>
      <c r="CB12" s="197"/>
      <c r="CC12" s="197"/>
      <c r="CD12" s="197"/>
      <c r="CE12" s="197"/>
      <c r="CF12" s="197"/>
      <c r="CG12" s="197"/>
      <c r="CH12" s="197"/>
      <c r="CI12" s="197"/>
      <c r="CJ12" s="197"/>
      <c r="CK12" s="197"/>
      <c r="CL12" s="197"/>
      <c r="CM12" s="197"/>
      <c r="CN12" s="197"/>
      <c r="CO12" s="197"/>
      <c r="CP12" s="197"/>
      <c r="CQ12" s="197"/>
      <c r="CR12" s="197"/>
      <c r="CS12" s="197"/>
      <c r="CT12" s="197"/>
      <c r="CU12" s="197"/>
      <c r="CV12" s="197"/>
      <c r="CW12" s="197"/>
      <c r="CX12" s="197"/>
      <c r="CY12" s="197"/>
      <c r="CZ12" s="197"/>
      <c r="DA12" s="197"/>
      <c r="DB12" s="197"/>
      <c r="DC12" s="197"/>
      <c r="DD12" s="197"/>
      <c r="DE12" s="197"/>
      <c r="DF12" s="197"/>
      <c r="DG12" s="197"/>
      <c r="DH12" s="197"/>
      <c r="DI12" s="197"/>
      <c r="DJ12" s="197"/>
      <c r="DK12" s="197"/>
      <c r="DL12" s="197"/>
      <c r="DM12" s="197"/>
      <c r="DN12" s="197"/>
      <c r="DO12" s="197"/>
      <c r="DP12" s="197"/>
      <c r="DQ12" s="197"/>
      <c r="DR12" s="197"/>
      <c r="DS12" s="197"/>
      <c r="DT12" s="197"/>
      <c r="DU12" s="197"/>
      <c r="DV12" s="197"/>
      <c r="DW12" s="197"/>
      <c r="DX12" s="197"/>
      <c r="DY12" s="197"/>
      <c r="DZ12" s="197"/>
      <c r="EA12" s="197"/>
      <c r="EB12" s="197"/>
      <c r="EC12" s="197"/>
      <c r="ED12" s="197"/>
      <c r="EE12" s="197"/>
      <c r="EF12" s="197"/>
      <c r="EG12" s="197"/>
      <c r="EH12" s="197"/>
      <c r="EI12" s="197"/>
      <c r="EJ12" s="197"/>
      <c r="EK12" s="197"/>
      <c r="EL12" s="197"/>
      <c r="EM12" s="197"/>
      <c r="EN12" s="197"/>
      <c r="EO12" s="197"/>
      <c r="EP12" s="197"/>
      <c r="EQ12" s="197"/>
      <c r="ER12" s="197"/>
      <c r="ES12" s="197"/>
      <c r="ET12" s="197"/>
      <c r="EU12" s="197"/>
      <c r="EV12" s="197"/>
      <c r="EW12" s="197"/>
      <c r="EX12" s="197"/>
      <c r="EY12" s="197"/>
      <c r="EZ12" s="197"/>
      <c r="FA12" s="197"/>
      <c r="FB12" s="197"/>
      <c r="FC12" s="197"/>
      <c r="FD12" s="197"/>
      <c r="FE12" s="197"/>
      <c r="FF12" s="197"/>
      <c r="FG12" s="197"/>
      <c r="FH12" s="197"/>
      <c r="FI12" s="197"/>
      <c r="FJ12" s="197"/>
      <c r="FK12" s="197"/>
      <c r="FL12" s="197"/>
      <c r="FM12" s="197"/>
      <c r="FN12" s="197"/>
      <c r="FO12" s="197"/>
      <c r="FP12" s="197"/>
      <c r="FQ12" s="197"/>
      <c r="FR12" s="197"/>
      <c r="FS12" s="197"/>
      <c r="FT12" s="197"/>
      <c r="FU12" s="197"/>
      <c r="FV12" s="197"/>
      <c r="FW12" s="197"/>
      <c r="FX12" s="197"/>
      <c r="FY12" s="197"/>
      <c r="FZ12" s="197"/>
      <c r="GA12" s="197"/>
      <c r="GB12" s="197"/>
      <c r="GC12" s="197"/>
      <c r="GD12" s="197"/>
      <c r="GE12" s="197"/>
      <c r="GF12" s="197"/>
      <c r="GG12" s="197"/>
      <c r="GH12" s="197"/>
      <c r="GI12" s="197"/>
      <c r="GJ12" s="197"/>
      <c r="GK12" s="197"/>
      <c r="GL12" s="197"/>
      <c r="GM12" s="197"/>
      <c r="GN12" s="197"/>
      <c r="GO12" s="197"/>
      <c r="GP12" s="197"/>
      <c r="GQ12" s="197"/>
      <c r="GR12" s="197"/>
      <c r="GS12" s="197"/>
      <c r="GT12" s="197"/>
      <c r="GU12" s="197"/>
      <c r="GV12" s="197"/>
      <c r="GW12" s="197"/>
      <c r="GX12" s="197"/>
      <c r="GY12" s="197"/>
      <c r="GZ12" s="197"/>
      <c r="HA12" s="197"/>
      <c r="HB12" s="197"/>
      <c r="HC12" s="197"/>
      <c r="HD12" s="197"/>
      <c r="HE12" s="197"/>
      <c r="HF12" s="197"/>
      <c r="HG12" s="197"/>
      <c r="HH12" s="197"/>
      <c r="HI12" s="197"/>
      <c r="HJ12" s="197"/>
      <c r="HK12" s="197"/>
      <c r="HL12" s="197"/>
      <c r="HM12" s="197"/>
      <c r="HN12" s="197"/>
      <c r="HO12" s="197"/>
      <c r="HP12" s="197"/>
      <c r="HQ12" s="197"/>
      <c r="HR12" s="197"/>
      <c r="HS12" s="197"/>
      <c r="HT12" s="197"/>
      <c r="HU12" s="197"/>
      <c r="HV12" s="197"/>
      <c r="HW12" s="197"/>
      <c r="HX12" s="197"/>
      <c r="HY12" s="197"/>
      <c r="HZ12" s="197"/>
      <c r="IA12" s="197"/>
      <c r="IB12" s="197"/>
      <c r="IC12" s="197"/>
      <c r="ID12" s="197"/>
      <c r="IE12" s="197"/>
      <c r="IF12" s="197"/>
      <c r="IG12" s="197"/>
      <c r="IH12" s="197"/>
      <c r="II12" s="197"/>
      <c r="IJ12" s="197"/>
      <c r="IK12" s="197"/>
      <c r="IL12" s="197"/>
      <c r="IM12" s="197"/>
      <c r="IN12" s="197"/>
      <c r="IO12" s="197"/>
      <c r="IP12" s="197"/>
      <c r="IQ12" s="197"/>
      <c r="IR12" s="197"/>
      <c r="IS12" s="197"/>
      <c r="IT12" s="197"/>
      <c r="IU12" s="197"/>
      <c r="IV12" s="197"/>
    </row>
    <row r="13" spans="1:256" s="32" customFormat="1" ht="39" customHeight="1">
      <c r="A13" s="881"/>
      <c r="B13" s="884"/>
      <c r="C13" s="878"/>
      <c r="D13" s="878"/>
      <c r="E13" s="878"/>
      <c r="F13" s="873"/>
      <c r="G13" s="873"/>
      <c r="H13" s="867"/>
      <c r="I13" s="871" t="s">
        <v>226</v>
      </c>
      <c r="J13" s="871" t="s">
        <v>281</v>
      </c>
      <c r="K13" s="871"/>
      <c r="L13" s="871"/>
      <c r="M13" s="867"/>
      <c r="N13" s="867"/>
      <c r="O13" s="876"/>
      <c r="P13" s="876"/>
      <c r="Q13" s="867"/>
      <c r="R13" s="867"/>
      <c r="S13" s="876"/>
      <c r="T13" s="876"/>
      <c r="U13" s="890"/>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c r="BW13" s="197"/>
      <c r="BX13" s="197"/>
      <c r="BY13" s="197"/>
      <c r="BZ13" s="197"/>
      <c r="CA13" s="197"/>
      <c r="CB13" s="197"/>
      <c r="CC13" s="197"/>
      <c r="CD13" s="197"/>
      <c r="CE13" s="197"/>
      <c r="CF13" s="197"/>
      <c r="CG13" s="197"/>
      <c r="CH13" s="197"/>
      <c r="CI13" s="197"/>
      <c r="CJ13" s="197"/>
      <c r="CK13" s="197"/>
      <c r="CL13" s="197"/>
      <c r="CM13" s="197"/>
      <c r="CN13" s="197"/>
      <c r="CO13" s="197"/>
      <c r="CP13" s="197"/>
      <c r="CQ13" s="197"/>
      <c r="CR13" s="197"/>
      <c r="CS13" s="197"/>
      <c r="CT13" s="197"/>
      <c r="CU13" s="197"/>
      <c r="CV13" s="197"/>
      <c r="CW13" s="197"/>
      <c r="CX13" s="197"/>
      <c r="CY13" s="197"/>
      <c r="CZ13" s="197"/>
      <c r="DA13" s="197"/>
      <c r="DB13" s="197"/>
      <c r="DC13" s="197"/>
      <c r="DD13" s="197"/>
      <c r="DE13" s="197"/>
      <c r="DF13" s="197"/>
      <c r="DG13" s="197"/>
      <c r="DH13" s="197"/>
      <c r="DI13" s="197"/>
      <c r="DJ13" s="197"/>
      <c r="DK13" s="197"/>
      <c r="DL13" s="197"/>
      <c r="DM13" s="197"/>
      <c r="DN13" s="197"/>
      <c r="DO13" s="197"/>
      <c r="DP13" s="197"/>
      <c r="DQ13" s="197"/>
      <c r="DR13" s="197"/>
      <c r="DS13" s="197"/>
      <c r="DT13" s="197"/>
      <c r="DU13" s="197"/>
      <c r="DV13" s="197"/>
      <c r="DW13" s="197"/>
      <c r="DX13" s="197"/>
      <c r="DY13" s="197"/>
      <c r="DZ13" s="197"/>
      <c r="EA13" s="197"/>
      <c r="EB13" s="197"/>
      <c r="EC13" s="197"/>
      <c r="ED13" s="197"/>
      <c r="EE13" s="197"/>
      <c r="EF13" s="197"/>
      <c r="EG13" s="197"/>
      <c r="EH13" s="197"/>
      <c r="EI13" s="197"/>
      <c r="EJ13" s="197"/>
      <c r="EK13" s="197"/>
      <c r="EL13" s="197"/>
      <c r="EM13" s="197"/>
      <c r="EN13" s="197"/>
      <c r="EO13" s="197"/>
      <c r="EP13" s="197"/>
      <c r="EQ13" s="197"/>
      <c r="ER13" s="197"/>
      <c r="ES13" s="197"/>
      <c r="ET13" s="197"/>
      <c r="EU13" s="197"/>
      <c r="EV13" s="197"/>
      <c r="EW13" s="197"/>
      <c r="EX13" s="197"/>
      <c r="EY13" s="197"/>
      <c r="EZ13" s="197"/>
      <c r="FA13" s="197"/>
      <c r="FB13" s="197"/>
      <c r="FC13" s="197"/>
      <c r="FD13" s="197"/>
      <c r="FE13" s="197"/>
      <c r="FF13" s="197"/>
      <c r="FG13" s="197"/>
      <c r="FH13" s="197"/>
      <c r="FI13" s="197"/>
      <c r="FJ13" s="197"/>
      <c r="FK13" s="197"/>
      <c r="FL13" s="197"/>
      <c r="FM13" s="197"/>
      <c r="FN13" s="197"/>
      <c r="FO13" s="197"/>
      <c r="FP13" s="197"/>
      <c r="FQ13" s="197"/>
      <c r="FR13" s="197"/>
      <c r="FS13" s="197"/>
      <c r="FT13" s="197"/>
      <c r="FU13" s="197"/>
      <c r="FV13" s="197"/>
      <c r="FW13" s="197"/>
      <c r="FX13" s="197"/>
      <c r="FY13" s="197"/>
      <c r="FZ13" s="197"/>
      <c r="GA13" s="197"/>
      <c r="GB13" s="197"/>
      <c r="GC13" s="197"/>
      <c r="GD13" s="197"/>
      <c r="GE13" s="197"/>
      <c r="GF13" s="197"/>
      <c r="GG13" s="197"/>
      <c r="GH13" s="197"/>
      <c r="GI13" s="197"/>
      <c r="GJ13" s="197"/>
      <c r="GK13" s="197"/>
      <c r="GL13" s="197"/>
      <c r="GM13" s="197"/>
      <c r="GN13" s="197"/>
      <c r="GO13" s="197"/>
      <c r="GP13" s="197"/>
      <c r="GQ13" s="197"/>
      <c r="GR13" s="197"/>
      <c r="GS13" s="197"/>
      <c r="GT13" s="197"/>
      <c r="GU13" s="197"/>
      <c r="GV13" s="197"/>
      <c r="GW13" s="197"/>
      <c r="GX13" s="197"/>
      <c r="GY13" s="197"/>
      <c r="GZ13" s="197"/>
      <c r="HA13" s="197"/>
      <c r="HB13" s="197"/>
      <c r="HC13" s="197"/>
      <c r="HD13" s="197"/>
      <c r="HE13" s="197"/>
      <c r="HF13" s="197"/>
      <c r="HG13" s="197"/>
      <c r="HH13" s="197"/>
      <c r="HI13" s="197"/>
      <c r="HJ13" s="197"/>
      <c r="HK13" s="197"/>
      <c r="HL13" s="197"/>
      <c r="HM13" s="197"/>
      <c r="HN13" s="197"/>
      <c r="HO13" s="197"/>
      <c r="HP13" s="197"/>
      <c r="HQ13" s="197"/>
      <c r="HR13" s="197"/>
      <c r="HS13" s="197"/>
      <c r="HT13" s="197"/>
      <c r="HU13" s="197"/>
      <c r="HV13" s="197"/>
      <c r="HW13" s="197"/>
      <c r="HX13" s="197"/>
      <c r="HY13" s="197"/>
      <c r="HZ13" s="197"/>
      <c r="IA13" s="197"/>
      <c r="IB13" s="197"/>
      <c r="IC13" s="197"/>
      <c r="ID13" s="197"/>
      <c r="IE13" s="197"/>
      <c r="IF13" s="197"/>
      <c r="IG13" s="197"/>
      <c r="IH13" s="197"/>
      <c r="II13" s="197"/>
      <c r="IJ13" s="197"/>
      <c r="IK13" s="197"/>
      <c r="IL13" s="197"/>
      <c r="IM13" s="197"/>
      <c r="IN13" s="197"/>
      <c r="IO13" s="197"/>
      <c r="IP13" s="197"/>
      <c r="IQ13" s="197"/>
      <c r="IR13" s="197"/>
      <c r="IS13" s="197"/>
      <c r="IT13" s="197"/>
      <c r="IU13" s="197"/>
      <c r="IV13" s="197"/>
    </row>
    <row r="14" spans="1:256" s="32" customFormat="1" ht="39" customHeight="1">
      <c r="A14" s="882"/>
      <c r="B14" s="885"/>
      <c r="C14" s="879"/>
      <c r="D14" s="879"/>
      <c r="E14" s="879"/>
      <c r="F14" s="874"/>
      <c r="G14" s="874"/>
      <c r="H14" s="867"/>
      <c r="I14" s="871"/>
      <c r="J14" s="871"/>
      <c r="K14" s="871"/>
      <c r="L14" s="871"/>
      <c r="M14" s="867"/>
      <c r="N14" s="867"/>
      <c r="O14" s="877"/>
      <c r="P14" s="877"/>
      <c r="Q14" s="867"/>
      <c r="R14" s="867"/>
      <c r="S14" s="877"/>
      <c r="T14" s="877"/>
      <c r="U14" s="891"/>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7"/>
      <c r="CH14" s="197"/>
      <c r="CI14" s="197"/>
      <c r="CJ14" s="197"/>
      <c r="CK14" s="197"/>
      <c r="CL14" s="197"/>
      <c r="CM14" s="197"/>
      <c r="CN14" s="197"/>
      <c r="CO14" s="197"/>
      <c r="CP14" s="197"/>
      <c r="CQ14" s="197"/>
      <c r="CR14" s="197"/>
      <c r="CS14" s="197"/>
      <c r="CT14" s="197"/>
      <c r="CU14" s="197"/>
      <c r="CV14" s="197"/>
      <c r="CW14" s="197"/>
      <c r="CX14" s="197"/>
      <c r="CY14" s="197"/>
      <c r="CZ14" s="197"/>
      <c r="DA14" s="197"/>
      <c r="DB14" s="197"/>
      <c r="DC14" s="197"/>
      <c r="DD14" s="197"/>
      <c r="DE14" s="197"/>
      <c r="DF14" s="197"/>
      <c r="DG14" s="197"/>
      <c r="DH14" s="197"/>
      <c r="DI14" s="197"/>
      <c r="DJ14" s="197"/>
      <c r="DK14" s="197"/>
      <c r="DL14" s="197"/>
      <c r="DM14" s="197"/>
      <c r="DN14" s="197"/>
      <c r="DO14" s="197"/>
      <c r="DP14" s="197"/>
      <c r="DQ14" s="197"/>
      <c r="DR14" s="197"/>
      <c r="DS14" s="197"/>
      <c r="DT14" s="197"/>
      <c r="DU14" s="197"/>
      <c r="DV14" s="197"/>
      <c r="DW14" s="197"/>
      <c r="DX14" s="197"/>
      <c r="DY14" s="197"/>
      <c r="DZ14" s="197"/>
      <c r="EA14" s="197"/>
      <c r="EB14" s="197"/>
      <c r="EC14" s="197"/>
      <c r="ED14" s="197"/>
      <c r="EE14" s="197"/>
      <c r="EF14" s="197"/>
      <c r="EG14" s="197"/>
      <c r="EH14" s="197"/>
      <c r="EI14" s="197"/>
      <c r="EJ14" s="197"/>
      <c r="EK14" s="197"/>
      <c r="EL14" s="197"/>
      <c r="EM14" s="197"/>
      <c r="EN14" s="197"/>
      <c r="EO14" s="197"/>
      <c r="EP14" s="197"/>
      <c r="EQ14" s="197"/>
      <c r="ER14" s="197"/>
      <c r="ES14" s="197"/>
      <c r="ET14" s="197"/>
      <c r="EU14" s="197"/>
      <c r="EV14" s="197"/>
      <c r="EW14" s="197"/>
      <c r="EX14" s="197"/>
      <c r="EY14" s="197"/>
      <c r="EZ14" s="197"/>
      <c r="FA14" s="197"/>
      <c r="FB14" s="197"/>
      <c r="FC14" s="197"/>
      <c r="FD14" s="197"/>
      <c r="FE14" s="197"/>
      <c r="FF14" s="197"/>
      <c r="FG14" s="197"/>
      <c r="FH14" s="197"/>
      <c r="FI14" s="197"/>
      <c r="FJ14" s="197"/>
      <c r="FK14" s="197"/>
      <c r="FL14" s="197"/>
      <c r="FM14" s="197"/>
      <c r="FN14" s="197"/>
      <c r="FO14" s="197"/>
      <c r="FP14" s="197"/>
      <c r="FQ14" s="197"/>
      <c r="FR14" s="197"/>
      <c r="FS14" s="197"/>
      <c r="FT14" s="197"/>
      <c r="FU14" s="197"/>
      <c r="FV14" s="197"/>
      <c r="FW14" s="197"/>
      <c r="FX14" s="197"/>
      <c r="FY14" s="197"/>
      <c r="FZ14" s="197"/>
      <c r="GA14" s="197"/>
      <c r="GB14" s="197"/>
      <c r="GC14" s="197"/>
      <c r="GD14" s="197"/>
      <c r="GE14" s="197"/>
      <c r="GF14" s="197"/>
      <c r="GG14" s="197"/>
      <c r="GH14" s="197"/>
      <c r="GI14" s="197"/>
      <c r="GJ14" s="197"/>
      <c r="GK14" s="197"/>
      <c r="GL14" s="197"/>
      <c r="GM14" s="197"/>
      <c r="GN14" s="197"/>
      <c r="GO14" s="197"/>
      <c r="GP14" s="197"/>
      <c r="GQ14" s="197"/>
      <c r="GR14" s="197"/>
      <c r="GS14" s="197"/>
      <c r="GT14" s="197"/>
      <c r="GU14" s="197"/>
      <c r="GV14" s="197"/>
      <c r="GW14" s="197"/>
      <c r="GX14" s="197"/>
      <c r="GY14" s="197"/>
      <c r="GZ14" s="197"/>
      <c r="HA14" s="197"/>
      <c r="HB14" s="197"/>
      <c r="HC14" s="197"/>
      <c r="HD14" s="197"/>
      <c r="HE14" s="197"/>
      <c r="HF14" s="197"/>
      <c r="HG14" s="197"/>
      <c r="HH14" s="197"/>
      <c r="HI14" s="197"/>
      <c r="HJ14" s="197"/>
      <c r="HK14" s="197"/>
      <c r="HL14" s="197"/>
      <c r="HM14" s="197"/>
      <c r="HN14" s="197"/>
      <c r="HO14" s="197"/>
      <c r="HP14" s="197"/>
      <c r="HQ14" s="197"/>
      <c r="HR14" s="197"/>
      <c r="HS14" s="197"/>
      <c r="HT14" s="197"/>
      <c r="HU14" s="197"/>
      <c r="HV14" s="197"/>
      <c r="HW14" s="197"/>
      <c r="HX14" s="197"/>
      <c r="HY14" s="197"/>
      <c r="HZ14" s="197"/>
      <c r="IA14" s="197"/>
      <c r="IB14" s="197"/>
      <c r="IC14" s="197"/>
      <c r="ID14" s="197"/>
      <c r="IE14" s="197"/>
      <c r="IF14" s="197"/>
      <c r="IG14" s="197"/>
      <c r="IH14" s="197"/>
      <c r="II14" s="197"/>
      <c r="IJ14" s="197"/>
      <c r="IK14" s="197"/>
      <c r="IL14" s="197"/>
      <c r="IM14" s="197"/>
      <c r="IN14" s="197"/>
      <c r="IO14" s="197"/>
      <c r="IP14" s="197"/>
      <c r="IQ14" s="197"/>
      <c r="IR14" s="197"/>
      <c r="IS14" s="197"/>
      <c r="IT14" s="197"/>
      <c r="IU14" s="197"/>
      <c r="IV14" s="197"/>
    </row>
    <row r="15" spans="1:256" s="184" customFormat="1" ht="17.25" customHeight="1">
      <c r="A15" s="199" t="s">
        <v>15</v>
      </c>
      <c r="B15" s="192" t="s">
        <v>16</v>
      </c>
      <c r="C15" s="194">
        <v>1</v>
      </c>
      <c r="D15" s="194">
        <f>C15+1</f>
        <v>2</v>
      </c>
      <c r="E15" s="194">
        <f t="shared" ref="E15:U15" si="0">D15+1</f>
        <v>3</v>
      </c>
      <c r="F15" s="194">
        <f t="shared" si="0"/>
        <v>4</v>
      </c>
      <c r="G15" s="194">
        <f t="shared" si="0"/>
        <v>5</v>
      </c>
      <c r="H15" s="194">
        <f t="shared" si="0"/>
        <v>6</v>
      </c>
      <c r="I15" s="194">
        <f t="shared" si="0"/>
        <v>7</v>
      </c>
      <c r="J15" s="194">
        <f t="shared" si="0"/>
        <v>8</v>
      </c>
      <c r="K15" s="194">
        <f t="shared" si="0"/>
        <v>9</v>
      </c>
      <c r="L15" s="194">
        <f t="shared" si="0"/>
        <v>10</v>
      </c>
      <c r="M15" s="194">
        <f t="shared" si="0"/>
        <v>11</v>
      </c>
      <c r="N15" s="194">
        <f t="shared" si="0"/>
        <v>12</v>
      </c>
      <c r="O15" s="194">
        <f t="shared" si="0"/>
        <v>13</v>
      </c>
      <c r="P15" s="194">
        <f t="shared" si="0"/>
        <v>14</v>
      </c>
      <c r="Q15" s="194">
        <f t="shared" si="0"/>
        <v>15</v>
      </c>
      <c r="R15" s="194">
        <f t="shared" si="0"/>
        <v>16</v>
      </c>
      <c r="S15" s="194">
        <f t="shared" si="0"/>
        <v>17</v>
      </c>
      <c r="T15" s="194">
        <f t="shared" si="0"/>
        <v>18</v>
      </c>
      <c r="U15" s="200">
        <f t="shared" si="0"/>
        <v>19</v>
      </c>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1"/>
      <c r="AR15" s="201"/>
      <c r="AS15" s="201"/>
      <c r="AT15" s="201"/>
      <c r="AU15" s="201"/>
      <c r="AV15" s="201"/>
      <c r="AW15" s="201"/>
      <c r="AX15" s="201"/>
      <c r="AY15" s="201"/>
      <c r="AZ15" s="201"/>
      <c r="BA15" s="201"/>
      <c r="BB15" s="201"/>
      <c r="BC15" s="201"/>
      <c r="BD15" s="201"/>
      <c r="BE15" s="201"/>
      <c r="BF15" s="201"/>
      <c r="BG15" s="201"/>
      <c r="BH15" s="201"/>
      <c r="BI15" s="201"/>
      <c r="BJ15" s="201"/>
      <c r="BK15" s="201"/>
      <c r="BL15" s="201"/>
      <c r="BM15" s="201"/>
      <c r="BN15" s="201"/>
      <c r="BO15" s="201"/>
      <c r="BP15" s="201"/>
      <c r="BQ15" s="201"/>
      <c r="BR15" s="201"/>
      <c r="BS15" s="201"/>
      <c r="BT15" s="201"/>
      <c r="BU15" s="201"/>
      <c r="BV15" s="201"/>
      <c r="BW15" s="201"/>
      <c r="BX15" s="201"/>
      <c r="BY15" s="201"/>
      <c r="BZ15" s="201"/>
      <c r="CA15" s="201"/>
      <c r="CB15" s="201"/>
      <c r="CC15" s="201"/>
      <c r="CD15" s="201"/>
      <c r="CE15" s="201"/>
      <c r="CF15" s="201"/>
      <c r="CG15" s="201"/>
      <c r="CH15" s="201"/>
      <c r="CI15" s="201"/>
      <c r="CJ15" s="201"/>
      <c r="CK15" s="201"/>
      <c r="CL15" s="201"/>
      <c r="CM15" s="201"/>
      <c r="CN15" s="201"/>
      <c r="CO15" s="201"/>
      <c r="CP15" s="201"/>
      <c r="CQ15" s="201"/>
      <c r="CR15" s="201"/>
      <c r="CS15" s="201"/>
      <c r="CT15" s="201"/>
      <c r="CU15" s="201"/>
      <c r="CV15" s="201"/>
      <c r="CW15" s="201"/>
      <c r="CX15" s="201"/>
      <c r="CY15" s="201"/>
      <c r="CZ15" s="201"/>
      <c r="DA15" s="201"/>
      <c r="DB15" s="201"/>
      <c r="DC15" s="201"/>
      <c r="DD15" s="201"/>
      <c r="DE15" s="201"/>
      <c r="DF15" s="201"/>
      <c r="DG15" s="201"/>
      <c r="DH15" s="201"/>
      <c r="DI15" s="201"/>
      <c r="DJ15" s="201"/>
      <c r="DK15" s="201"/>
      <c r="DL15" s="201"/>
      <c r="DM15" s="201"/>
      <c r="DN15" s="201"/>
      <c r="DO15" s="201"/>
      <c r="DP15" s="201"/>
      <c r="DQ15" s="201"/>
      <c r="DR15" s="201"/>
      <c r="DS15" s="201"/>
      <c r="DT15" s="201"/>
      <c r="DU15" s="201"/>
      <c r="DV15" s="201"/>
      <c r="DW15" s="201"/>
      <c r="DX15" s="201"/>
      <c r="DY15" s="201"/>
      <c r="DZ15" s="201"/>
      <c r="EA15" s="201"/>
      <c r="EB15" s="201"/>
      <c r="EC15" s="201"/>
      <c r="ED15" s="201"/>
      <c r="EE15" s="201"/>
      <c r="EF15" s="201"/>
      <c r="EG15" s="201"/>
      <c r="EH15" s="201"/>
      <c r="EI15" s="201"/>
      <c r="EJ15" s="201"/>
      <c r="EK15" s="201"/>
      <c r="EL15" s="201"/>
      <c r="EM15" s="201"/>
      <c r="EN15" s="201"/>
      <c r="EO15" s="201"/>
      <c r="EP15" s="201"/>
      <c r="EQ15" s="201"/>
      <c r="ER15" s="201"/>
      <c r="ES15" s="201"/>
      <c r="ET15" s="201"/>
      <c r="EU15" s="201"/>
      <c r="EV15" s="201"/>
      <c r="EW15" s="201"/>
      <c r="EX15" s="201"/>
      <c r="EY15" s="201"/>
      <c r="EZ15" s="201"/>
      <c r="FA15" s="201"/>
      <c r="FB15" s="201"/>
      <c r="FC15" s="201"/>
      <c r="FD15" s="201"/>
      <c r="FE15" s="201"/>
      <c r="FF15" s="201"/>
      <c r="FG15" s="201"/>
      <c r="FH15" s="201"/>
      <c r="FI15" s="201"/>
      <c r="FJ15" s="201"/>
      <c r="FK15" s="201"/>
      <c r="FL15" s="201"/>
      <c r="FM15" s="201"/>
      <c r="FN15" s="201"/>
      <c r="FO15" s="201"/>
      <c r="FP15" s="201"/>
      <c r="FQ15" s="201"/>
      <c r="FR15" s="201"/>
      <c r="FS15" s="201"/>
      <c r="FT15" s="201"/>
      <c r="FU15" s="201"/>
      <c r="FV15" s="201"/>
      <c r="FW15" s="201"/>
      <c r="FX15" s="201"/>
      <c r="FY15" s="201"/>
      <c r="FZ15" s="201"/>
      <c r="GA15" s="201"/>
      <c r="GB15" s="201"/>
      <c r="GC15" s="201"/>
      <c r="GD15" s="201"/>
      <c r="GE15" s="201"/>
      <c r="GF15" s="201"/>
      <c r="GG15" s="201"/>
      <c r="GH15" s="201"/>
      <c r="GI15" s="201"/>
      <c r="GJ15" s="201"/>
      <c r="GK15" s="201"/>
      <c r="GL15" s="201"/>
      <c r="GM15" s="201"/>
      <c r="GN15" s="201"/>
      <c r="GO15" s="201"/>
      <c r="GP15" s="201"/>
      <c r="GQ15" s="201"/>
      <c r="GR15" s="201"/>
      <c r="GS15" s="201"/>
      <c r="GT15" s="201"/>
      <c r="GU15" s="201"/>
      <c r="GV15" s="201"/>
      <c r="GW15" s="201"/>
      <c r="GX15" s="201"/>
      <c r="GY15" s="201"/>
      <c r="GZ15" s="201"/>
      <c r="HA15" s="201"/>
      <c r="HB15" s="201"/>
      <c r="HC15" s="201"/>
      <c r="HD15" s="201"/>
      <c r="HE15" s="201"/>
      <c r="HF15" s="201"/>
      <c r="HG15" s="201"/>
      <c r="HH15" s="201"/>
      <c r="HI15" s="201"/>
      <c r="HJ15" s="201"/>
      <c r="HK15" s="201"/>
      <c r="HL15" s="201"/>
      <c r="HM15" s="201"/>
      <c r="HN15" s="201"/>
      <c r="HO15" s="201"/>
      <c r="HP15" s="201"/>
      <c r="HQ15" s="201"/>
      <c r="HR15" s="201"/>
      <c r="HS15" s="201"/>
      <c r="HT15" s="201"/>
      <c r="HU15" s="201"/>
      <c r="HV15" s="201"/>
      <c r="HW15" s="201"/>
      <c r="HX15" s="201"/>
      <c r="HY15" s="201"/>
      <c r="HZ15" s="201"/>
      <c r="IA15" s="201"/>
      <c r="IB15" s="201"/>
      <c r="IC15" s="201"/>
      <c r="ID15" s="201"/>
      <c r="IE15" s="201"/>
      <c r="IF15" s="201"/>
      <c r="IG15" s="201"/>
      <c r="IH15" s="201"/>
      <c r="II15" s="201"/>
      <c r="IJ15" s="201"/>
      <c r="IK15" s="201"/>
      <c r="IL15" s="201"/>
      <c r="IM15" s="201"/>
      <c r="IN15" s="201"/>
      <c r="IO15" s="201"/>
      <c r="IP15" s="201"/>
      <c r="IQ15" s="201"/>
      <c r="IR15" s="201"/>
      <c r="IS15" s="201"/>
      <c r="IT15" s="201"/>
      <c r="IU15" s="201"/>
      <c r="IV15" s="201"/>
    </row>
    <row r="16" spans="1:256" ht="25.5" customHeight="1">
      <c r="A16" s="304"/>
      <c r="B16" s="198" t="s">
        <v>180</v>
      </c>
      <c r="C16" s="284"/>
      <c r="D16" s="284"/>
      <c r="E16" s="284"/>
      <c r="F16" s="284"/>
      <c r="G16" s="284"/>
      <c r="H16" s="284"/>
      <c r="I16" s="284"/>
      <c r="J16" s="284"/>
      <c r="K16" s="284"/>
      <c r="L16" s="284"/>
      <c r="M16" s="284"/>
      <c r="N16" s="284"/>
      <c r="O16" s="284"/>
      <c r="P16" s="284"/>
      <c r="Q16" s="284"/>
      <c r="R16" s="284"/>
      <c r="S16" s="284"/>
      <c r="T16" s="284"/>
      <c r="U16" s="285"/>
      <c r="V16" s="175"/>
      <c r="W16" s="175"/>
      <c r="X16" s="175"/>
      <c r="Y16" s="175"/>
      <c r="Z16" s="175"/>
      <c r="AA16" s="175"/>
      <c r="AB16" s="175"/>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5"/>
      <c r="EO16" s="175"/>
      <c r="EP16" s="175"/>
      <c r="EQ16" s="175"/>
      <c r="ER16" s="175"/>
      <c r="ES16" s="175"/>
      <c r="ET16" s="175"/>
      <c r="EU16" s="175"/>
      <c r="EV16" s="175"/>
      <c r="EW16" s="175"/>
      <c r="EX16" s="175"/>
      <c r="EY16" s="175"/>
      <c r="EZ16" s="175"/>
      <c r="FA16" s="175"/>
      <c r="FB16" s="175"/>
      <c r="FC16" s="175"/>
      <c r="FD16" s="175"/>
      <c r="FE16" s="175"/>
      <c r="FF16" s="175"/>
      <c r="FG16" s="175"/>
      <c r="FH16" s="175"/>
      <c r="FI16" s="175"/>
      <c r="FJ16" s="175"/>
      <c r="FK16" s="175"/>
      <c r="FL16" s="175"/>
      <c r="FM16" s="175"/>
      <c r="FN16" s="175"/>
      <c r="FO16" s="175"/>
      <c r="FP16" s="175"/>
      <c r="FQ16" s="175"/>
      <c r="FR16" s="175"/>
      <c r="FS16" s="175"/>
      <c r="FT16" s="175"/>
      <c r="FU16" s="175"/>
      <c r="FV16" s="175"/>
      <c r="FW16" s="175"/>
      <c r="FX16" s="175"/>
      <c r="FY16" s="175"/>
      <c r="FZ16" s="175"/>
      <c r="GA16" s="175"/>
      <c r="GB16" s="175"/>
      <c r="GC16" s="175"/>
      <c r="GD16" s="175"/>
      <c r="GE16" s="175"/>
      <c r="GF16" s="175"/>
      <c r="GG16" s="175"/>
      <c r="GH16" s="175"/>
      <c r="GI16" s="175"/>
      <c r="GJ16" s="175"/>
      <c r="GK16" s="175"/>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75"/>
      <c r="HX16" s="175"/>
      <c r="HY16" s="175"/>
      <c r="HZ16" s="175"/>
      <c r="IA16" s="175"/>
      <c r="IB16" s="175"/>
      <c r="IC16" s="175"/>
      <c r="ID16" s="175"/>
      <c r="IE16" s="175"/>
      <c r="IF16" s="175"/>
      <c r="IG16" s="175"/>
      <c r="IH16" s="175"/>
      <c r="II16" s="175"/>
      <c r="IJ16" s="175"/>
      <c r="IK16" s="175"/>
      <c r="IL16" s="175"/>
      <c r="IM16" s="175"/>
      <c r="IN16" s="175"/>
      <c r="IO16" s="175"/>
      <c r="IP16" s="175"/>
      <c r="IQ16" s="175"/>
      <c r="IR16" s="175"/>
      <c r="IS16" s="175"/>
      <c r="IT16" s="175"/>
      <c r="IU16" s="175"/>
      <c r="IV16" s="175"/>
    </row>
    <row r="17" spans="1:256" ht="25.5" customHeight="1">
      <c r="A17" s="268" t="s">
        <v>15</v>
      </c>
      <c r="B17" s="311" t="s">
        <v>242</v>
      </c>
      <c r="C17" s="287"/>
      <c r="D17" s="287"/>
      <c r="E17" s="287"/>
      <c r="F17" s="287"/>
      <c r="G17" s="288"/>
      <c r="H17" s="288"/>
      <c r="I17" s="288"/>
      <c r="J17" s="288"/>
      <c r="K17" s="288"/>
      <c r="L17" s="288"/>
      <c r="M17" s="289"/>
      <c r="N17" s="289"/>
      <c r="O17" s="289"/>
      <c r="P17" s="289"/>
      <c r="Q17" s="289"/>
      <c r="R17" s="289"/>
      <c r="S17" s="289"/>
      <c r="T17" s="289"/>
      <c r="U17" s="290"/>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c r="CU17" s="176"/>
      <c r="CV17" s="176"/>
      <c r="CW17" s="176"/>
      <c r="CX17" s="176"/>
      <c r="CY17" s="176"/>
      <c r="CZ17" s="176"/>
      <c r="DA17" s="176"/>
      <c r="DB17" s="176"/>
      <c r="DC17" s="176"/>
      <c r="DD17" s="176"/>
      <c r="DE17" s="176"/>
      <c r="DF17" s="176"/>
      <c r="DG17" s="176"/>
      <c r="DH17" s="176"/>
      <c r="DI17" s="176"/>
      <c r="DJ17" s="176"/>
      <c r="DK17" s="176"/>
      <c r="DL17" s="176"/>
      <c r="DM17" s="176"/>
      <c r="DN17" s="176"/>
      <c r="DO17" s="176"/>
      <c r="DP17" s="176"/>
      <c r="DQ17" s="176"/>
      <c r="DR17" s="176"/>
      <c r="DS17" s="176"/>
      <c r="DT17" s="176"/>
      <c r="DU17" s="176"/>
      <c r="DV17" s="176"/>
      <c r="DW17" s="176"/>
      <c r="DX17" s="176"/>
      <c r="DY17" s="176"/>
      <c r="DZ17" s="176"/>
      <c r="EA17" s="176"/>
      <c r="EB17" s="176"/>
      <c r="EC17" s="176"/>
      <c r="ED17" s="176"/>
      <c r="EE17" s="176"/>
      <c r="EF17" s="176"/>
      <c r="EG17" s="176"/>
      <c r="EH17" s="176"/>
      <c r="EI17" s="176"/>
      <c r="EJ17" s="176"/>
      <c r="EK17" s="176"/>
      <c r="EL17" s="176"/>
      <c r="EM17" s="176"/>
      <c r="EN17" s="176"/>
      <c r="EO17" s="176"/>
      <c r="EP17" s="176"/>
      <c r="EQ17" s="176"/>
      <c r="ER17" s="176"/>
      <c r="ES17" s="176"/>
      <c r="ET17" s="176"/>
      <c r="EU17" s="176"/>
      <c r="EV17" s="176"/>
      <c r="EW17" s="176"/>
      <c r="EX17" s="176"/>
      <c r="EY17" s="176"/>
      <c r="EZ17" s="176"/>
      <c r="FA17" s="176"/>
      <c r="FB17" s="176"/>
      <c r="FC17" s="176"/>
      <c r="FD17" s="176"/>
      <c r="FE17" s="176"/>
      <c r="FF17" s="176"/>
      <c r="FG17" s="176"/>
      <c r="FH17" s="176"/>
      <c r="FI17" s="176"/>
      <c r="FJ17" s="176"/>
      <c r="FK17" s="176"/>
      <c r="FL17" s="176"/>
      <c r="FM17" s="176"/>
      <c r="FN17" s="176"/>
      <c r="FO17" s="176"/>
      <c r="FP17" s="176"/>
      <c r="FQ17" s="176"/>
      <c r="FR17" s="176"/>
      <c r="FS17" s="176"/>
      <c r="FT17" s="176"/>
      <c r="FU17" s="176"/>
      <c r="FV17" s="176"/>
      <c r="FW17" s="176"/>
      <c r="FX17" s="176"/>
      <c r="FY17" s="176"/>
      <c r="FZ17" s="176"/>
      <c r="GA17" s="176"/>
      <c r="GB17" s="176"/>
      <c r="GC17" s="176"/>
      <c r="GD17" s="176"/>
      <c r="GE17" s="176"/>
      <c r="GF17" s="176"/>
      <c r="GG17" s="176"/>
      <c r="GH17" s="176"/>
      <c r="GI17" s="176"/>
      <c r="GJ17" s="176"/>
      <c r="GK17" s="176"/>
      <c r="GL17" s="176"/>
      <c r="GM17" s="176"/>
      <c r="GN17" s="176"/>
      <c r="GO17" s="176"/>
      <c r="GP17" s="176"/>
      <c r="GQ17" s="176"/>
      <c r="GR17" s="176"/>
      <c r="GS17" s="176"/>
      <c r="GT17" s="176"/>
      <c r="GU17" s="176"/>
      <c r="GV17" s="176"/>
      <c r="GW17" s="176"/>
      <c r="GX17" s="176"/>
      <c r="GY17" s="176"/>
      <c r="GZ17" s="176"/>
      <c r="HA17" s="176"/>
      <c r="HB17" s="176"/>
      <c r="HC17" s="176"/>
      <c r="HD17" s="176"/>
      <c r="HE17" s="176"/>
      <c r="HF17" s="176"/>
      <c r="HG17" s="176"/>
      <c r="HH17" s="176"/>
      <c r="HI17" s="176"/>
      <c r="HJ17" s="176"/>
      <c r="HK17" s="176"/>
      <c r="HL17" s="176"/>
      <c r="HM17" s="176"/>
      <c r="HN17" s="176"/>
      <c r="HO17" s="176"/>
      <c r="HP17" s="176"/>
      <c r="HQ17" s="176"/>
      <c r="HR17" s="176"/>
      <c r="HS17" s="176"/>
      <c r="HT17" s="176"/>
      <c r="HU17" s="176"/>
      <c r="HV17" s="176"/>
      <c r="HW17" s="176"/>
      <c r="HX17" s="176"/>
      <c r="HY17" s="176"/>
      <c r="HZ17" s="176"/>
      <c r="IA17" s="176"/>
      <c r="IB17" s="176"/>
      <c r="IC17" s="176"/>
      <c r="ID17" s="176"/>
      <c r="IE17" s="176"/>
      <c r="IF17" s="176"/>
      <c r="IG17" s="176"/>
      <c r="IH17" s="176"/>
      <c r="II17" s="176"/>
      <c r="IJ17" s="176"/>
      <c r="IK17" s="176"/>
      <c r="IL17" s="176"/>
      <c r="IM17" s="176"/>
      <c r="IN17" s="176"/>
      <c r="IO17" s="176"/>
      <c r="IP17" s="176"/>
      <c r="IQ17" s="176"/>
      <c r="IR17" s="176"/>
      <c r="IS17" s="176"/>
      <c r="IT17" s="176"/>
      <c r="IU17" s="176"/>
      <c r="IV17" s="176"/>
    </row>
    <row r="18" spans="1:256" ht="25.5" customHeight="1">
      <c r="A18" s="268" t="s">
        <v>32</v>
      </c>
      <c r="B18" s="312" t="s">
        <v>407</v>
      </c>
      <c r="C18" s="287"/>
      <c r="D18" s="287"/>
      <c r="E18" s="287"/>
      <c r="F18" s="287"/>
      <c r="G18" s="288"/>
      <c r="H18" s="288"/>
      <c r="I18" s="288"/>
      <c r="J18" s="288"/>
      <c r="K18" s="288"/>
      <c r="L18" s="288"/>
      <c r="M18" s="289"/>
      <c r="N18" s="289"/>
      <c r="O18" s="289"/>
      <c r="P18" s="289"/>
      <c r="Q18" s="289"/>
      <c r="R18" s="289"/>
      <c r="S18" s="289"/>
      <c r="T18" s="289"/>
      <c r="U18" s="290"/>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c r="CU18" s="176"/>
      <c r="CV18" s="176"/>
      <c r="CW18" s="176"/>
      <c r="CX18" s="176"/>
      <c r="CY18" s="176"/>
      <c r="CZ18" s="176"/>
      <c r="DA18" s="176"/>
      <c r="DB18" s="176"/>
      <c r="DC18" s="176"/>
      <c r="DD18" s="176"/>
      <c r="DE18" s="176"/>
      <c r="DF18" s="176"/>
      <c r="DG18" s="176"/>
      <c r="DH18" s="176"/>
      <c r="DI18" s="176"/>
      <c r="DJ18" s="176"/>
      <c r="DK18" s="176"/>
      <c r="DL18" s="176"/>
      <c r="DM18" s="176"/>
      <c r="DN18" s="176"/>
      <c r="DO18" s="176"/>
      <c r="DP18" s="176"/>
      <c r="DQ18" s="176"/>
      <c r="DR18" s="176"/>
      <c r="DS18" s="176"/>
      <c r="DT18" s="176"/>
      <c r="DU18" s="176"/>
      <c r="DV18" s="176"/>
      <c r="DW18" s="176"/>
      <c r="DX18" s="176"/>
      <c r="DY18" s="176"/>
      <c r="DZ18" s="176"/>
      <c r="EA18" s="176"/>
      <c r="EB18" s="176"/>
      <c r="EC18" s="176"/>
      <c r="ED18" s="176"/>
      <c r="EE18" s="176"/>
      <c r="EF18" s="176"/>
      <c r="EG18" s="176"/>
      <c r="EH18" s="176"/>
      <c r="EI18" s="176"/>
      <c r="EJ18" s="176"/>
      <c r="EK18" s="176"/>
      <c r="EL18" s="176"/>
      <c r="EM18" s="176"/>
      <c r="EN18" s="176"/>
      <c r="EO18" s="176"/>
      <c r="EP18" s="176"/>
      <c r="EQ18" s="176"/>
      <c r="ER18" s="176"/>
      <c r="ES18" s="176"/>
      <c r="ET18" s="176"/>
      <c r="EU18" s="176"/>
      <c r="EV18" s="176"/>
      <c r="EW18" s="176"/>
      <c r="EX18" s="176"/>
      <c r="EY18" s="176"/>
      <c r="EZ18" s="176"/>
      <c r="FA18" s="176"/>
      <c r="FB18" s="176"/>
      <c r="FC18" s="176"/>
      <c r="FD18" s="176"/>
      <c r="FE18" s="176"/>
      <c r="FF18" s="176"/>
      <c r="FG18" s="176"/>
      <c r="FH18" s="176"/>
      <c r="FI18" s="176"/>
      <c r="FJ18" s="176"/>
      <c r="FK18" s="176"/>
      <c r="FL18" s="176"/>
      <c r="FM18" s="176"/>
      <c r="FN18" s="176"/>
      <c r="FO18" s="176"/>
      <c r="FP18" s="176"/>
      <c r="FQ18" s="176"/>
      <c r="FR18" s="176"/>
      <c r="FS18" s="176"/>
      <c r="FT18" s="176"/>
      <c r="FU18" s="176"/>
      <c r="FV18" s="176"/>
      <c r="FW18" s="176"/>
      <c r="FX18" s="176"/>
      <c r="FY18" s="176"/>
      <c r="FZ18" s="176"/>
      <c r="GA18" s="176"/>
      <c r="GB18" s="176"/>
      <c r="GC18" s="176"/>
      <c r="GD18" s="176"/>
      <c r="GE18" s="176"/>
      <c r="GF18" s="176"/>
      <c r="GG18" s="176"/>
      <c r="GH18" s="176"/>
      <c r="GI18" s="176"/>
      <c r="GJ18" s="176"/>
      <c r="GK18" s="176"/>
      <c r="GL18" s="176"/>
      <c r="GM18" s="176"/>
      <c r="GN18" s="176"/>
      <c r="GO18" s="176"/>
      <c r="GP18" s="176"/>
      <c r="GQ18" s="176"/>
      <c r="GR18" s="176"/>
      <c r="GS18" s="176"/>
      <c r="GT18" s="176"/>
      <c r="GU18" s="176"/>
      <c r="GV18" s="176"/>
      <c r="GW18" s="176"/>
      <c r="GX18" s="176"/>
      <c r="GY18" s="176"/>
      <c r="GZ18" s="176"/>
      <c r="HA18" s="176"/>
      <c r="HB18" s="176"/>
      <c r="HC18" s="176"/>
      <c r="HD18" s="176"/>
      <c r="HE18" s="176"/>
      <c r="HF18" s="176"/>
      <c r="HG18" s="176"/>
      <c r="HH18" s="176"/>
      <c r="HI18" s="176"/>
      <c r="HJ18" s="176"/>
      <c r="HK18" s="176"/>
      <c r="HL18" s="176"/>
      <c r="HM18" s="176"/>
      <c r="HN18" s="176"/>
      <c r="HO18" s="176"/>
      <c r="HP18" s="176"/>
      <c r="HQ18" s="176"/>
      <c r="HR18" s="176"/>
      <c r="HS18" s="176"/>
      <c r="HT18" s="176"/>
      <c r="HU18" s="176"/>
      <c r="HV18" s="176"/>
      <c r="HW18" s="176"/>
      <c r="HX18" s="176"/>
      <c r="HY18" s="176"/>
      <c r="HZ18" s="176"/>
      <c r="IA18" s="176"/>
      <c r="IB18" s="176"/>
      <c r="IC18" s="176"/>
      <c r="ID18" s="176"/>
      <c r="IE18" s="176"/>
      <c r="IF18" s="176"/>
      <c r="IG18" s="176"/>
      <c r="IH18" s="176"/>
      <c r="II18" s="176"/>
      <c r="IJ18" s="176"/>
      <c r="IK18" s="176"/>
      <c r="IL18" s="176"/>
      <c r="IM18" s="176"/>
      <c r="IN18" s="176"/>
      <c r="IO18" s="176"/>
      <c r="IP18" s="176"/>
      <c r="IQ18" s="176"/>
      <c r="IR18" s="176"/>
      <c r="IS18" s="176"/>
      <c r="IT18" s="176"/>
      <c r="IU18" s="176"/>
      <c r="IV18" s="176"/>
    </row>
    <row r="19" spans="1:256" ht="25.5" customHeight="1">
      <c r="A19" s="273">
        <v>1</v>
      </c>
      <c r="B19" s="269" t="s">
        <v>243</v>
      </c>
      <c r="C19" s="292"/>
      <c r="D19" s="292"/>
      <c r="E19" s="292"/>
      <c r="F19" s="292"/>
      <c r="G19" s="292"/>
      <c r="H19" s="292"/>
      <c r="I19" s="292"/>
      <c r="J19" s="292"/>
      <c r="K19" s="292"/>
      <c r="L19" s="292"/>
      <c r="M19" s="293"/>
      <c r="N19" s="293"/>
      <c r="O19" s="293"/>
      <c r="P19" s="293"/>
      <c r="Q19" s="293"/>
      <c r="R19" s="293"/>
      <c r="S19" s="293"/>
      <c r="T19" s="293"/>
      <c r="U19" s="294"/>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row>
    <row r="20" spans="1:256" ht="25.5" customHeight="1">
      <c r="A20" s="310" t="s">
        <v>24</v>
      </c>
      <c r="B20" s="276" t="s">
        <v>88</v>
      </c>
      <c r="C20" s="292"/>
      <c r="D20" s="292"/>
      <c r="E20" s="292"/>
      <c r="F20" s="292"/>
      <c r="G20" s="292"/>
      <c r="H20" s="292"/>
      <c r="I20" s="292"/>
      <c r="J20" s="292"/>
      <c r="K20" s="292"/>
      <c r="L20" s="292"/>
      <c r="M20" s="293"/>
      <c r="N20" s="293"/>
      <c r="O20" s="293"/>
      <c r="P20" s="293"/>
      <c r="Q20" s="293"/>
      <c r="R20" s="293"/>
      <c r="S20" s="293"/>
      <c r="T20" s="293"/>
      <c r="U20" s="294"/>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row>
    <row r="21" spans="1:256" ht="25.5" customHeight="1">
      <c r="A21" s="310" t="s">
        <v>24</v>
      </c>
      <c r="B21" s="277" t="s">
        <v>90</v>
      </c>
      <c r="C21" s="292"/>
      <c r="D21" s="292"/>
      <c r="E21" s="292"/>
      <c r="F21" s="292"/>
      <c r="G21" s="292"/>
      <c r="H21" s="292"/>
      <c r="I21" s="292"/>
      <c r="J21" s="292"/>
      <c r="K21" s="292"/>
      <c r="L21" s="292"/>
      <c r="M21" s="293"/>
      <c r="N21" s="293"/>
      <c r="O21" s="293"/>
      <c r="P21" s="293"/>
      <c r="Q21" s="293"/>
      <c r="R21" s="293"/>
      <c r="S21" s="293"/>
      <c r="T21" s="293"/>
      <c r="U21" s="294"/>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row>
    <row r="22" spans="1:256" ht="25.5" customHeight="1">
      <c r="A22" s="273">
        <v>2</v>
      </c>
      <c r="B22" s="269" t="s">
        <v>244</v>
      </c>
      <c r="C22" s="292"/>
      <c r="D22" s="292"/>
      <c r="E22" s="292"/>
      <c r="F22" s="292"/>
      <c r="G22" s="292"/>
      <c r="H22" s="292"/>
      <c r="I22" s="292"/>
      <c r="J22" s="292"/>
      <c r="K22" s="292"/>
      <c r="L22" s="292"/>
      <c r="M22" s="293"/>
      <c r="N22" s="293"/>
      <c r="O22" s="293"/>
      <c r="P22" s="293"/>
      <c r="Q22" s="293"/>
      <c r="R22" s="293"/>
      <c r="S22" s="293"/>
      <c r="T22" s="293"/>
      <c r="U22" s="294"/>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row>
    <row r="23" spans="1:256" ht="25.5" customHeight="1">
      <c r="A23" s="268" t="s">
        <v>125</v>
      </c>
      <c r="B23" s="314" t="s">
        <v>245</v>
      </c>
      <c r="C23" s="287"/>
      <c r="D23" s="287"/>
      <c r="E23" s="287"/>
      <c r="F23" s="287"/>
      <c r="G23" s="288"/>
      <c r="H23" s="288"/>
      <c r="I23" s="288"/>
      <c r="J23" s="288"/>
      <c r="K23" s="288"/>
      <c r="L23" s="288"/>
      <c r="M23" s="289"/>
      <c r="N23" s="289"/>
      <c r="O23" s="289"/>
      <c r="P23" s="289"/>
      <c r="Q23" s="289"/>
      <c r="R23" s="289"/>
      <c r="S23" s="289"/>
      <c r="T23" s="289"/>
      <c r="U23" s="290"/>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c r="CU23" s="176"/>
      <c r="CV23" s="176"/>
      <c r="CW23" s="176"/>
      <c r="CX23" s="176"/>
      <c r="CY23" s="176"/>
      <c r="CZ23" s="176"/>
      <c r="DA23" s="176"/>
      <c r="DB23" s="176"/>
      <c r="DC23" s="176"/>
      <c r="DD23" s="176"/>
      <c r="DE23" s="176"/>
      <c r="DF23" s="176"/>
      <c r="DG23" s="176"/>
      <c r="DH23" s="176"/>
      <c r="DI23" s="176"/>
      <c r="DJ23" s="176"/>
      <c r="DK23" s="176"/>
      <c r="DL23" s="176"/>
      <c r="DM23" s="176"/>
      <c r="DN23" s="176"/>
      <c r="DO23" s="176"/>
      <c r="DP23" s="176"/>
      <c r="DQ23" s="176"/>
      <c r="DR23" s="176"/>
      <c r="DS23" s="176"/>
      <c r="DT23" s="176"/>
      <c r="DU23" s="176"/>
      <c r="DV23" s="176"/>
      <c r="DW23" s="176"/>
      <c r="DX23" s="176"/>
      <c r="DY23" s="176"/>
      <c r="DZ23" s="176"/>
      <c r="EA23" s="176"/>
      <c r="EB23" s="176"/>
      <c r="EC23" s="176"/>
      <c r="ED23" s="176"/>
      <c r="EE23" s="176"/>
      <c r="EF23" s="176"/>
      <c r="EG23" s="176"/>
      <c r="EH23" s="176"/>
      <c r="EI23" s="176"/>
      <c r="EJ23" s="176"/>
      <c r="EK23" s="176"/>
      <c r="EL23" s="176"/>
      <c r="EM23" s="176"/>
      <c r="EN23" s="176"/>
      <c r="EO23" s="176"/>
      <c r="EP23" s="176"/>
      <c r="EQ23" s="176"/>
      <c r="ER23" s="176"/>
      <c r="ES23" s="176"/>
      <c r="ET23" s="176"/>
      <c r="EU23" s="176"/>
      <c r="EV23" s="176"/>
      <c r="EW23" s="176"/>
      <c r="EX23" s="176"/>
      <c r="EY23" s="176"/>
      <c r="EZ23" s="176"/>
      <c r="FA23" s="176"/>
      <c r="FB23" s="176"/>
      <c r="FC23" s="176"/>
      <c r="FD23" s="176"/>
      <c r="FE23" s="176"/>
      <c r="FF23" s="176"/>
      <c r="FG23" s="176"/>
      <c r="FH23" s="176"/>
      <c r="FI23" s="176"/>
      <c r="FJ23" s="176"/>
      <c r="FK23" s="176"/>
      <c r="FL23" s="176"/>
      <c r="FM23" s="176"/>
      <c r="FN23" s="176"/>
      <c r="FO23" s="176"/>
      <c r="FP23" s="176"/>
      <c r="FQ23" s="176"/>
      <c r="FR23" s="176"/>
      <c r="FS23" s="176"/>
      <c r="FT23" s="176"/>
      <c r="FU23" s="176"/>
      <c r="FV23" s="176"/>
      <c r="FW23" s="176"/>
      <c r="FX23" s="176"/>
      <c r="FY23" s="176"/>
      <c r="FZ23" s="176"/>
      <c r="GA23" s="176"/>
      <c r="GB23" s="176"/>
      <c r="GC23" s="176"/>
      <c r="GD23" s="176"/>
      <c r="GE23" s="176"/>
      <c r="GF23" s="176"/>
      <c r="GG23" s="176"/>
      <c r="GH23" s="176"/>
      <c r="GI23" s="176"/>
      <c r="GJ23" s="176"/>
      <c r="GK23" s="176"/>
      <c r="GL23" s="176"/>
      <c r="GM23" s="176"/>
      <c r="GN23" s="176"/>
      <c r="GO23" s="176"/>
      <c r="GP23" s="176"/>
      <c r="GQ23" s="176"/>
      <c r="GR23" s="176"/>
      <c r="GS23" s="176"/>
      <c r="GT23" s="176"/>
      <c r="GU23" s="176"/>
      <c r="GV23" s="176"/>
      <c r="GW23" s="176"/>
      <c r="GX23" s="176"/>
      <c r="GY23" s="176"/>
      <c r="GZ23" s="176"/>
      <c r="HA23" s="176"/>
      <c r="HB23" s="176"/>
      <c r="HC23" s="176"/>
      <c r="HD23" s="176"/>
      <c r="HE23" s="176"/>
      <c r="HF23" s="176"/>
      <c r="HG23" s="176"/>
      <c r="HH23" s="176"/>
      <c r="HI23" s="176"/>
      <c r="HJ23" s="176"/>
      <c r="HK23" s="176"/>
      <c r="HL23" s="176"/>
      <c r="HM23" s="176"/>
      <c r="HN23" s="176"/>
      <c r="HO23" s="176"/>
      <c r="HP23" s="176"/>
      <c r="HQ23" s="176"/>
      <c r="HR23" s="176"/>
      <c r="HS23" s="176"/>
      <c r="HT23" s="176"/>
      <c r="HU23" s="176"/>
      <c r="HV23" s="176"/>
      <c r="HW23" s="176"/>
      <c r="HX23" s="176"/>
      <c r="HY23" s="176"/>
      <c r="HZ23" s="176"/>
      <c r="IA23" s="176"/>
      <c r="IB23" s="176"/>
      <c r="IC23" s="176"/>
      <c r="ID23" s="176"/>
      <c r="IE23" s="176"/>
      <c r="IF23" s="176"/>
      <c r="IG23" s="176"/>
      <c r="IH23" s="176"/>
      <c r="II23" s="176"/>
      <c r="IJ23" s="176"/>
      <c r="IK23" s="176"/>
      <c r="IL23" s="176"/>
      <c r="IM23" s="176"/>
      <c r="IN23" s="176"/>
      <c r="IO23" s="176"/>
      <c r="IP23" s="176"/>
      <c r="IQ23" s="176"/>
      <c r="IR23" s="176"/>
      <c r="IS23" s="176"/>
      <c r="IT23" s="176"/>
      <c r="IU23" s="176"/>
      <c r="IV23" s="176"/>
    </row>
    <row r="24" spans="1:256" ht="25.5" customHeight="1">
      <c r="A24" s="310" t="s">
        <v>24</v>
      </c>
      <c r="B24" s="276" t="s">
        <v>89</v>
      </c>
      <c r="C24" s="292"/>
      <c r="D24" s="292"/>
      <c r="E24" s="292"/>
      <c r="F24" s="292"/>
      <c r="G24" s="292"/>
      <c r="H24" s="292"/>
      <c r="I24" s="292"/>
      <c r="J24" s="292"/>
      <c r="K24" s="292"/>
      <c r="L24" s="292"/>
      <c r="M24" s="293"/>
      <c r="N24" s="293"/>
      <c r="O24" s="293"/>
      <c r="P24" s="293"/>
      <c r="Q24" s="293"/>
      <c r="R24" s="293"/>
      <c r="S24" s="293"/>
      <c r="T24" s="293"/>
      <c r="U24" s="294"/>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row>
    <row r="25" spans="1:256" ht="25.5" customHeight="1">
      <c r="A25" s="310" t="s">
        <v>24</v>
      </c>
      <c r="B25" s="277" t="s">
        <v>90</v>
      </c>
      <c r="C25" s="287"/>
      <c r="D25" s="287"/>
      <c r="E25" s="287"/>
      <c r="F25" s="287"/>
      <c r="G25" s="288"/>
      <c r="H25" s="288"/>
      <c r="I25" s="288"/>
      <c r="J25" s="288"/>
      <c r="K25" s="288"/>
      <c r="L25" s="288"/>
      <c r="M25" s="289"/>
      <c r="N25" s="289"/>
      <c r="O25" s="289"/>
      <c r="P25" s="289"/>
      <c r="Q25" s="289"/>
      <c r="R25" s="289"/>
      <c r="S25" s="289"/>
      <c r="T25" s="289"/>
      <c r="U25" s="290"/>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c r="CU25" s="176"/>
      <c r="CV25" s="176"/>
      <c r="CW25" s="176"/>
      <c r="CX25" s="176"/>
      <c r="CY25" s="176"/>
      <c r="CZ25" s="176"/>
      <c r="DA25" s="176"/>
      <c r="DB25" s="176"/>
      <c r="DC25" s="176"/>
      <c r="DD25" s="176"/>
      <c r="DE25" s="176"/>
      <c r="DF25" s="176"/>
      <c r="DG25" s="176"/>
      <c r="DH25" s="176"/>
      <c r="DI25" s="176"/>
      <c r="DJ25" s="176"/>
      <c r="DK25" s="176"/>
      <c r="DL25" s="176"/>
      <c r="DM25" s="176"/>
      <c r="DN25" s="176"/>
      <c r="DO25" s="176"/>
      <c r="DP25" s="176"/>
      <c r="DQ25" s="176"/>
      <c r="DR25" s="176"/>
      <c r="DS25" s="176"/>
      <c r="DT25" s="176"/>
      <c r="DU25" s="176"/>
      <c r="DV25" s="176"/>
      <c r="DW25" s="176"/>
      <c r="DX25" s="176"/>
      <c r="DY25" s="176"/>
      <c r="DZ25" s="176"/>
      <c r="EA25" s="176"/>
      <c r="EB25" s="176"/>
      <c r="EC25" s="176"/>
      <c r="ED25" s="176"/>
      <c r="EE25" s="176"/>
      <c r="EF25" s="176"/>
      <c r="EG25" s="176"/>
      <c r="EH25" s="176"/>
      <c r="EI25" s="176"/>
      <c r="EJ25" s="176"/>
      <c r="EK25" s="176"/>
      <c r="EL25" s="176"/>
      <c r="EM25" s="176"/>
      <c r="EN25" s="176"/>
      <c r="EO25" s="176"/>
      <c r="EP25" s="176"/>
      <c r="EQ25" s="176"/>
      <c r="ER25" s="176"/>
      <c r="ES25" s="176"/>
      <c r="ET25" s="176"/>
      <c r="EU25" s="176"/>
      <c r="EV25" s="176"/>
      <c r="EW25" s="176"/>
      <c r="EX25" s="176"/>
      <c r="EY25" s="176"/>
      <c r="EZ25" s="176"/>
      <c r="FA25" s="176"/>
      <c r="FB25" s="176"/>
      <c r="FC25" s="176"/>
      <c r="FD25" s="176"/>
      <c r="FE25" s="176"/>
      <c r="FF25" s="176"/>
      <c r="FG25" s="176"/>
      <c r="FH25" s="176"/>
      <c r="FI25" s="176"/>
      <c r="FJ25" s="176"/>
      <c r="FK25" s="176"/>
      <c r="FL25" s="176"/>
      <c r="FM25" s="176"/>
      <c r="FN25" s="176"/>
      <c r="FO25" s="176"/>
      <c r="FP25" s="176"/>
      <c r="FQ25" s="176"/>
      <c r="FR25" s="176"/>
      <c r="FS25" s="176"/>
      <c r="FT25" s="176"/>
      <c r="FU25" s="176"/>
      <c r="FV25" s="176"/>
      <c r="FW25" s="176"/>
      <c r="FX25" s="176"/>
      <c r="FY25" s="176"/>
      <c r="FZ25" s="176"/>
      <c r="GA25" s="176"/>
      <c r="GB25" s="176"/>
      <c r="GC25" s="176"/>
      <c r="GD25" s="176"/>
      <c r="GE25" s="176"/>
      <c r="GF25" s="176"/>
      <c r="GG25" s="176"/>
      <c r="GH25" s="176"/>
      <c r="GI25" s="176"/>
      <c r="GJ25" s="176"/>
      <c r="GK25" s="176"/>
      <c r="GL25" s="176"/>
      <c r="GM25" s="176"/>
      <c r="GN25" s="176"/>
      <c r="GO25" s="176"/>
      <c r="GP25" s="176"/>
      <c r="GQ25" s="176"/>
      <c r="GR25" s="176"/>
      <c r="GS25" s="176"/>
      <c r="GT25" s="176"/>
      <c r="GU25" s="176"/>
      <c r="GV25" s="176"/>
      <c r="GW25" s="176"/>
      <c r="GX25" s="176"/>
      <c r="GY25" s="176"/>
      <c r="GZ25" s="176"/>
      <c r="HA25" s="176"/>
      <c r="HB25" s="176"/>
      <c r="HC25" s="176"/>
      <c r="HD25" s="176"/>
      <c r="HE25" s="176"/>
      <c r="HF25" s="176"/>
      <c r="HG25" s="176"/>
      <c r="HH25" s="176"/>
      <c r="HI25" s="176"/>
      <c r="HJ25" s="176"/>
      <c r="HK25" s="176"/>
      <c r="HL25" s="176"/>
      <c r="HM25" s="176"/>
      <c r="HN25" s="176"/>
      <c r="HO25" s="176"/>
      <c r="HP25" s="176"/>
      <c r="HQ25" s="176"/>
      <c r="HR25" s="176"/>
      <c r="HS25" s="176"/>
      <c r="HT25" s="176"/>
      <c r="HU25" s="176"/>
      <c r="HV25" s="176"/>
      <c r="HW25" s="176"/>
      <c r="HX25" s="176"/>
      <c r="HY25" s="176"/>
      <c r="HZ25" s="176"/>
      <c r="IA25" s="176"/>
      <c r="IB25" s="176"/>
      <c r="IC25" s="176"/>
      <c r="ID25" s="176"/>
      <c r="IE25" s="176"/>
      <c r="IF25" s="176"/>
      <c r="IG25" s="176"/>
      <c r="IH25" s="176"/>
      <c r="II25" s="176"/>
      <c r="IJ25" s="176"/>
      <c r="IK25" s="176"/>
      <c r="IL25" s="176"/>
      <c r="IM25" s="176"/>
      <c r="IN25" s="176"/>
      <c r="IO25" s="176"/>
      <c r="IP25" s="176"/>
      <c r="IQ25" s="176"/>
      <c r="IR25" s="176"/>
      <c r="IS25" s="176"/>
      <c r="IT25" s="176"/>
      <c r="IU25" s="176"/>
      <c r="IV25" s="176"/>
    </row>
    <row r="26" spans="1:256" ht="25.5" customHeight="1">
      <c r="A26" s="268" t="s">
        <v>126</v>
      </c>
      <c r="B26" s="314" t="s">
        <v>246</v>
      </c>
      <c r="C26" s="287"/>
      <c r="D26" s="287"/>
      <c r="E26" s="287"/>
      <c r="F26" s="287"/>
      <c r="G26" s="288"/>
      <c r="H26" s="288"/>
      <c r="I26" s="288"/>
      <c r="J26" s="288"/>
      <c r="K26" s="288"/>
      <c r="L26" s="288"/>
      <c r="M26" s="289"/>
      <c r="N26" s="289"/>
      <c r="O26" s="289"/>
      <c r="P26" s="289"/>
      <c r="Q26" s="289"/>
      <c r="R26" s="289"/>
      <c r="S26" s="289"/>
      <c r="T26" s="289"/>
      <c r="U26" s="290"/>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c r="CU26" s="176"/>
      <c r="CV26" s="176"/>
      <c r="CW26" s="176"/>
      <c r="CX26" s="176"/>
      <c r="CY26" s="176"/>
      <c r="CZ26" s="176"/>
      <c r="DA26" s="176"/>
      <c r="DB26" s="176"/>
      <c r="DC26" s="176"/>
      <c r="DD26" s="176"/>
      <c r="DE26" s="176"/>
      <c r="DF26" s="176"/>
      <c r="DG26" s="176"/>
      <c r="DH26" s="176"/>
      <c r="DI26" s="176"/>
      <c r="DJ26" s="176"/>
      <c r="DK26" s="176"/>
      <c r="DL26" s="176"/>
      <c r="DM26" s="176"/>
      <c r="DN26" s="176"/>
      <c r="DO26" s="176"/>
      <c r="DP26" s="176"/>
      <c r="DQ26" s="176"/>
      <c r="DR26" s="176"/>
      <c r="DS26" s="176"/>
      <c r="DT26" s="176"/>
      <c r="DU26" s="176"/>
      <c r="DV26" s="176"/>
      <c r="DW26" s="176"/>
      <c r="DX26" s="176"/>
      <c r="DY26" s="176"/>
      <c r="DZ26" s="176"/>
      <c r="EA26" s="176"/>
      <c r="EB26" s="176"/>
      <c r="EC26" s="176"/>
      <c r="ED26" s="176"/>
      <c r="EE26" s="176"/>
      <c r="EF26" s="176"/>
      <c r="EG26" s="176"/>
      <c r="EH26" s="176"/>
      <c r="EI26" s="176"/>
      <c r="EJ26" s="176"/>
      <c r="EK26" s="176"/>
      <c r="EL26" s="176"/>
      <c r="EM26" s="176"/>
      <c r="EN26" s="176"/>
      <c r="EO26" s="176"/>
      <c r="EP26" s="176"/>
      <c r="EQ26" s="176"/>
      <c r="ER26" s="176"/>
      <c r="ES26" s="176"/>
      <c r="ET26" s="176"/>
      <c r="EU26" s="176"/>
      <c r="EV26" s="176"/>
      <c r="EW26" s="176"/>
      <c r="EX26" s="176"/>
      <c r="EY26" s="176"/>
      <c r="EZ26" s="176"/>
      <c r="FA26" s="176"/>
      <c r="FB26" s="176"/>
      <c r="FC26" s="176"/>
      <c r="FD26" s="176"/>
      <c r="FE26" s="176"/>
      <c r="FF26" s="176"/>
      <c r="FG26" s="176"/>
      <c r="FH26" s="176"/>
      <c r="FI26" s="176"/>
      <c r="FJ26" s="176"/>
      <c r="FK26" s="176"/>
      <c r="FL26" s="176"/>
      <c r="FM26" s="176"/>
      <c r="FN26" s="176"/>
      <c r="FO26" s="176"/>
      <c r="FP26" s="176"/>
      <c r="FQ26" s="176"/>
      <c r="FR26" s="176"/>
      <c r="FS26" s="176"/>
      <c r="FT26" s="176"/>
      <c r="FU26" s="176"/>
      <c r="FV26" s="176"/>
      <c r="FW26" s="176"/>
      <c r="FX26" s="176"/>
      <c r="FY26" s="176"/>
      <c r="FZ26" s="176"/>
      <c r="GA26" s="176"/>
      <c r="GB26" s="176"/>
      <c r="GC26" s="176"/>
      <c r="GD26" s="176"/>
      <c r="GE26" s="176"/>
      <c r="GF26" s="176"/>
      <c r="GG26" s="176"/>
      <c r="GH26" s="176"/>
      <c r="GI26" s="176"/>
      <c r="GJ26" s="176"/>
      <c r="GK26" s="176"/>
      <c r="GL26" s="176"/>
      <c r="GM26" s="176"/>
      <c r="GN26" s="176"/>
      <c r="GO26" s="176"/>
      <c r="GP26" s="176"/>
      <c r="GQ26" s="176"/>
      <c r="GR26" s="176"/>
      <c r="GS26" s="176"/>
      <c r="GT26" s="176"/>
      <c r="GU26" s="176"/>
      <c r="GV26" s="176"/>
      <c r="GW26" s="176"/>
      <c r="GX26" s="176"/>
      <c r="GY26" s="176"/>
      <c r="GZ26" s="176"/>
      <c r="HA26" s="176"/>
      <c r="HB26" s="176"/>
      <c r="HC26" s="176"/>
      <c r="HD26" s="176"/>
      <c r="HE26" s="176"/>
      <c r="HF26" s="176"/>
      <c r="HG26" s="176"/>
      <c r="HH26" s="176"/>
      <c r="HI26" s="176"/>
      <c r="HJ26" s="176"/>
      <c r="HK26" s="176"/>
      <c r="HL26" s="176"/>
      <c r="HM26" s="176"/>
      <c r="HN26" s="176"/>
      <c r="HO26" s="176"/>
      <c r="HP26" s="176"/>
      <c r="HQ26" s="176"/>
      <c r="HR26" s="176"/>
      <c r="HS26" s="176"/>
      <c r="HT26" s="176"/>
      <c r="HU26" s="176"/>
      <c r="HV26" s="176"/>
      <c r="HW26" s="176"/>
      <c r="HX26" s="176"/>
      <c r="HY26" s="176"/>
      <c r="HZ26" s="176"/>
      <c r="IA26" s="176"/>
      <c r="IB26" s="176"/>
      <c r="IC26" s="176"/>
      <c r="ID26" s="176"/>
      <c r="IE26" s="176"/>
      <c r="IF26" s="176"/>
      <c r="IG26" s="176"/>
      <c r="IH26" s="176"/>
      <c r="II26" s="176"/>
      <c r="IJ26" s="176"/>
      <c r="IK26" s="176"/>
      <c r="IL26" s="176"/>
      <c r="IM26" s="176"/>
      <c r="IN26" s="176"/>
      <c r="IO26" s="176"/>
      <c r="IP26" s="176"/>
      <c r="IQ26" s="176"/>
      <c r="IR26" s="176"/>
      <c r="IS26" s="176"/>
      <c r="IT26" s="176"/>
      <c r="IU26" s="176"/>
      <c r="IV26" s="176"/>
    </row>
    <row r="27" spans="1:256" ht="25.5" customHeight="1">
      <c r="A27" s="310" t="s">
        <v>24</v>
      </c>
      <c r="B27" s="276" t="s">
        <v>161</v>
      </c>
      <c r="C27" s="292"/>
      <c r="D27" s="292"/>
      <c r="E27" s="292"/>
      <c r="F27" s="292"/>
      <c r="G27" s="292"/>
      <c r="H27" s="292"/>
      <c r="I27" s="292"/>
      <c r="J27" s="292"/>
      <c r="K27" s="292"/>
      <c r="L27" s="292"/>
      <c r="M27" s="293"/>
      <c r="N27" s="293"/>
      <c r="O27" s="293"/>
      <c r="P27" s="293"/>
      <c r="Q27" s="293"/>
      <c r="R27" s="293"/>
      <c r="S27" s="293"/>
      <c r="T27" s="293"/>
      <c r="U27" s="294"/>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c r="CS27" s="175"/>
      <c r="CT27" s="175"/>
      <c r="CU27" s="175"/>
      <c r="CV27" s="175"/>
      <c r="CW27" s="175"/>
      <c r="CX27" s="175"/>
      <c r="CY27" s="175"/>
      <c r="CZ27" s="175"/>
      <c r="DA27" s="175"/>
      <c r="DB27" s="175"/>
      <c r="DC27" s="175"/>
      <c r="DD27" s="175"/>
      <c r="DE27" s="175"/>
      <c r="DF27" s="175"/>
      <c r="DG27" s="175"/>
      <c r="DH27" s="175"/>
      <c r="DI27" s="175"/>
      <c r="DJ27" s="175"/>
      <c r="DK27" s="175"/>
      <c r="DL27" s="175"/>
      <c r="DM27" s="175"/>
      <c r="DN27" s="175"/>
      <c r="DO27" s="175"/>
      <c r="DP27" s="175"/>
      <c r="DQ27" s="175"/>
      <c r="DR27" s="175"/>
      <c r="DS27" s="175"/>
      <c r="DT27" s="175"/>
      <c r="DU27" s="175"/>
      <c r="DV27" s="175"/>
      <c r="DW27" s="175"/>
      <c r="DX27" s="175"/>
      <c r="DY27" s="175"/>
      <c r="DZ27" s="175"/>
      <c r="EA27" s="175"/>
      <c r="EB27" s="175"/>
      <c r="EC27" s="175"/>
      <c r="ED27" s="175"/>
      <c r="EE27" s="175"/>
      <c r="EF27" s="175"/>
      <c r="EG27" s="175"/>
      <c r="EH27" s="175"/>
      <c r="EI27" s="175"/>
      <c r="EJ27" s="175"/>
      <c r="EK27" s="175"/>
      <c r="EL27" s="175"/>
      <c r="EM27" s="175"/>
      <c r="EN27" s="175"/>
      <c r="EO27" s="175"/>
      <c r="EP27" s="175"/>
      <c r="EQ27" s="175"/>
      <c r="ER27" s="175"/>
      <c r="ES27" s="175"/>
      <c r="ET27" s="175"/>
      <c r="EU27" s="175"/>
      <c r="EV27" s="175"/>
      <c r="EW27" s="175"/>
      <c r="EX27" s="175"/>
      <c r="EY27" s="175"/>
      <c r="EZ27" s="175"/>
      <c r="FA27" s="175"/>
      <c r="FB27" s="175"/>
      <c r="FC27" s="175"/>
      <c r="FD27" s="175"/>
      <c r="FE27" s="175"/>
      <c r="FF27" s="175"/>
      <c r="FG27" s="175"/>
      <c r="FH27" s="175"/>
      <c r="FI27" s="175"/>
      <c r="FJ27" s="175"/>
      <c r="FK27" s="175"/>
      <c r="FL27" s="175"/>
      <c r="FM27" s="175"/>
      <c r="FN27" s="175"/>
      <c r="FO27" s="175"/>
      <c r="FP27" s="175"/>
      <c r="FQ27" s="175"/>
      <c r="FR27" s="175"/>
      <c r="FS27" s="175"/>
      <c r="FT27" s="175"/>
      <c r="FU27" s="175"/>
      <c r="FV27" s="175"/>
      <c r="FW27" s="175"/>
      <c r="FX27" s="175"/>
      <c r="FY27" s="175"/>
      <c r="FZ27" s="175"/>
      <c r="GA27" s="175"/>
      <c r="GB27" s="175"/>
      <c r="GC27" s="175"/>
      <c r="GD27" s="175"/>
      <c r="GE27" s="175"/>
      <c r="GF27" s="175"/>
      <c r="GG27" s="175"/>
      <c r="GH27" s="175"/>
      <c r="GI27" s="175"/>
      <c r="GJ27" s="175"/>
      <c r="GK27" s="175"/>
      <c r="GL27" s="175"/>
      <c r="GM27" s="175"/>
      <c r="GN27" s="175"/>
      <c r="GO27" s="175"/>
      <c r="GP27" s="175"/>
      <c r="GQ27" s="175"/>
      <c r="GR27" s="175"/>
      <c r="GS27" s="175"/>
      <c r="GT27" s="175"/>
      <c r="GU27" s="175"/>
      <c r="GV27" s="175"/>
      <c r="GW27" s="175"/>
      <c r="GX27" s="175"/>
      <c r="GY27" s="175"/>
      <c r="GZ27" s="175"/>
      <c r="HA27" s="175"/>
      <c r="HB27" s="175"/>
      <c r="HC27" s="175"/>
      <c r="HD27" s="175"/>
      <c r="HE27" s="175"/>
      <c r="HF27" s="175"/>
      <c r="HG27" s="175"/>
      <c r="HH27" s="175"/>
      <c r="HI27" s="175"/>
      <c r="HJ27" s="175"/>
      <c r="HK27" s="175"/>
      <c r="HL27" s="175"/>
      <c r="HM27" s="175"/>
      <c r="HN27" s="175"/>
      <c r="HO27" s="175"/>
      <c r="HP27" s="175"/>
      <c r="HQ27" s="175"/>
      <c r="HR27" s="175"/>
      <c r="HS27" s="175"/>
      <c r="HT27" s="175"/>
      <c r="HU27" s="175"/>
      <c r="HV27" s="175"/>
      <c r="HW27" s="175"/>
      <c r="HX27" s="175"/>
      <c r="HY27" s="175"/>
      <c r="HZ27" s="175"/>
      <c r="IA27" s="175"/>
      <c r="IB27" s="175"/>
      <c r="IC27" s="175"/>
      <c r="ID27" s="175"/>
      <c r="IE27" s="175"/>
      <c r="IF27" s="175"/>
      <c r="IG27" s="175"/>
      <c r="IH27" s="175"/>
      <c r="II27" s="175"/>
      <c r="IJ27" s="175"/>
      <c r="IK27" s="175"/>
      <c r="IL27" s="175"/>
      <c r="IM27" s="175"/>
      <c r="IN27" s="175"/>
      <c r="IO27" s="175"/>
      <c r="IP27" s="175"/>
      <c r="IQ27" s="175"/>
      <c r="IR27" s="175"/>
      <c r="IS27" s="175"/>
      <c r="IT27" s="175"/>
      <c r="IU27" s="175"/>
      <c r="IV27" s="175"/>
    </row>
    <row r="28" spans="1:256" ht="25.5" customHeight="1">
      <c r="A28" s="310" t="s">
        <v>24</v>
      </c>
      <c r="B28" s="277" t="s">
        <v>90</v>
      </c>
      <c r="C28" s="287"/>
      <c r="D28" s="287"/>
      <c r="E28" s="287"/>
      <c r="F28" s="287"/>
      <c r="G28" s="288"/>
      <c r="H28" s="288"/>
      <c r="I28" s="288"/>
      <c r="J28" s="288"/>
      <c r="K28" s="288"/>
      <c r="L28" s="288"/>
      <c r="M28" s="289"/>
      <c r="N28" s="289"/>
      <c r="O28" s="289"/>
      <c r="P28" s="289"/>
      <c r="Q28" s="289"/>
      <c r="R28" s="289"/>
      <c r="S28" s="289"/>
      <c r="T28" s="289"/>
      <c r="U28" s="290"/>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c r="CU28" s="176"/>
      <c r="CV28" s="176"/>
      <c r="CW28" s="176"/>
      <c r="CX28" s="176"/>
      <c r="CY28" s="176"/>
      <c r="CZ28" s="176"/>
      <c r="DA28" s="176"/>
      <c r="DB28" s="176"/>
      <c r="DC28" s="176"/>
      <c r="DD28" s="176"/>
      <c r="DE28" s="176"/>
      <c r="DF28" s="176"/>
      <c r="DG28" s="176"/>
      <c r="DH28" s="176"/>
      <c r="DI28" s="176"/>
      <c r="DJ28" s="176"/>
      <c r="DK28" s="176"/>
      <c r="DL28" s="176"/>
      <c r="DM28" s="176"/>
      <c r="DN28" s="176"/>
      <c r="DO28" s="176"/>
      <c r="DP28" s="176"/>
      <c r="DQ28" s="176"/>
      <c r="DR28" s="176"/>
      <c r="DS28" s="176"/>
      <c r="DT28" s="176"/>
      <c r="DU28" s="176"/>
      <c r="DV28" s="176"/>
      <c r="DW28" s="176"/>
      <c r="DX28" s="176"/>
      <c r="DY28" s="176"/>
      <c r="DZ28" s="176"/>
      <c r="EA28" s="176"/>
      <c r="EB28" s="176"/>
      <c r="EC28" s="176"/>
      <c r="ED28" s="176"/>
      <c r="EE28" s="176"/>
      <c r="EF28" s="176"/>
      <c r="EG28" s="176"/>
      <c r="EH28" s="176"/>
      <c r="EI28" s="176"/>
      <c r="EJ28" s="176"/>
      <c r="EK28" s="176"/>
      <c r="EL28" s="176"/>
      <c r="EM28" s="176"/>
      <c r="EN28" s="176"/>
      <c r="EO28" s="176"/>
      <c r="EP28" s="176"/>
      <c r="EQ28" s="176"/>
      <c r="ER28" s="176"/>
      <c r="ES28" s="176"/>
      <c r="ET28" s="176"/>
      <c r="EU28" s="176"/>
      <c r="EV28" s="176"/>
      <c r="EW28" s="176"/>
      <c r="EX28" s="176"/>
      <c r="EY28" s="176"/>
      <c r="EZ28" s="176"/>
      <c r="FA28" s="176"/>
      <c r="FB28" s="176"/>
      <c r="FC28" s="176"/>
      <c r="FD28" s="176"/>
      <c r="FE28" s="176"/>
      <c r="FF28" s="176"/>
      <c r="FG28" s="176"/>
      <c r="FH28" s="176"/>
      <c r="FI28" s="176"/>
      <c r="FJ28" s="176"/>
      <c r="FK28" s="176"/>
      <c r="FL28" s="176"/>
      <c r="FM28" s="176"/>
      <c r="FN28" s="176"/>
      <c r="FO28" s="176"/>
      <c r="FP28" s="176"/>
      <c r="FQ28" s="176"/>
      <c r="FR28" s="176"/>
      <c r="FS28" s="176"/>
      <c r="FT28" s="176"/>
      <c r="FU28" s="176"/>
      <c r="FV28" s="176"/>
      <c r="FW28" s="176"/>
      <c r="FX28" s="176"/>
      <c r="FY28" s="176"/>
      <c r="FZ28" s="176"/>
      <c r="GA28" s="176"/>
      <c r="GB28" s="176"/>
      <c r="GC28" s="176"/>
      <c r="GD28" s="176"/>
      <c r="GE28" s="176"/>
      <c r="GF28" s="176"/>
      <c r="GG28" s="176"/>
      <c r="GH28" s="176"/>
      <c r="GI28" s="176"/>
      <c r="GJ28" s="176"/>
      <c r="GK28" s="176"/>
      <c r="GL28" s="176"/>
      <c r="GM28" s="176"/>
      <c r="GN28" s="176"/>
      <c r="GO28" s="176"/>
      <c r="GP28" s="176"/>
      <c r="GQ28" s="176"/>
      <c r="GR28" s="176"/>
      <c r="GS28" s="176"/>
      <c r="GT28" s="176"/>
      <c r="GU28" s="176"/>
      <c r="GV28" s="176"/>
      <c r="GW28" s="176"/>
      <c r="GX28" s="176"/>
      <c r="GY28" s="176"/>
      <c r="GZ28" s="176"/>
      <c r="HA28" s="176"/>
      <c r="HB28" s="176"/>
      <c r="HC28" s="176"/>
      <c r="HD28" s="176"/>
      <c r="HE28" s="176"/>
      <c r="HF28" s="176"/>
      <c r="HG28" s="176"/>
      <c r="HH28" s="176"/>
      <c r="HI28" s="176"/>
      <c r="HJ28" s="176"/>
      <c r="HK28" s="176"/>
      <c r="HL28" s="176"/>
      <c r="HM28" s="176"/>
      <c r="HN28" s="176"/>
      <c r="HO28" s="176"/>
      <c r="HP28" s="176"/>
      <c r="HQ28" s="176"/>
      <c r="HR28" s="176"/>
      <c r="HS28" s="176"/>
      <c r="HT28" s="176"/>
      <c r="HU28" s="176"/>
      <c r="HV28" s="176"/>
      <c r="HW28" s="176"/>
      <c r="HX28" s="176"/>
      <c r="HY28" s="176"/>
      <c r="HZ28" s="176"/>
      <c r="IA28" s="176"/>
      <c r="IB28" s="176"/>
      <c r="IC28" s="176"/>
      <c r="ID28" s="176"/>
      <c r="IE28" s="176"/>
      <c r="IF28" s="176"/>
      <c r="IG28" s="176"/>
      <c r="IH28" s="176"/>
      <c r="II28" s="176"/>
      <c r="IJ28" s="176"/>
      <c r="IK28" s="176"/>
      <c r="IL28" s="176"/>
      <c r="IM28" s="176"/>
      <c r="IN28" s="176"/>
      <c r="IO28" s="176"/>
      <c r="IP28" s="176"/>
      <c r="IQ28" s="176"/>
      <c r="IR28" s="176"/>
      <c r="IS28" s="176"/>
      <c r="IT28" s="176"/>
      <c r="IU28" s="176"/>
      <c r="IV28" s="176"/>
    </row>
    <row r="29" spans="1:256" ht="25.5" customHeight="1">
      <c r="A29" s="268" t="s">
        <v>33</v>
      </c>
      <c r="B29" s="312" t="s">
        <v>407</v>
      </c>
      <c r="C29" s="287"/>
      <c r="D29" s="287"/>
      <c r="E29" s="287"/>
      <c r="F29" s="287"/>
      <c r="G29" s="288"/>
      <c r="H29" s="288"/>
      <c r="I29" s="288"/>
      <c r="J29" s="288"/>
      <c r="K29" s="288"/>
      <c r="L29" s="288"/>
      <c r="M29" s="289"/>
      <c r="N29" s="289"/>
      <c r="O29" s="289"/>
      <c r="P29" s="289"/>
      <c r="Q29" s="289"/>
      <c r="R29" s="289"/>
      <c r="S29" s="289"/>
      <c r="T29" s="289"/>
      <c r="U29" s="290"/>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c r="CU29" s="176"/>
      <c r="CV29" s="176"/>
      <c r="CW29" s="176"/>
      <c r="CX29" s="176"/>
      <c r="CY29" s="176"/>
      <c r="CZ29" s="176"/>
      <c r="DA29" s="176"/>
      <c r="DB29" s="176"/>
      <c r="DC29" s="176"/>
      <c r="DD29" s="176"/>
      <c r="DE29" s="176"/>
      <c r="DF29" s="176"/>
      <c r="DG29" s="176"/>
      <c r="DH29" s="176"/>
      <c r="DI29" s="176"/>
      <c r="DJ29" s="176"/>
      <c r="DK29" s="176"/>
      <c r="DL29" s="176"/>
      <c r="DM29" s="176"/>
      <c r="DN29" s="176"/>
      <c r="DO29" s="176"/>
      <c r="DP29" s="176"/>
      <c r="DQ29" s="176"/>
      <c r="DR29" s="176"/>
      <c r="DS29" s="176"/>
      <c r="DT29" s="176"/>
      <c r="DU29" s="176"/>
      <c r="DV29" s="176"/>
      <c r="DW29" s="176"/>
      <c r="DX29" s="176"/>
      <c r="DY29" s="176"/>
      <c r="DZ29" s="176"/>
      <c r="EA29" s="176"/>
      <c r="EB29" s="176"/>
      <c r="EC29" s="176"/>
      <c r="ED29" s="176"/>
      <c r="EE29" s="176"/>
      <c r="EF29" s="176"/>
      <c r="EG29" s="176"/>
      <c r="EH29" s="176"/>
      <c r="EI29" s="176"/>
      <c r="EJ29" s="176"/>
      <c r="EK29" s="176"/>
      <c r="EL29" s="176"/>
      <c r="EM29" s="176"/>
      <c r="EN29" s="176"/>
      <c r="EO29" s="176"/>
      <c r="EP29" s="176"/>
      <c r="EQ29" s="176"/>
      <c r="ER29" s="176"/>
      <c r="ES29" s="176"/>
      <c r="ET29" s="176"/>
      <c r="EU29" s="176"/>
      <c r="EV29" s="176"/>
      <c r="EW29" s="176"/>
      <c r="EX29" s="176"/>
      <c r="EY29" s="176"/>
      <c r="EZ29" s="176"/>
      <c r="FA29" s="176"/>
      <c r="FB29" s="176"/>
      <c r="FC29" s="176"/>
      <c r="FD29" s="176"/>
      <c r="FE29" s="176"/>
      <c r="FF29" s="176"/>
      <c r="FG29" s="176"/>
      <c r="FH29" s="176"/>
      <c r="FI29" s="176"/>
      <c r="FJ29" s="176"/>
      <c r="FK29" s="176"/>
      <c r="FL29" s="176"/>
      <c r="FM29" s="176"/>
      <c r="FN29" s="176"/>
      <c r="FO29" s="176"/>
      <c r="FP29" s="176"/>
      <c r="FQ29" s="176"/>
      <c r="FR29" s="176"/>
      <c r="FS29" s="176"/>
      <c r="FT29" s="176"/>
      <c r="FU29" s="176"/>
      <c r="FV29" s="176"/>
      <c r="FW29" s="176"/>
      <c r="FX29" s="176"/>
      <c r="FY29" s="176"/>
      <c r="FZ29" s="176"/>
      <c r="GA29" s="176"/>
      <c r="GB29" s="176"/>
      <c r="GC29" s="176"/>
      <c r="GD29" s="176"/>
      <c r="GE29" s="176"/>
      <c r="GF29" s="176"/>
      <c r="GG29" s="176"/>
      <c r="GH29" s="176"/>
      <c r="GI29" s="176"/>
      <c r="GJ29" s="176"/>
      <c r="GK29" s="176"/>
      <c r="GL29" s="176"/>
      <c r="GM29" s="176"/>
      <c r="GN29" s="176"/>
      <c r="GO29" s="176"/>
      <c r="GP29" s="176"/>
      <c r="GQ29" s="176"/>
      <c r="GR29" s="176"/>
      <c r="GS29" s="176"/>
      <c r="GT29" s="176"/>
      <c r="GU29" s="176"/>
      <c r="GV29" s="176"/>
      <c r="GW29" s="176"/>
      <c r="GX29" s="176"/>
      <c r="GY29" s="176"/>
      <c r="GZ29" s="176"/>
      <c r="HA29" s="176"/>
      <c r="HB29" s="176"/>
      <c r="HC29" s="176"/>
      <c r="HD29" s="176"/>
      <c r="HE29" s="176"/>
      <c r="HF29" s="176"/>
      <c r="HG29" s="176"/>
      <c r="HH29" s="176"/>
      <c r="HI29" s="176"/>
      <c r="HJ29" s="176"/>
      <c r="HK29" s="176"/>
      <c r="HL29" s="176"/>
      <c r="HM29" s="176"/>
      <c r="HN29" s="176"/>
      <c r="HO29" s="176"/>
      <c r="HP29" s="176"/>
      <c r="HQ29" s="176"/>
      <c r="HR29" s="176"/>
      <c r="HS29" s="176"/>
      <c r="HT29" s="176"/>
      <c r="HU29" s="176"/>
      <c r="HV29" s="176"/>
      <c r="HW29" s="176"/>
      <c r="HX29" s="176"/>
      <c r="HY29" s="176"/>
      <c r="HZ29" s="176"/>
      <c r="IA29" s="176"/>
      <c r="IB29" s="176"/>
      <c r="IC29" s="176"/>
      <c r="ID29" s="176"/>
      <c r="IE29" s="176"/>
      <c r="IF29" s="176"/>
      <c r="IG29" s="176"/>
      <c r="IH29" s="176"/>
      <c r="II29" s="176"/>
      <c r="IJ29" s="176"/>
      <c r="IK29" s="176"/>
      <c r="IL29" s="176"/>
      <c r="IM29" s="176"/>
      <c r="IN29" s="176"/>
      <c r="IO29" s="176"/>
      <c r="IP29" s="176"/>
      <c r="IQ29" s="176"/>
      <c r="IR29" s="176"/>
      <c r="IS29" s="176"/>
      <c r="IT29" s="176"/>
      <c r="IU29" s="176"/>
      <c r="IV29" s="176"/>
    </row>
    <row r="30" spans="1:256" ht="25.5" customHeight="1">
      <c r="A30" s="268"/>
      <c r="B30" s="276" t="s">
        <v>235</v>
      </c>
      <c r="C30" s="287"/>
      <c r="D30" s="287"/>
      <c r="E30" s="287"/>
      <c r="F30" s="287"/>
      <c r="G30" s="288"/>
      <c r="H30" s="288"/>
      <c r="I30" s="288"/>
      <c r="J30" s="288"/>
      <c r="K30" s="288"/>
      <c r="L30" s="288"/>
      <c r="M30" s="289"/>
      <c r="N30" s="289"/>
      <c r="O30" s="289"/>
      <c r="P30" s="289"/>
      <c r="Q30" s="289"/>
      <c r="R30" s="289"/>
      <c r="S30" s="289"/>
      <c r="T30" s="289"/>
      <c r="U30" s="290"/>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c r="CU30" s="176"/>
      <c r="CV30" s="176"/>
      <c r="CW30" s="176"/>
      <c r="CX30" s="176"/>
      <c r="CY30" s="176"/>
      <c r="CZ30" s="176"/>
      <c r="DA30" s="176"/>
      <c r="DB30" s="176"/>
      <c r="DC30" s="176"/>
      <c r="DD30" s="176"/>
      <c r="DE30" s="176"/>
      <c r="DF30" s="176"/>
      <c r="DG30" s="176"/>
      <c r="DH30" s="176"/>
      <c r="DI30" s="176"/>
      <c r="DJ30" s="176"/>
      <c r="DK30" s="176"/>
      <c r="DL30" s="176"/>
      <c r="DM30" s="176"/>
      <c r="DN30" s="176"/>
      <c r="DO30" s="176"/>
      <c r="DP30" s="176"/>
      <c r="DQ30" s="176"/>
      <c r="DR30" s="176"/>
      <c r="DS30" s="176"/>
      <c r="DT30" s="176"/>
      <c r="DU30" s="176"/>
      <c r="DV30" s="176"/>
      <c r="DW30" s="176"/>
      <c r="DX30" s="176"/>
      <c r="DY30" s="176"/>
      <c r="DZ30" s="176"/>
      <c r="EA30" s="176"/>
      <c r="EB30" s="176"/>
      <c r="EC30" s="176"/>
      <c r="ED30" s="176"/>
      <c r="EE30" s="176"/>
      <c r="EF30" s="176"/>
      <c r="EG30" s="176"/>
      <c r="EH30" s="176"/>
      <c r="EI30" s="176"/>
      <c r="EJ30" s="176"/>
      <c r="EK30" s="176"/>
      <c r="EL30" s="176"/>
      <c r="EM30" s="176"/>
      <c r="EN30" s="176"/>
      <c r="EO30" s="176"/>
      <c r="EP30" s="176"/>
      <c r="EQ30" s="176"/>
      <c r="ER30" s="176"/>
      <c r="ES30" s="176"/>
      <c r="ET30" s="176"/>
      <c r="EU30" s="176"/>
      <c r="EV30" s="176"/>
      <c r="EW30" s="176"/>
      <c r="EX30" s="176"/>
      <c r="EY30" s="176"/>
      <c r="EZ30" s="176"/>
      <c r="FA30" s="176"/>
      <c r="FB30" s="176"/>
      <c r="FC30" s="176"/>
      <c r="FD30" s="176"/>
      <c r="FE30" s="176"/>
      <c r="FF30" s="176"/>
      <c r="FG30" s="176"/>
      <c r="FH30" s="176"/>
      <c r="FI30" s="176"/>
      <c r="FJ30" s="176"/>
      <c r="FK30" s="176"/>
      <c r="FL30" s="176"/>
      <c r="FM30" s="176"/>
      <c r="FN30" s="176"/>
      <c r="FO30" s="176"/>
      <c r="FP30" s="176"/>
      <c r="FQ30" s="176"/>
      <c r="FR30" s="176"/>
      <c r="FS30" s="176"/>
      <c r="FT30" s="176"/>
      <c r="FU30" s="176"/>
      <c r="FV30" s="176"/>
      <c r="FW30" s="176"/>
      <c r="FX30" s="176"/>
      <c r="FY30" s="176"/>
      <c r="FZ30" s="176"/>
      <c r="GA30" s="176"/>
      <c r="GB30" s="176"/>
      <c r="GC30" s="176"/>
      <c r="GD30" s="176"/>
      <c r="GE30" s="176"/>
      <c r="GF30" s="176"/>
      <c r="GG30" s="176"/>
      <c r="GH30" s="176"/>
      <c r="GI30" s="176"/>
      <c r="GJ30" s="176"/>
      <c r="GK30" s="176"/>
      <c r="GL30" s="176"/>
      <c r="GM30" s="176"/>
      <c r="GN30" s="176"/>
      <c r="GO30" s="176"/>
      <c r="GP30" s="176"/>
      <c r="GQ30" s="176"/>
      <c r="GR30" s="176"/>
      <c r="GS30" s="176"/>
      <c r="GT30" s="176"/>
      <c r="GU30" s="176"/>
      <c r="GV30" s="176"/>
      <c r="GW30" s="176"/>
      <c r="GX30" s="176"/>
      <c r="GY30" s="176"/>
      <c r="GZ30" s="176"/>
      <c r="HA30" s="176"/>
      <c r="HB30" s="176"/>
      <c r="HC30" s="176"/>
      <c r="HD30" s="176"/>
      <c r="HE30" s="176"/>
      <c r="HF30" s="176"/>
      <c r="HG30" s="176"/>
      <c r="HH30" s="176"/>
      <c r="HI30" s="176"/>
      <c r="HJ30" s="176"/>
      <c r="HK30" s="176"/>
      <c r="HL30" s="176"/>
      <c r="HM30" s="176"/>
      <c r="HN30" s="176"/>
      <c r="HO30" s="176"/>
      <c r="HP30" s="176"/>
      <c r="HQ30" s="176"/>
      <c r="HR30" s="176"/>
      <c r="HS30" s="176"/>
      <c r="HT30" s="176"/>
      <c r="HU30" s="176"/>
      <c r="HV30" s="176"/>
      <c r="HW30" s="176"/>
      <c r="HX30" s="176"/>
      <c r="HY30" s="176"/>
      <c r="HZ30" s="176"/>
      <c r="IA30" s="176"/>
      <c r="IB30" s="176"/>
      <c r="IC30" s="176"/>
      <c r="ID30" s="176"/>
      <c r="IE30" s="176"/>
      <c r="IF30" s="176"/>
      <c r="IG30" s="176"/>
      <c r="IH30" s="176"/>
      <c r="II30" s="176"/>
      <c r="IJ30" s="176"/>
      <c r="IK30" s="176"/>
      <c r="IL30" s="176"/>
      <c r="IM30" s="176"/>
      <c r="IN30" s="176"/>
      <c r="IO30" s="176"/>
      <c r="IP30" s="176"/>
      <c r="IQ30" s="176"/>
      <c r="IR30" s="176"/>
      <c r="IS30" s="176"/>
      <c r="IT30" s="176"/>
      <c r="IU30" s="176"/>
      <c r="IV30" s="176"/>
    </row>
    <row r="31" spans="1:256" ht="25.5" customHeight="1">
      <c r="A31" s="268" t="s">
        <v>16</v>
      </c>
      <c r="B31" s="311" t="s">
        <v>242</v>
      </c>
      <c r="C31" s="287"/>
      <c r="D31" s="287"/>
      <c r="E31" s="287"/>
      <c r="F31" s="287"/>
      <c r="G31" s="288"/>
      <c r="H31" s="288"/>
      <c r="I31" s="288"/>
      <c r="J31" s="288"/>
      <c r="K31" s="288"/>
      <c r="L31" s="288"/>
      <c r="M31" s="289"/>
      <c r="N31" s="289"/>
      <c r="O31" s="289"/>
      <c r="P31" s="289"/>
      <c r="Q31" s="289"/>
      <c r="R31" s="289"/>
      <c r="S31" s="289"/>
      <c r="T31" s="289"/>
      <c r="U31" s="290"/>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c r="CU31" s="176"/>
      <c r="CV31" s="176"/>
      <c r="CW31" s="176"/>
      <c r="CX31" s="176"/>
      <c r="CY31" s="176"/>
      <c r="CZ31" s="176"/>
      <c r="DA31" s="176"/>
      <c r="DB31" s="176"/>
      <c r="DC31" s="176"/>
      <c r="DD31" s="176"/>
      <c r="DE31" s="176"/>
      <c r="DF31" s="176"/>
      <c r="DG31" s="176"/>
      <c r="DH31" s="176"/>
      <c r="DI31" s="176"/>
      <c r="DJ31" s="176"/>
      <c r="DK31" s="176"/>
      <c r="DL31" s="176"/>
      <c r="DM31" s="176"/>
      <c r="DN31" s="176"/>
      <c r="DO31" s="176"/>
      <c r="DP31" s="176"/>
      <c r="DQ31" s="176"/>
      <c r="DR31" s="176"/>
      <c r="DS31" s="176"/>
      <c r="DT31" s="176"/>
      <c r="DU31" s="176"/>
      <c r="DV31" s="176"/>
      <c r="DW31" s="176"/>
      <c r="DX31" s="176"/>
      <c r="DY31" s="176"/>
      <c r="DZ31" s="176"/>
      <c r="EA31" s="176"/>
      <c r="EB31" s="176"/>
      <c r="EC31" s="176"/>
      <c r="ED31" s="176"/>
      <c r="EE31" s="176"/>
      <c r="EF31" s="176"/>
      <c r="EG31" s="176"/>
      <c r="EH31" s="176"/>
      <c r="EI31" s="176"/>
      <c r="EJ31" s="176"/>
      <c r="EK31" s="176"/>
      <c r="EL31" s="176"/>
      <c r="EM31" s="176"/>
      <c r="EN31" s="176"/>
      <c r="EO31" s="176"/>
      <c r="EP31" s="176"/>
      <c r="EQ31" s="176"/>
      <c r="ER31" s="176"/>
      <c r="ES31" s="176"/>
      <c r="ET31" s="176"/>
      <c r="EU31" s="176"/>
      <c r="EV31" s="176"/>
      <c r="EW31" s="176"/>
      <c r="EX31" s="176"/>
      <c r="EY31" s="176"/>
      <c r="EZ31" s="176"/>
      <c r="FA31" s="176"/>
      <c r="FB31" s="176"/>
      <c r="FC31" s="176"/>
      <c r="FD31" s="176"/>
      <c r="FE31" s="176"/>
      <c r="FF31" s="176"/>
      <c r="FG31" s="176"/>
      <c r="FH31" s="176"/>
      <c r="FI31" s="176"/>
      <c r="FJ31" s="176"/>
      <c r="FK31" s="176"/>
      <c r="FL31" s="176"/>
      <c r="FM31" s="176"/>
      <c r="FN31" s="176"/>
      <c r="FO31" s="176"/>
      <c r="FP31" s="176"/>
      <c r="FQ31" s="176"/>
      <c r="FR31" s="176"/>
      <c r="FS31" s="176"/>
      <c r="FT31" s="176"/>
      <c r="FU31" s="176"/>
      <c r="FV31" s="176"/>
      <c r="FW31" s="176"/>
      <c r="FX31" s="176"/>
      <c r="FY31" s="176"/>
      <c r="FZ31" s="176"/>
      <c r="GA31" s="176"/>
      <c r="GB31" s="176"/>
      <c r="GC31" s="176"/>
      <c r="GD31" s="176"/>
      <c r="GE31" s="176"/>
      <c r="GF31" s="176"/>
      <c r="GG31" s="176"/>
      <c r="GH31" s="176"/>
      <c r="GI31" s="176"/>
      <c r="GJ31" s="176"/>
      <c r="GK31" s="176"/>
      <c r="GL31" s="176"/>
      <c r="GM31" s="176"/>
      <c r="GN31" s="176"/>
      <c r="GO31" s="176"/>
      <c r="GP31" s="176"/>
      <c r="GQ31" s="176"/>
      <c r="GR31" s="176"/>
      <c r="GS31" s="176"/>
      <c r="GT31" s="176"/>
      <c r="GU31" s="176"/>
      <c r="GV31" s="176"/>
      <c r="GW31" s="176"/>
      <c r="GX31" s="176"/>
      <c r="GY31" s="176"/>
      <c r="GZ31" s="176"/>
      <c r="HA31" s="176"/>
      <c r="HB31" s="176"/>
      <c r="HC31" s="176"/>
      <c r="HD31" s="176"/>
      <c r="HE31" s="176"/>
      <c r="HF31" s="176"/>
      <c r="HG31" s="176"/>
      <c r="HH31" s="176"/>
      <c r="HI31" s="176"/>
      <c r="HJ31" s="176"/>
      <c r="HK31" s="176"/>
      <c r="HL31" s="176"/>
      <c r="HM31" s="176"/>
      <c r="HN31" s="176"/>
      <c r="HO31" s="176"/>
      <c r="HP31" s="176"/>
      <c r="HQ31" s="176"/>
      <c r="HR31" s="176"/>
      <c r="HS31" s="176"/>
      <c r="HT31" s="176"/>
      <c r="HU31" s="176"/>
      <c r="HV31" s="176"/>
      <c r="HW31" s="176"/>
      <c r="HX31" s="176"/>
      <c r="HY31" s="176"/>
      <c r="HZ31" s="176"/>
      <c r="IA31" s="176"/>
      <c r="IB31" s="176"/>
      <c r="IC31" s="176"/>
      <c r="ID31" s="176"/>
      <c r="IE31" s="176"/>
      <c r="IF31" s="176"/>
      <c r="IG31" s="176"/>
      <c r="IH31" s="176"/>
      <c r="II31" s="176"/>
      <c r="IJ31" s="176"/>
      <c r="IK31" s="176"/>
      <c r="IL31" s="176"/>
      <c r="IM31" s="176"/>
      <c r="IN31" s="176"/>
      <c r="IO31" s="176"/>
      <c r="IP31" s="176"/>
      <c r="IQ31" s="176"/>
      <c r="IR31" s="176"/>
      <c r="IS31" s="176"/>
      <c r="IT31" s="176"/>
      <c r="IU31" s="176"/>
      <c r="IV31" s="176"/>
    </row>
    <row r="32" spans="1:256" ht="25.5" customHeight="1">
      <c r="A32" s="268"/>
      <c r="B32" s="313" t="s">
        <v>247</v>
      </c>
      <c r="C32" s="287"/>
      <c r="D32" s="287"/>
      <c r="E32" s="287"/>
      <c r="F32" s="287"/>
      <c r="G32" s="288"/>
      <c r="H32" s="288"/>
      <c r="I32" s="288"/>
      <c r="J32" s="288"/>
      <c r="K32" s="288"/>
      <c r="L32" s="288"/>
      <c r="M32" s="289"/>
      <c r="N32" s="289"/>
      <c r="O32" s="289"/>
      <c r="P32" s="289"/>
      <c r="Q32" s="289"/>
      <c r="R32" s="289"/>
      <c r="S32" s="289"/>
      <c r="T32" s="289"/>
      <c r="U32" s="290"/>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c r="CU32" s="176"/>
      <c r="CV32" s="176"/>
      <c r="CW32" s="176"/>
      <c r="CX32" s="176"/>
      <c r="CY32" s="176"/>
      <c r="CZ32" s="176"/>
      <c r="DA32" s="176"/>
      <c r="DB32" s="176"/>
      <c r="DC32" s="176"/>
      <c r="DD32" s="176"/>
      <c r="DE32" s="176"/>
      <c r="DF32" s="176"/>
      <c r="DG32" s="176"/>
      <c r="DH32" s="176"/>
      <c r="DI32" s="176"/>
      <c r="DJ32" s="176"/>
      <c r="DK32" s="176"/>
      <c r="DL32" s="176"/>
      <c r="DM32" s="176"/>
      <c r="DN32" s="176"/>
      <c r="DO32" s="176"/>
      <c r="DP32" s="176"/>
      <c r="DQ32" s="176"/>
      <c r="DR32" s="176"/>
      <c r="DS32" s="176"/>
      <c r="DT32" s="176"/>
      <c r="DU32" s="176"/>
      <c r="DV32" s="176"/>
      <c r="DW32" s="176"/>
      <c r="DX32" s="176"/>
      <c r="DY32" s="176"/>
      <c r="DZ32" s="176"/>
      <c r="EA32" s="176"/>
      <c r="EB32" s="176"/>
      <c r="EC32" s="176"/>
      <c r="ED32" s="176"/>
      <c r="EE32" s="176"/>
      <c r="EF32" s="176"/>
      <c r="EG32" s="176"/>
      <c r="EH32" s="176"/>
      <c r="EI32" s="176"/>
      <c r="EJ32" s="176"/>
      <c r="EK32" s="176"/>
      <c r="EL32" s="176"/>
      <c r="EM32" s="176"/>
      <c r="EN32" s="176"/>
      <c r="EO32" s="176"/>
      <c r="EP32" s="176"/>
      <c r="EQ32" s="176"/>
      <c r="ER32" s="176"/>
      <c r="ES32" s="176"/>
      <c r="ET32" s="176"/>
      <c r="EU32" s="176"/>
      <c r="EV32" s="176"/>
      <c r="EW32" s="176"/>
      <c r="EX32" s="176"/>
      <c r="EY32" s="176"/>
      <c r="EZ32" s="176"/>
      <c r="FA32" s="176"/>
      <c r="FB32" s="176"/>
      <c r="FC32" s="176"/>
      <c r="FD32" s="176"/>
      <c r="FE32" s="176"/>
      <c r="FF32" s="176"/>
      <c r="FG32" s="176"/>
      <c r="FH32" s="176"/>
      <c r="FI32" s="176"/>
      <c r="FJ32" s="176"/>
      <c r="FK32" s="176"/>
      <c r="FL32" s="176"/>
      <c r="FM32" s="176"/>
      <c r="FN32" s="176"/>
      <c r="FO32" s="176"/>
      <c r="FP32" s="176"/>
      <c r="FQ32" s="176"/>
      <c r="FR32" s="176"/>
      <c r="FS32" s="176"/>
      <c r="FT32" s="176"/>
      <c r="FU32" s="176"/>
      <c r="FV32" s="176"/>
      <c r="FW32" s="176"/>
      <c r="FX32" s="176"/>
      <c r="FY32" s="176"/>
      <c r="FZ32" s="176"/>
      <c r="GA32" s="176"/>
      <c r="GB32" s="176"/>
      <c r="GC32" s="176"/>
      <c r="GD32" s="176"/>
      <c r="GE32" s="176"/>
      <c r="GF32" s="176"/>
      <c r="GG32" s="176"/>
      <c r="GH32" s="176"/>
      <c r="GI32" s="176"/>
      <c r="GJ32" s="176"/>
      <c r="GK32" s="176"/>
      <c r="GL32" s="176"/>
      <c r="GM32" s="176"/>
      <c r="GN32" s="176"/>
      <c r="GO32" s="176"/>
      <c r="GP32" s="176"/>
      <c r="GQ32" s="176"/>
      <c r="GR32" s="176"/>
      <c r="GS32" s="176"/>
      <c r="GT32" s="176"/>
      <c r="GU32" s="176"/>
      <c r="GV32" s="176"/>
      <c r="GW32" s="176"/>
      <c r="GX32" s="176"/>
      <c r="GY32" s="176"/>
      <c r="GZ32" s="176"/>
      <c r="HA32" s="176"/>
      <c r="HB32" s="176"/>
      <c r="HC32" s="176"/>
      <c r="HD32" s="176"/>
      <c r="HE32" s="176"/>
      <c r="HF32" s="176"/>
      <c r="HG32" s="176"/>
      <c r="HH32" s="176"/>
      <c r="HI32" s="176"/>
      <c r="HJ32" s="176"/>
      <c r="HK32" s="176"/>
      <c r="HL32" s="176"/>
      <c r="HM32" s="176"/>
      <c r="HN32" s="176"/>
      <c r="HO32" s="176"/>
      <c r="HP32" s="176"/>
      <c r="HQ32" s="176"/>
      <c r="HR32" s="176"/>
      <c r="HS32" s="176"/>
      <c r="HT32" s="176"/>
      <c r="HU32" s="176"/>
      <c r="HV32" s="176"/>
      <c r="HW32" s="176"/>
      <c r="HX32" s="176"/>
      <c r="HY32" s="176"/>
      <c r="HZ32" s="176"/>
      <c r="IA32" s="176"/>
      <c r="IB32" s="176"/>
      <c r="IC32" s="176"/>
      <c r="ID32" s="176"/>
      <c r="IE32" s="176"/>
      <c r="IF32" s="176"/>
      <c r="IG32" s="176"/>
      <c r="IH32" s="176"/>
      <c r="II32" s="176"/>
      <c r="IJ32" s="176"/>
      <c r="IK32" s="176"/>
      <c r="IL32" s="176"/>
      <c r="IM32" s="176"/>
      <c r="IN32" s="176"/>
      <c r="IO32" s="176"/>
      <c r="IP32" s="176"/>
      <c r="IQ32" s="176"/>
      <c r="IR32" s="176"/>
      <c r="IS32" s="176"/>
      <c r="IT32" s="176"/>
      <c r="IU32" s="176"/>
      <c r="IV32" s="176"/>
    </row>
    <row r="33" spans="1:256" ht="25.5" customHeight="1">
      <c r="A33" s="310" t="s">
        <v>24</v>
      </c>
      <c r="B33" s="277" t="s">
        <v>90</v>
      </c>
      <c r="C33" s="287"/>
      <c r="D33" s="287"/>
      <c r="E33" s="287"/>
      <c r="F33" s="287"/>
      <c r="G33" s="288"/>
      <c r="H33" s="288"/>
      <c r="I33" s="288"/>
      <c r="J33" s="288"/>
      <c r="K33" s="288"/>
      <c r="L33" s="288"/>
      <c r="M33" s="289"/>
      <c r="N33" s="289"/>
      <c r="O33" s="289"/>
      <c r="P33" s="289"/>
      <c r="Q33" s="289"/>
      <c r="R33" s="289"/>
      <c r="S33" s="289"/>
      <c r="T33" s="289"/>
      <c r="U33" s="290"/>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c r="CU33" s="176"/>
      <c r="CV33" s="176"/>
      <c r="CW33" s="176"/>
      <c r="CX33" s="176"/>
      <c r="CY33" s="176"/>
      <c r="CZ33" s="176"/>
      <c r="DA33" s="176"/>
      <c r="DB33" s="176"/>
      <c r="DC33" s="176"/>
      <c r="DD33" s="176"/>
      <c r="DE33" s="176"/>
      <c r="DF33" s="176"/>
      <c r="DG33" s="176"/>
      <c r="DH33" s="176"/>
      <c r="DI33" s="176"/>
      <c r="DJ33" s="176"/>
      <c r="DK33" s="176"/>
      <c r="DL33" s="176"/>
      <c r="DM33" s="176"/>
      <c r="DN33" s="176"/>
      <c r="DO33" s="176"/>
      <c r="DP33" s="176"/>
      <c r="DQ33" s="176"/>
      <c r="DR33" s="176"/>
      <c r="DS33" s="176"/>
      <c r="DT33" s="176"/>
      <c r="DU33" s="176"/>
      <c r="DV33" s="176"/>
      <c r="DW33" s="176"/>
      <c r="DX33" s="176"/>
      <c r="DY33" s="176"/>
      <c r="DZ33" s="176"/>
      <c r="EA33" s="176"/>
      <c r="EB33" s="176"/>
      <c r="EC33" s="176"/>
      <c r="ED33" s="176"/>
      <c r="EE33" s="176"/>
      <c r="EF33" s="176"/>
      <c r="EG33" s="176"/>
      <c r="EH33" s="176"/>
      <c r="EI33" s="176"/>
      <c r="EJ33" s="176"/>
      <c r="EK33" s="176"/>
      <c r="EL33" s="176"/>
      <c r="EM33" s="176"/>
      <c r="EN33" s="176"/>
      <c r="EO33" s="176"/>
      <c r="EP33" s="176"/>
      <c r="EQ33" s="176"/>
      <c r="ER33" s="176"/>
      <c r="ES33" s="176"/>
      <c r="ET33" s="176"/>
      <c r="EU33" s="176"/>
      <c r="EV33" s="176"/>
      <c r="EW33" s="176"/>
      <c r="EX33" s="176"/>
      <c r="EY33" s="176"/>
      <c r="EZ33" s="176"/>
      <c r="FA33" s="176"/>
      <c r="FB33" s="176"/>
      <c r="FC33" s="176"/>
      <c r="FD33" s="176"/>
      <c r="FE33" s="176"/>
      <c r="FF33" s="176"/>
      <c r="FG33" s="176"/>
      <c r="FH33" s="176"/>
      <c r="FI33" s="176"/>
      <c r="FJ33" s="176"/>
      <c r="FK33" s="176"/>
      <c r="FL33" s="176"/>
      <c r="FM33" s="176"/>
      <c r="FN33" s="176"/>
      <c r="FO33" s="176"/>
      <c r="FP33" s="176"/>
      <c r="FQ33" s="176"/>
      <c r="FR33" s="176"/>
      <c r="FS33" s="176"/>
      <c r="FT33" s="176"/>
      <c r="FU33" s="176"/>
      <c r="FV33" s="176"/>
      <c r="FW33" s="176"/>
      <c r="FX33" s="176"/>
      <c r="FY33" s="176"/>
      <c r="FZ33" s="176"/>
      <c r="GA33" s="176"/>
      <c r="GB33" s="176"/>
      <c r="GC33" s="176"/>
      <c r="GD33" s="176"/>
      <c r="GE33" s="176"/>
      <c r="GF33" s="176"/>
      <c r="GG33" s="176"/>
      <c r="GH33" s="176"/>
      <c r="GI33" s="176"/>
      <c r="GJ33" s="176"/>
      <c r="GK33" s="176"/>
      <c r="GL33" s="176"/>
      <c r="GM33" s="176"/>
      <c r="GN33" s="176"/>
      <c r="GO33" s="176"/>
      <c r="GP33" s="176"/>
      <c r="GQ33" s="176"/>
      <c r="GR33" s="176"/>
      <c r="GS33" s="176"/>
      <c r="GT33" s="176"/>
      <c r="GU33" s="176"/>
      <c r="GV33" s="176"/>
      <c r="GW33" s="176"/>
      <c r="GX33" s="176"/>
      <c r="GY33" s="176"/>
      <c r="GZ33" s="176"/>
      <c r="HA33" s="176"/>
      <c r="HB33" s="176"/>
      <c r="HC33" s="176"/>
      <c r="HD33" s="176"/>
      <c r="HE33" s="176"/>
      <c r="HF33" s="176"/>
      <c r="HG33" s="176"/>
      <c r="HH33" s="176"/>
      <c r="HI33" s="176"/>
      <c r="HJ33" s="176"/>
      <c r="HK33" s="176"/>
      <c r="HL33" s="176"/>
      <c r="HM33" s="176"/>
      <c r="HN33" s="176"/>
      <c r="HO33" s="176"/>
      <c r="HP33" s="176"/>
      <c r="HQ33" s="176"/>
      <c r="HR33" s="176"/>
      <c r="HS33" s="176"/>
      <c r="HT33" s="176"/>
      <c r="HU33" s="176"/>
      <c r="HV33" s="176"/>
      <c r="HW33" s="176"/>
      <c r="HX33" s="176"/>
      <c r="HY33" s="176"/>
      <c r="HZ33" s="176"/>
      <c r="IA33" s="176"/>
      <c r="IB33" s="176"/>
      <c r="IC33" s="176"/>
      <c r="ID33" s="176"/>
      <c r="IE33" s="176"/>
      <c r="IF33" s="176"/>
      <c r="IG33" s="176"/>
      <c r="IH33" s="176"/>
      <c r="II33" s="176"/>
      <c r="IJ33" s="176"/>
      <c r="IK33" s="176"/>
      <c r="IL33" s="176"/>
      <c r="IM33" s="176"/>
      <c r="IN33" s="176"/>
      <c r="IO33" s="176"/>
      <c r="IP33" s="176"/>
      <c r="IQ33" s="176"/>
      <c r="IR33" s="176"/>
      <c r="IS33" s="176"/>
      <c r="IT33" s="176"/>
      <c r="IU33" s="176"/>
      <c r="IV33" s="176"/>
    </row>
    <row r="34" spans="1:256" ht="15.75" customHeight="1" thickBot="1">
      <c r="A34" s="278"/>
      <c r="B34" s="279"/>
      <c r="C34" s="280"/>
      <c r="D34" s="280"/>
      <c r="E34" s="280"/>
      <c r="F34" s="280"/>
      <c r="G34" s="281"/>
      <c r="H34" s="281"/>
      <c r="I34" s="281"/>
      <c r="J34" s="281"/>
      <c r="K34" s="281"/>
      <c r="L34" s="281"/>
      <c r="M34" s="282"/>
      <c r="N34" s="282"/>
      <c r="O34" s="282"/>
      <c r="P34" s="282"/>
      <c r="Q34" s="282"/>
      <c r="R34" s="282"/>
      <c r="S34" s="282"/>
      <c r="T34" s="282"/>
      <c r="U34" s="283"/>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c r="CU34" s="176"/>
      <c r="CV34" s="176"/>
      <c r="CW34" s="176"/>
      <c r="CX34" s="176"/>
      <c r="CY34" s="176"/>
      <c r="CZ34" s="176"/>
      <c r="DA34" s="176"/>
      <c r="DB34" s="176"/>
      <c r="DC34" s="176"/>
      <c r="DD34" s="176"/>
      <c r="DE34" s="176"/>
      <c r="DF34" s="176"/>
      <c r="DG34" s="176"/>
      <c r="DH34" s="176"/>
      <c r="DI34" s="176"/>
      <c r="DJ34" s="176"/>
      <c r="DK34" s="176"/>
      <c r="DL34" s="176"/>
      <c r="DM34" s="176"/>
      <c r="DN34" s="176"/>
      <c r="DO34" s="176"/>
      <c r="DP34" s="176"/>
      <c r="DQ34" s="176"/>
      <c r="DR34" s="176"/>
      <c r="DS34" s="176"/>
      <c r="DT34" s="176"/>
      <c r="DU34" s="176"/>
      <c r="DV34" s="176"/>
      <c r="DW34" s="176"/>
      <c r="DX34" s="176"/>
      <c r="DY34" s="176"/>
      <c r="DZ34" s="176"/>
      <c r="EA34" s="176"/>
      <c r="EB34" s="176"/>
      <c r="EC34" s="176"/>
      <c r="ED34" s="176"/>
      <c r="EE34" s="176"/>
      <c r="EF34" s="176"/>
      <c r="EG34" s="176"/>
      <c r="EH34" s="176"/>
      <c r="EI34" s="176"/>
      <c r="EJ34" s="176"/>
      <c r="EK34" s="176"/>
      <c r="EL34" s="176"/>
      <c r="EM34" s="176"/>
      <c r="EN34" s="176"/>
      <c r="EO34" s="176"/>
      <c r="EP34" s="176"/>
      <c r="EQ34" s="176"/>
      <c r="ER34" s="176"/>
      <c r="ES34" s="176"/>
      <c r="ET34" s="176"/>
      <c r="EU34" s="176"/>
      <c r="EV34" s="176"/>
      <c r="EW34" s="176"/>
      <c r="EX34" s="176"/>
      <c r="EY34" s="176"/>
      <c r="EZ34" s="176"/>
      <c r="FA34" s="176"/>
      <c r="FB34" s="176"/>
      <c r="FC34" s="176"/>
      <c r="FD34" s="176"/>
      <c r="FE34" s="176"/>
      <c r="FF34" s="176"/>
      <c r="FG34" s="176"/>
      <c r="FH34" s="176"/>
      <c r="FI34" s="176"/>
      <c r="FJ34" s="176"/>
      <c r="FK34" s="176"/>
      <c r="FL34" s="176"/>
      <c r="FM34" s="176"/>
      <c r="FN34" s="176"/>
      <c r="FO34" s="176"/>
      <c r="FP34" s="176"/>
      <c r="FQ34" s="176"/>
      <c r="FR34" s="176"/>
      <c r="FS34" s="176"/>
      <c r="FT34" s="176"/>
      <c r="FU34" s="176"/>
      <c r="FV34" s="176"/>
      <c r="FW34" s="176"/>
      <c r="FX34" s="176"/>
      <c r="FY34" s="176"/>
      <c r="FZ34" s="176"/>
      <c r="GA34" s="176"/>
      <c r="GB34" s="176"/>
      <c r="GC34" s="176"/>
      <c r="GD34" s="176"/>
      <c r="GE34" s="176"/>
      <c r="GF34" s="176"/>
      <c r="GG34" s="176"/>
      <c r="GH34" s="176"/>
      <c r="GI34" s="176"/>
      <c r="GJ34" s="176"/>
      <c r="GK34" s="176"/>
      <c r="GL34" s="176"/>
      <c r="GM34" s="176"/>
      <c r="GN34" s="176"/>
      <c r="GO34" s="176"/>
      <c r="GP34" s="176"/>
      <c r="GQ34" s="176"/>
      <c r="GR34" s="176"/>
      <c r="GS34" s="176"/>
      <c r="GT34" s="176"/>
      <c r="GU34" s="176"/>
      <c r="GV34" s="176"/>
      <c r="GW34" s="176"/>
      <c r="GX34" s="176"/>
      <c r="GY34" s="176"/>
      <c r="GZ34" s="176"/>
      <c r="HA34" s="176"/>
      <c r="HB34" s="176"/>
      <c r="HC34" s="176"/>
      <c r="HD34" s="176"/>
      <c r="HE34" s="176"/>
      <c r="HF34" s="176"/>
      <c r="HG34" s="176"/>
      <c r="HH34" s="176"/>
      <c r="HI34" s="176"/>
      <c r="HJ34" s="176"/>
      <c r="HK34" s="176"/>
      <c r="HL34" s="176"/>
      <c r="HM34" s="176"/>
      <c r="HN34" s="176"/>
      <c r="HO34" s="176"/>
      <c r="HP34" s="176"/>
      <c r="HQ34" s="176"/>
      <c r="HR34" s="176"/>
      <c r="HS34" s="176"/>
      <c r="HT34" s="176"/>
      <c r="HU34" s="176"/>
      <c r="HV34" s="176"/>
      <c r="HW34" s="176"/>
      <c r="HX34" s="176"/>
      <c r="HY34" s="176"/>
      <c r="HZ34" s="176"/>
      <c r="IA34" s="176"/>
      <c r="IB34" s="176"/>
      <c r="IC34" s="176"/>
      <c r="ID34" s="176"/>
      <c r="IE34" s="176"/>
      <c r="IF34" s="176"/>
      <c r="IG34" s="176"/>
      <c r="IH34" s="176"/>
      <c r="II34" s="176"/>
      <c r="IJ34" s="176"/>
      <c r="IK34" s="176"/>
      <c r="IL34" s="176"/>
      <c r="IM34" s="176"/>
      <c r="IN34" s="176"/>
      <c r="IO34" s="176"/>
      <c r="IP34" s="176"/>
      <c r="IQ34" s="176"/>
      <c r="IR34" s="176"/>
      <c r="IS34" s="176"/>
      <c r="IT34" s="176"/>
      <c r="IU34" s="176"/>
      <c r="IV34" s="176"/>
    </row>
    <row r="35" spans="1:256" ht="18.75" customHeight="1">
      <c r="A35" s="168"/>
      <c r="B35" s="168"/>
      <c r="C35" s="168"/>
      <c r="D35" s="168"/>
      <c r="E35" s="168"/>
      <c r="F35" s="168"/>
      <c r="G35" s="168"/>
      <c r="H35" s="168"/>
      <c r="I35" s="168"/>
      <c r="J35" s="168"/>
      <c r="K35" s="168"/>
      <c r="L35" s="168"/>
      <c r="M35" s="168"/>
      <c r="N35" s="168"/>
      <c r="O35" s="168"/>
      <c r="P35" s="168"/>
      <c r="Q35" s="168"/>
      <c r="R35" s="168"/>
      <c r="S35" s="168"/>
      <c r="T35" s="168"/>
      <c r="U35" s="168"/>
    </row>
    <row r="36" spans="1:256" ht="18.75" customHeight="1">
      <c r="A36" s="168"/>
      <c r="B36" s="168"/>
      <c r="C36" s="168"/>
      <c r="D36" s="168"/>
      <c r="E36" s="168"/>
      <c r="F36" s="168"/>
      <c r="G36" s="168"/>
      <c r="H36" s="168"/>
      <c r="I36" s="168"/>
      <c r="J36" s="168"/>
      <c r="K36" s="168"/>
      <c r="L36" s="168"/>
      <c r="M36" s="168"/>
      <c r="N36" s="168"/>
      <c r="O36" s="168"/>
      <c r="P36" s="168"/>
      <c r="Q36" s="168"/>
      <c r="R36" s="168"/>
      <c r="S36" s="168"/>
      <c r="T36" s="168"/>
      <c r="U36" s="168"/>
    </row>
    <row r="37" spans="1:256" ht="42.75" customHeight="1">
      <c r="A37" s="168"/>
      <c r="B37" s="168"/>
      <c r="C37" s="168"/>
      <c r="D37" s="168"/>
      <c r="E37" s="168"/>
      <c r="F37" s="168"/>
      <c r="G37" s="168"/>
      <c r="H37" s="168"/>
      <c r="I37" s="168"/>
      <c r="J37" s="168"/>
      <c r="K37" s="168"/>
      <c r="L37" s="168"/>
      <c r="M37" s="168"/>
      <c r="N37" s="168"/>
      <c r="O37" s="168"/>
      <c r="P37" s="168"/>
      <c r="Q37" s="168"/>
      <c r="R37" s="168"/>
      <c r="S37" s="168"/>
      <c r="T37" s="168"/>
      <c r="U37" s="168"/>
    </row>
    <row r="38" spans="1:256" ht="42.75" customHeight="1">
      <c r="A38" s="168"/>
      <c r="B38" s="168"/>
      <c r="C38" s="168"/>
      <c r="D38" s="168"/>
      <c r="E38" s="168"/>
      <c r="F38" s="168"/>
      <c r="G38" s="168"/>
      <c r="H38" s="168"/>
      <c r="I38" s="168"/>
      <c r="J38" s="168"/>
      <c r="K38" s="168"/>
      <c r="L38" s="168"/>
      <c r="M38" s="168"/>
      <c r="N38" s="168"/>
      <c r="O38" s="168"/>
      <c r="P38" s="168"/>
      <c r="Q38" s="168"/>
      <c r="R38" s="168"/>
      <c r="S38" s="168"/>
      <c r="T38" s="168"/>
      <c r="U38" s="168"/>
    </row>
    <row r="39" spans="1:256" ht="42.75" customHeight="1">
      <c r="A39" s="168"/>
      <c r="B39" s="168"/>
      <c r="C39" s="168"/>
      <c r="D39" s="168"/>
      <c r="E39" s="168"/>
      <c r="F39" s="168"/>
      <c r="G39" s="168"/>
      <c r="H39" s="168"/>
      <c r="I39" s="168"/>
      <c r="J39" s="168"/>
      <c r="K39" s="168"/>
      <c r="L39" s="168"/>
      <c r="M39" s="168"/>
      <c r="N39" s="168"/>
      <c r="O39" s="168"/>
      <c r="P39" s="168"/>
      <c r="Q39" s="168"/>
      <c r="R39" s="168"/>
      <c r="S39" s="168"/>
      <c r="T39" s="168"/>
      <c r="U39" s="168"/>
    </row>
    <row r="40" spans="1:256" ht="42.75" customHeight="1">
      <c r="A40" s="168"/>
      <c r="B40" s="168"/>
      <c r="C40" s="168"/>
      <c r="D40" s="168"/>
      <c r="E40" s="168"/>
      <c r="F40" s="168"/>
      <c r="G40" s="168"/>
      <c r="H40" s="168"/>
      <c r="I40" s="168"/>
      <c r="J40" s="168"/>
      <c r="K40" s="168"/>
      <c r="L40" s="168"/>
      <c r="M40" s="168"/>
      <c r="N40" s="168"/>
      <c r="O40" s="168"/>
      <c r="P40" s="168"/>
      <c r="Q40" s="168"/>
      <c r="R40" s="168"/>
      <c r="S40" s="168"/>
      <c r="T40" s="168"/>
      <c r="U40" s="168"/>
    </row>
    <row r="41" spans="1:256" ht="42.75" customHeight="1">
      <c r="A41" s="168"/>
      <c r="B41" s="168"/>
      <c r="C41" s="168"/>
      <c r="D41" s="168"/>
      <c r="E41" s="168"/>
      <c r="F41" s="168"/>
      <c r="G41" s="168"/>
      <c r="H41" s="168"/>
      <c r="I41" s="168"/>
      <c r="J41" s="168"/>
      <c r="K41" s="168"/>
      <c r="L41" s="168"/>
      <c r="M41" s="168"/>
      <c r="N41" s="168"/>
      <c r="O41" s="168"/>
      <c r="P41" s="168"/>
      <c r="Q41" s="168"/>
      <c r="R41" s="168"/>
      <c r="S41" s="168"/>
      <c r="T41" s="168"/>
      <c r="U41" s="168"/>
    </row>
    <row r="42" spans="1:256" ht="42.75" customHeight="1">
      <c r="A42" s="168"/>
      <c r="B42" s="168"/>
      <c r="C42" s="168"/>
      <c r="D42" s="168"/>
      <c r="E42" s="168"/>
      <c r="F42" s="168"/>
      <c r="G42" s="168"/>
      <c r="H42" s="168"/>
      <c r="I42" s="168"/>
      <c r="J42" s="168"/>
      <c r="K42" s="168"/>
      <c r="L42" s="168"/>
      <c r="M42" s="168"/>
      <c r="N42" s="168"/>
      <c r="O42" s="168"/>
      <c r="P42" s="168"/>
      <c r="Q42" s="168"/>
      <c r="R42" s="168"/>
      <c r="S42" s="168"/>
      <c r="T42" s="168"/>
      <c r="U42" s="168"/>
    </row>
    <row r="43" spans="1:256" ht="42.75" customHeight="1">
      <c r="A43" s="168"/>
      <c r="B43" s="168"/>
      <c r="C43" s="168"/>
      <c r="D43" s="168"/>
      <c r="E43" s="168"/>
      <c r="F43" s="168"/>
      <c r="G43" s="168"/>
      <c r="H43" s="168"/>
      <c r="I43" s="168"/>
      <c r="J43" s="168"/>
      <c r="K43" s="168"/>
      <c r="L43" s="168"/>
      <c r="M43" s="168"/>
      <c r="N43" s="168"/>
      <c r="O43" s="168"/>
      <c r="P43" s="168"/>
      <c r="Q43" s="168"/>
      <c r="R43" s="168"/>
      <c r="S43" s="168"/>
      <c r="T43" s="168"/>
      <c r="U43" s="168"/>
    </row>
    <row r="44" spans="1:256" ht="42.75" customHeight="1">
      <c r="A44" s="168"/>
      <c r="B44" s="168"/>
      <c r="C44" s="168"/>
      <c r="D44" s="168"/>
      <c r="E44" s="168"/>
      <c r="F44" s="168"/>
      <c r="G44" s="168"/>
      <c r="H44" s="168"/>
      <c r="I44" s="168"/>
      <c r="J44" s="168"/>
      <c r="K44" s="168"/>
      <c r="L44" s="168"/>
      <c r="M44" s="168"/>
      <c r="N44" s="168"/>
      <c r="O44" s="168"/>
      <c r="P44" s="168"/>
      <c r="Q44" s="168"/>
      <c r="R44" s="168"/>
      <c r="S44" s="168"/>
      <c r="T44" s="168"/>
      <c r="U44" s="168"/>
    </row>
    <row r="45" spans="1:256" ht="42.75" customHeight="1">
      <c r="A45" s="168"/>
      <c r="B45" s="168"/>
      <c r="C45" s="168"/>
      <c r="D45" s="168"/>
      <c r="E45" s="168"/>
      <c r="F45" s="168"/>
      <c r="G45" s="168"/>
      <c r="H45" s="168"/>
      <c r="I45" s="168"/>
      <c r="J45" s="168"/>
      <c r="K45" s="168"/>
      <c r="L45" s="168"/>
      <c r="M45" s="168"/>
      <c r="N45" s="168"/>
      <c r="O45" s="168"/>
      <c r="P45" s="168"/>
      <c r="Q45" s="168"/>
      <c r="R45" s="168"/>
      <c r="S45" s="168"/>
      <c r="T45" s="168"/>
      <c r="U45" s="168"/>
    </row>
    <row r="46" spans="1:256" ht="42.75" customHeight="1">
      <c r="A46" s="168"/>
      <c r="B46" s="168"/>
      <c r="C46" s="168"/>
      <c r="D46" s="168"/>
      <c r="E46" s="168"/>
      <c r="F46" s="168"/>
      <c r="G46" s="168"/>
      <c r="H46" s="168"/>
      <c r="I46" s="168"/>
      <c r="J46" s="168"/>
      <c r="K46" s="168"/>
      <c r="L46" s="168"/>
      <c r="M46" s="168"/>
      <c r="N46" s="168"/>
      <c r="O46" s="168"/>
      <c r="P46" s="168"/>
      <c r="Q46" s="168"/>
      <c r="R46" s="168"/>
      <c r="S46" s="168"/>
      <c r="T46" s="168"/>
      <c r="U46" s="168"/>
    </row>
    <row r="47" spans="1:256" ht="42.75" customHeight="1">
      <c r="A47" s="168"/>
      <c r="B47" s="168"/>
      <c r="C47" s="168"/>
      <c r="D47" s="168"/>
      <c r="E47" s="168"/>
      <c r="F47" s="168"/>
      <c r="G47" s="168"/>
      <c r="H47" s="168"/>
      <c r="I47" s="168"/>
      <c r="J47" s="168"/>
      <c r="K47" s="168"/>
      <c r="L47" s="168"/>
      <c r="M47" s="168"/>
      <c r="N47" s="168"/>
      <c r="O47" s="168"/>
      <c r="P47" s="168"/>
      <c r="Q47" s="168"/>
      <c r="R47" s="168"/>
      <c r="S47" s="168"/>
      <c r="T47" s="168"/>
      <c r="U47" s="168"/>
    </row>
    <row r="48" spans="1:256" ht="42.75" customHeight="1">
      <c r="A48" s="168"/>
      <c r="B48" s="168"/>
      <c r="C48" s="168"/>
      <c r="D48" s="168"/>
      <c r="E48" s="168"/>
      <c r="F48" s="168"/>
      <c r="G48" s="168"/>
      <c r="H48" s="168"/>
      <c r="I48" s="168"/>
      <c r="J48" s="168"/>
      <c r="K48" s="168"/>
      <c r="L48" s="168"/>
      <c r="M48" s="168"/>
      <c r="N48" s="168"/>
      <c r="O48" s="168"/>
      <c r="P48" s="168"/>
      <c r="Q48" s="168"/>
      <c r="R48" s="168"/>
      <c r="S48" s="168"/>
      <c r="T48" s="168"/>
      <c r="U48" s="168"/>
    </row>
    <row r="49" spans="1:21" ht="42.75" customHeight="1">
      <c r="A49" s="168"/>
      <c r="B49" s="168"/>
      <c r="C49" s="168"/>
      <c r="D49" s="168"/>
      <c r="E49" s="168"/>
      <c r="F49" s="168"/>
      <c r="G49" s="168"/>
      <c r="H49" s="168"/>
      <c r="I49" s="168"/>
      <c r="J49" s="168"/>
      <c r="K49" s="168"/>
      <c r="L49" s="168"/>
      <c r="M49" s="168"/>
      <c r="N49" s="168"/>
      <c r="O49" s="168"/>
      <c r="P49" s="168"/>
      <c r="Q49" s="168"/>
      <c r="R49" s="168"/>
      <c r="S49" s="168"/>
      <c r="T49" s="168"/>
      <c r="U49" s="168"/>
    </row>
    <row r="50" spans="1:21" ht="42.75" customHeight="1">
      <c r="A50" s="168"/>
      <c r="B50" s="168"/>
      <c r="C50" s="168"/>
      <c r="D50" s="168"/>
      <c r="E50" s="168"/>
      <c r="F50" s="168"/>
      <c r="G50" s="168"/>
      <c r="H50" s="168"/>
      <c r="I50" s="168"/>
      <c r="J50" s="168"/>
      <c r="K50" s="168"/>
      <c r="L50" s="168"/>
      <c r="M50" s="168"/>
      <c r="N50" s="168"/>
      <c r="O50" s="168"/>
      <c r="P50" s="168"/>
      <c r="Q50" s="168"/>
      <c r="R50" s="168"/>
      <c r="S50" s="168"/>
      <c r="T50" s="168"/>
      <c r="U50" s="168"/>
    </row>
    <row r="51" spans="1:21" ht="42.75" customHeight="1">
      <c r="A51" s="168"/>
      <c r="B51" s="168"/>
      <c r="C51" s="168"/>
      <c r="D51" s="168"/>
      <c r="E51" s="168"/>
      <c r="F51" s="168"/>
      <c r="G51" s="168"/>
      <c r="H51" s="168"/>
      <c r="I51" s="168"/>
      <c r="J51" s="168"/>
      <c r="K51" s="168"/>
      <c r="L51" s="168"/>
      <c r="M51" s="168"/>
      <c r="N51" s="168"/>
      <c r="O51" s="168"/>
      <c r="P51" s="168"/>
      <c r="Q51" s="168"/>
      <c r="R51" s="168"/>
      <c r="S51" s="168"/>
      <c r="T51" s="168"/>
      <c r="U51" s="168"/>
    </row>
    <row r="52" spans="1:21" ht="42.75" customHeight="1">
      <c r="A52" s="168"/>
      <c r="B52" s="168"/>
      <c r="C52" s="168"/>
      <c r="D52" s="168"/>
      <c r="E52" s="168"/>
      <c r="F52" s="168"/>
      <c r="G52" s="168"/>
      <c r="H52" s="168"/>
      <c r="I52" s="168"/>
      <c r="J52" s="168"/>
      <c r="K52" s="168"/>
      <c r="L52" s="168"/>
      <c r="M52" s="168"/>
      <c r="N52" s="168"/>
      <c r="O52" s="168"/>
      <c r="P52" s="168"/>
      <c r="Q52" s="168"/>
      <c r="R52" s="168"/>
      <c r="S52" s="168"/>
      <c r="T52" s="168"/>
      <c r="U52" s="168"/>
    </row>
    <row r="53" spans="1:21" ht="42.75" customHeight="1">
      <c r="A53" s="168"/>
      <c r="B53" s="168"/>
      <c r="C53" s="168"/>
      <c r="D53" s="168"/>
      <c r="E53" s="168"/>
      <c r="F53" s="168"/>
      <c r="G53" s="168"/>
      <c r="H53" s="168"/>
      <c r="I53" s="168"/>
      <c r="J53" s="168"/>
      <c r="K53" s="168"/>
      <c r="L53" s="168"/>
      <c r="M53" s="168"/>
      <c r="N53" s="168"/>
      <c r="O53" s="168"/>
      <c r="P53" s="168"/>
      <c r="Q53" s="168"/>
      <c r="R53" s="168"/>
      <c r="S53" s="168"/>
      <c r="T53" s="168"/>
      <c r="U53" s="168"/>
    </row>
    <row r="54" spans="1:21" ht="42.75" customHeight="1">
      <c r="A54" s="168"/>
      <c r="B54" s="168"/>
      <c r="C54" s="168"/>
      <c r="D54" s="168"/>
      <c r="E54" s="168"/>
      <c r="F54" s="168"/>
      <c r="G54" s="168"/>
      <c r="H54" s="168"/>
      <c r="I54" s="168"/>
      <c r="J54" s="168"/>
      <c r="K54" s="168"/>
      <c r="L54" s="168"/>
      <c r="M54" s="168"/>
      <c r="N54" s="168"/>
      <c r="O54" s="168"/>
      <c r="P54" s="168"/>
      <c r="Q54" s="168"/>
      <c r="R54" s="168"/>
      <c r="S54" s="168"/>
      <c r="T54" s="168"/>
      <c r="U54" s="168"/>
    </row>
    <row r="55" spans="1:21" ht="42.75" customHeight="1">
      <c r="A55" s="168"/>
      <c r="B55" s="168"/>
      <c r="C55" s="168"/>
      <c r="D55" s="168"/>
      <c r="E55" s="168"/>
      <c r="F55" s="168"/>
      <c r="G55" s="168"/>
      <c r="H55" s="168"/>
      <c r="I55" s="168"/>
      <c r="J55" s="168"/>
      <c r="K55" s="168"/>
      <c r="L55" s="168"/>
      <c r="M55" s="168"/>
      <c r="N55" s="168"/>
      <c r="O55" s="168"/>
      <c r="P55" s="168"/>
      <c r="Q55" s="168"/>
      <c r="R55" s="168"/>
      <c r="S55" s="168"/>
      <c r="T55" s="168"/>
      <c r="U55" s="168"/>
    </row>
    <row r="56" spans="1:21" ht="42.75" customHeight="1">
      <c r="A56" s="168"/>
      <c r="B56" s="168"/>
      <c r="C56" s="168"/>
      <c r="D56" s="168"/>
      <c r="E56" s="168"/>
      <c r="F56" s="168"/>
      <c r="G56" s="168"/>
      <c r="H56" s="168"/>
      <c r="I56" s="168"/>
      <c r="J56" s="168"/>
      <c r="K56" s="168"/>
      <c r="L56" s="168"/>
      <c r="M56" s="168"/>
      <c r="N56" s="168"/>
      <c r="O56" s="168"/>
      <c r="P56" s="168"/>
      <c r="Q56" s="168"/>
      <c r="R56" s="168"/>
      <c r="S56" s="168"/>
      <c r="T56" s="168"/>
      <c r="U56" s="168"/>
    </row>
    <row r="57" spans="1:21" ht="42.75" customHeight="1">
      <c r="A57" s="168"/>
      <c r="B57" s="168"/>
      <c r="C57" s="168"/>
      <c r="D57" s="168"/>
      <c r="E57" s="168"/>
      <c r="F57" s="168"/>
      <c r="G57" s="168"/>
      <c r="H57" s="168"/>
      <c r="I57" s="168"/>
      <c r="J57" s="168"/>
      <c r="K57" s="168"/>
      <c r="L57" s="168"/>
      <c r="M57" s="168"/>
      <c r="N57" s="168"/>
      <c r="O57" s="168"/>
      <c r="P57" s="168"/>
      <c r="Q57" s="168"/>
      <c r="R57" s="168"/>
      <c r="S57" s="168"/>
      <c r="T57" s="168"/>
      <c r="U57" s="168"/>
    </row>
    <row r="58" spans="1:21" ht="42.75" customHeight="1">
      <c r="A58" s="168"/>
      <c r="B58" s="168"/>
      <c r="C58" s="168"/>
      <c r="D58" s="168"/>
      <c r="E58" s="168"/>
      <c r="F58" s="168"/>
      <c r="G58" s="168"/>
      <c r="H58" s="168"/>
      <c r="I58" s="168"/>
      <c r="J58" s="168"/>
      <c r="K58" s="168"/>
      <c r="L58" s="168"/>
      <c r="M58" s="168"/>
      <c r="N58" s="168"/>
      <c r="O58" s="168"/>
      <c r="P58" s="168"/>
      <c r="Q58" s="168"/>
      <c r="R58" s="168"/>
      <c r="S58" s="168"/>
      <c r="T58" s="168"/>
      <c r="U58" s="168"/>
    </row>
    <row r="59" spans="1:21" ht="42.75" customHeight="1">
      <c r="A59" s="168"/>
      <c r="B59" s="168"/>
      <c r="C59" s="168"/>
      <c r="D59" s="168"/>
      <c r="E59" s="168"/>
      <c r="F59" s="168"/>
      <c r="G59" s="168"/>
      <c r="H59" s="168"/>
      <c r="I59" s="168"/>
      <c r="J59" s="168"/>
      <c r="K59" s="168"/>
      <c r="L59" s="168"/>
      <c r="M59" s="168"/>
      <c r="N59" s="168"/>
      <c r="O59" s="168"/>
      <c r="P59" s="168"/>
      <c r="Q59" s="168"/>
      <c r="R59" s="168"/>
      <c r="S59" s="168"/>
      <c r="T59" s="168"/>
      <c r="U59" s="168"/>
    </row>
    <row r="60" spans="1:21" ht="42.75" customHeight="1">
      <c r="A60" s="168"/>
      <c r="B60" s="168"/>
      <c r="C60" s="168"/>
      <c r="D60" s="168"/>
      <c r="E60" s="168"/>
      <c r="F60" s="168"/>
      <c r="G60" s="168"/>
      <c r="H60" s="168"/>
      <c r="I60" s="168"/>
      <c r="J60" s="168"/>
      <c r="K60" s="168"/>
      <c r="L60" s="168"/>
      <c r="M60" s="168"/>
      <c r="N60" s="168"/>
      <c r="O60" s="168"/>
      <c r="P60" s="168"/>
      <c r="Q60" s="168"/>
      <c r="R60" s="168"/>
      <c r="S60" s="168"/>
      <c r="T60" s="168"/>
      <c r="U60" s="168"/>
    </row>
    <row r="61" spans="1:21" ht="42.75" customHeight="1">
      <c r="A61" s="168"/>
      <c r="B61" s="168"/>
      <c r="C61" s="168"/>
      <c r="D61" s="168"/>
      <c r="E61" s="168"/>
      <c r="F61" s="168"/>
      <c r="G61" s="168"/>
      <c r="H61" s="168"/>
      <c r="I61" s="168"/>
      <c r="J61" s="168"/>
      <c r="K61" s="168"/>
      <c r="L61" s="168"/>
      <c r="M61" s="168"/>
      <c r="N61" s="168"/>
      <c r="O61" s="168"/>
      <c r="P61" s="168"/>
      <c r="Q61" s="168"/>
      <c r="R61" s="168"/>
      <c r="S61" s="168"/>
      <c r="T61" s="168"/>
      <c r="U61" s="168"/>
    </row>
    <row r="62" spans="1:21" ht="42.75" customHeight="1">
      <c r="A62" s="168"/>
      <c r="B62" s="168"/>
      <c r="C62" s="168"/>
      <c r="D62" s="168"/>
      <c r="E62" s="168"/>
      <c r="F62" s="168"/>
      <c r="G62" s="168"/>
      <c r="H62" s="168"/>
      <c r="I62" s="168"/>
      <c r="J62" s="168"/>
      <c r="K62" s="168"/>
      <c r="L62" s="168"/>
      <c r="M62" s="168"/>
      <c r="N62" s="168"/>
      <c r="O62" s="168"/>
      <c r="P62" s="168"/>
      <c r="Q62" s="168"/>
      <c r="R62" s="168"/>
      <c r="S62" s="168"/>
      <c r="T62" s="168"/>
      <c r="U62" s="168"/>
    </row>
    <row r="63" spans="1:21" ht="42.75" customHeight="1">
      <c r="A63" s="168"/>
      <c r="B63" s="168"/>
      <c r="C63" s="168"/>
      <c r="D63" s="168"/>
      <c r="E63" s="168"/>
      <c r="F63" s="168"/>
      <c r="G63" s="168"/>
      <c r="H63" s="168"/>
      <c r="I63" s="168"/>
      <c r="J63" s="168"/>
      <c r="K63" s="168"/>
      <c r="L63" s="168"/>
      <c r="M63" s="168"/>
      <c r="N63" s="168"/>
      <c r="O63" s="168"/>
      <c r="P63" s="168"/>
      <c r="Q63" s="168"/>
      <c r="R63" s="168"/>
      <c r="S63" s="168"/>
      <c r="T63" s="168"/>
      <c r="U63" s="168"/>
    </row>
    <row r="64" spans="1:21" ht="42.75" customHeight="1">
      <c r="A64" s="168"/>
      <c r="B64" s="168"/>
      <c r="C64" s="168"/>
      <c r="D64" s="168"/>
      <c r="E64" s="168"/>
      <c r="F64" s="168"/>
      <c r="G64" s="168"/>
      <c r="H64" s="168"/>
      <c r="I64" s="168"/>
      <c r="J64" s="168"/>
      <c r="K64" s="168"/>
      <c r="L64" s="168"/>
      <c r="M64" s="168"/>
      <c r="N64" s="168"/>
      <c r="O64" s="168"/>
      <c r="P64" s="168"/>
      <c r="Q64" s="168"/>
      <c r="R64" s="168"/>
      <c r="S64" s="168"/>
      <c r="T64" s="168"/>
      <c r="U64" s="168"/>
    </row>
    <row r="65" spans="1:21" ht="42.75" customHeight="1">
      <c r="A65" s="168"/>
      <c r="B65" s="168"/>
      <c r="C65" s="168"/>
      <c r="D65" s="168"/>
      <c r="E65" s="168"/>
      <c r="F65" s="168"/>
      <c r="G65" s="168"/>
      <c r="H65" s="168"/>
      <c r="I65" s="168"/>
      <c r="J65" s="168"/>
      <c r="K65" s="168"/>
      <c r="L65" s="168"/>
      <c r="M65" s="168"/>
      <c r="N65" s="168"/>
      <c r="O65" s="168"/>
      <c r="P65" s="168"/>
      <c r="Q65" s="168"/>
      <c r="R65" s="168"/>
      <c r="S65" s="168"/>
      <c r="T65" s="168"/>
      <c r="U65" s="168"/>
    </row>
    <row r="66" spans="1:21" ht="42.75" customHeight="1">
      <c r="A66" s="168"/>
      <c r="B66" s="168"/>
      <c r="C66" s="168"/>
      <c r="D66" s="168"/>
      <c r="E66" s="168"/>
      <c r="F66" s="168"/>
      <c r="G66" s="168"/>
      <c r="H66" s="168"/>
      <c r="I66" s="168"/>
      <c r="J66" s="168"/>
      <c r="K66" s="168"/>
      <c r="L66" s="168"/>
      <c r="M66" s="168"/>
      <c r="N66" s="168"/>
      <c r="O66" s="168"/>
      <c r="P66" s="168"/>
      <c r="Q66" s="168"/>
      <c r="R66" s="168"/>
      <c r="S66" s="168"/>
      <c r="T66" s="168"/>
      <c r="U66" s="168"/>
    </row>
    <row r="67" spans="1:21" ht="42.75" customHeight="1">
      <c r="A67" s="168"/>
      <c r="B67" s="168"/>
      <c r="C67" s="168"/>
      <c r="D67" s="168"/>
      <c r="E67" s="168"/>
      <c r="F67" s="168"/>
      <c r="G67" s="168"/>
      <c r="H67" s="168"/>
      <c r="I67" s="168"/>
      <c r="J67" s="168"/>
      <c r="K67" s="168"/>
      <c r="L67" s="168"/>
      <c r="M67" s="168"/>
      <c r="N67" s="168"/>
      <c r="O67" s="168"/>
      <c r="P67" s="168"/>
      <c r="Q67" s="168"/>
      <c r="R67" s="168"/>
      <c r="S67" s="168"/>
      <c r="T67" s="168"/>
      <c r="U67" s="168"/>
    </row>
    <row r="68" spans="1:21" ht="42.75" customHeight="1">
      <c r="A68" s="168"/>
      <c r="B68" s="168"/>
      <c r="C68" s="168"/>
      <c r="D68" s="168"/>
      <c r="E68" s="168"/>
      <c r="F68" s="168"/>
      <c r="G68" s="168"/>
      <c r="H68" s="168"/>
      <c r="I68" s="168"/>
      <c r="J68" s="168"/>
      <c r="K68" s="168"/>
      <c r="L68" s="168"/>
      <c r="M68" s="168"/>
      <c r="N68" s="168"/>
      <c r="O68" s="168"/>
      <c r="P68" s="168"/>
      <c r="Q68" s="168"/>
      <c r="R68" s="168"/>
      <c r="S68" s="168"/>
      <c r="T68" s="168"/>
      <c r="U68" s="168"/>
    </row>
    <row r="69" spans="1:21" ht="42.75" customHeight="1">
      <c r="A69" s="168"/>
      <c r="B69" s="168"/>
      <c r="C69" s="168"/>
      <c r="D69" s="168"/>
      <c r="E69" s="168"/>
      <c r="F69" s="168"/>
      <c r="G69" s="168"/>
      <c r="H69" s="168"/>
      <c r="I69" s="168"/>
      <c r="J69" s="168"/>
      <c r="K69" s="168"/>
      <c r="L69" s="168"/>
      <c r="M69" s="168"/>
      <c r="N69" s="168"/>
      <c r="O69" s="168"/>
      <c r="P69" s="168"/>
      <c r="Q69" s="168"/>
      <c r="R69" s="168"/>
      <c r="S69" s="168"/>
      <c r="T69" s="168"/>
      <c r="U69" s="168"/>
    </row>
    <row r="70" spans="1:21" ht="42.75" customHeight="1">
      <c r="A70" s="168"/>
      <c r="B70" s="168"/>
      <c r="C70" s="168"/>
      <c r="D70" s="168"/>
      <c r="E70" s="168"/>
      <c r="F70" s="168"/>
      <c r="G70" s="168"/>
      <c r="H70" s="168"/>
      <c r="I70" s="168"/>
      <c r="J70" s="168"/>
      <c r="K70" s="168"/>
      <c r="L70" s="168"/>
      <c r="M70" s="168"/>
      <c r="N70" s="168"/>
      <c r="O70" s="168"/>
      <c r="P70" s="168"/>
      <c r="Q70" s="168"/>
      <c r="R70" s="168"/>
      <c r="S70" s="168"/>
      <c r="T70" s="168"/>
      <c r="U70" s="168"/>
    </row>
    <row r="71" spans="1:21" ht="42.75" customHeight="1">
      <c r="A71" s="168"/>
      <c r="B71" s="168"/>
      <c r="C71" s="168"/>
      <c r="D71" s="168"/>
      <c r="E71" s="168"/>
      <c r="F71" s="168"/>
      <c r="G71" s="168"/>
      <c r="H71" s="168"/>
      <c r="I71" s="168"/>
      <c r="J71" s="168"/>
      <c r="K71" s="168"/>
      <c r="L71" s="168"/>
      <c r="M71" s="168"/>
      <c r="N71" s="168"/>
      <c r="O71" s="168"/>
      <c r="P71" s="168"/>
      <c r="Q71" s="168"/>
      <c r="R71" s="168"/>
      <c r="S71" s="168"/>
      <c r="T71" s="168"/>
      <c r="U71" s="168"/>
    </row>
    <row r="72" spans="1:21" ht="42.75" customHeight="1">
      <c r="A72" s="168"/>
      <c r="B72" s="168"/>
      <c r="C72" s="168"/>
      <c r="D72" s="168"/>
      <c r="E72" s="168"/>
      <c r="F72" s="168"/>
      <c r="G72" s="168"/>
      <c r="H72" s="168"/>
      <c r="I72" s="168"/>
      <c r="J72" s="168"/>
      <c r="K72" s="168"/>
      <c r="L72" s="168"/>
      <c r="M72" s="168"/>
      <c r="N72" s="168"/>
      <c r="O72" s="168"/>
      <c r="P72" s="168"/>
      <c r="Q72" s="168"/>
      <c r="R72" s="168"/>
      <c r="S72" s="168"/>
      <c r="T72" s="168"/>
      <c r="U72" s="168"/>
    </row>
    <row r="73" spans="1:21" ht="42.75" customHeight="1">
      <c r="A73" s="168"/>
      <c r="B73" s="168"/>
      <c r="C73" s="168"/>
      <c r="D73" s="168"/>
      <c r="E73" s="168"/>
      <c r="F73" s="168"/>
      <c r="G73" s="168"/>
      <c r="H73" s="168"/>
      <c r="I73" s="168"/>
      <c r="J73" s="168"/>
      <c r="K73" s="168"/>
      <c r="L73" s="168"/>
      <c r="M73" s="168"/>
      <c r="N73" s="168"/>
      <c r="O73" s="168"/>
      <c r="P73" s="168"/>
      <c r="Q73" s="168"/>
      <c r="R73" s="168"/>
      <c r="S73" s="168"/>
      <c r="T73" s="168"/>
      <c r="U73" s="168"/>
    </row>
    <row r="74" spans="1:21" ht="42.75" customHeight="1">
      <c r="A74" s="168"/>
      <c r="B74" s="168"/>
      <c r="C74" s="168"/>
      <c r="D74" s="168"/>
      <c r="E74" s="168"/>
      <c r="F74" s="168"/>
      <c r="G74" s="168"/>
      <c r="H74" s="168"/>
      <c r="I74" s="168"/>
      <c r="J74" s="168"/>
      <c r="K74" s="168"/>
      <c r="L74" s="168"/>
      <c r="M74" s="168"/>
      <c r="N74" s="168"/>
      <c r="O74" s="168"/>
      <c r="P74" s="168"/>
      <c r="Q74" s="168"/>
      <c r="R74" s="168"/>
      <c r="S74" s="168"/>
      <c r="T74" s="168"/>
      <c r="U74" s="168"/>
    </row>
    <row r="75" spans="1:21" ht="42.75" customHeight="1">
      <c r="A75" s="168"/>
      <c r="B75" s="168"/>
      <c r="C75" s="168"/>
      <c r="D75" s="168"/>
      <c r="E75" s="168"/>
      <c r="F75" s="168"/>
      <c r="G75" s="168"/>
      <c r="H75" s="168"/>
      <c r="I75" s="168"/>
      <c r="J75" s="168"/>
      <c r="K75" s="168"/>
      <c r="L75" s="168"/>
      <c r="M75" s="168"/>
      <c r="N75" s="168"/>
      <c r="O75" s="168"/>
      <c r="P75" s="168"/>
      <c r="Q75" s="168"/>
      <c r="R75" s="168"/>
      <c r="S75" s="168"/>
      <c r="T75" s="168"/>
      <c r="U75" s="168"/>
    </row>
    <row r="76" spans="1:21" ht="42.75" customHeight="1">
      <c r="A76" s="168"/>
      <c r="B76" s="168"/>
      <c r="C76" s="168"/>
      <c r="D76" s="168"/>
      <c r="E76" s="168"/>
      <c r="F76" s="168"/>
      <c r="G76" s="168"/>
      <c r="H76" s="168"/>
      <c r="I76" s="168"/>
      <c r="J76" s="168"/>
      <c r="K76" s="168"/>
      <c r="L76" s="168"/>
      <c r="M76" s="168"/>
      <c r="N76" s="168"/>
      <c r="O76" s="168"/>
      <c r="P76" s="168"/>
      <c r="Q76" s="168"/>
      <c r="R76" s="168"/>
      <c r="S76" s="168"/>
      <c r="T76" s="168"/>
      <c r="U76" s="168"/>
    </row>
    <row r="77" spans="1:21" ht="42.75" customHeight="1">
      <c r="A77" s="168"/>
      <c r="B77" s="168"/>
      <c r="C77" s="168"/>
      <c r="D77" s="168"/>
      <c r="E77" s="168"/>
      <c r="F77" s="168"/>
      <c r="G77" s="168"/>
      <c r="H77" s="168"/>
      <c r="I77" s="168"/>
      <c r="J77" s="168"/>
      <c r="K77" s="168"/>
      <c r="L77" s="168"/>
      <c r="M77" s="168"/>
      <c r="N77" s="168"/>
      <c r="O77" s="168"/>
      <c r="P77" s="168"/>
      <c r="Q77" s="168"/>
      <c r="R77" s="168"/>
      <c r="S77" s="168"/>
      <c r="T77" s="168"/>
      <c r="U77" s="168"/>
    </row>
    <row r="78" spans="1:21" ht="42.75" customHeight="1">
      <c r="A78" s="168"/>
      <c r="B78" s="168"/>
      <c r="C78" s="168"/>
      <c r="D78" s="168"/>
      <c r="E78" s="168"/>
      <c r="F78" s="168"/>
      <c r="G78" s="168"/>
      <c r="H78" s="168"/>
      <c r="I78" s="168"/>
      <c r="J78" s="168"/>
      <c r="K78" s="168"/>
      <c r="L78" s="168"/>
      <c r="M78" s="168"/>
      <c r="N78" s="168"/>
      <c r="O78" s="168"/>
      <c r="P78" s="168"/>
      <c r="Q78" s="168"/>
      <c r="R78" s="168"/>
      <c r="S78" s="168"/>
      <c r="T78" s="168"/>
      <c r="U78" s="168"/>
    </row>
    <row r="79" spans="1:21" ht="42.75" customHeight="1">
      <c r="A79" s="168"/>
      <c r="B79" s="168"/>
      <c r="C79" s="168"/>
      <c r="D79" s="168"/>
      <c r="E79" s="168"/>
      <c r="F79" s="168"/>
      <c r="G79" s="168"/>
      <c r="H79" s="168"/>
      <c r="I79" s="168"/>
      <c r="J79" s="168"/>
      <c r="K79" s="168"/>
      <c r="L79" s="168"/>
      <c r="M79" s="168"/>
      <c r="N79" s="168"/>
      <c r="O79" s="168"/>
      <c r="P79" s="168"/>
      <c r="Q79" s="168"/>
      <c r="R79" s="168"/>
      <c r="S79" s="168"/>
      <c r="T79" s="168"/>
      <c r="U79" s="168"/>
    </row>
    <row r="80" spans="1:21" ht="42.75" customHeight="1">
      <c r="A80" s="168"/>
      <c r="B80" s="168"/>
      <c r="C80" s="168"/>
      <c r="D80" s="168"/>
      <c r="E80" s="168"/>
      <c r="F80" s="168"/>
      <c r="G80" s="168"/>
      <c r="H80" s="168"/>
      <c r="I80" s="168"/>
      <c r="J80" s="168"/>
      <c r="K80" s="168"/>
      <c r="L80" s="168"/>
      <c r="M80" s="168"/>
      <c r="N80" s="168"/>
      <c r="O80" s="168"/>
      <c r="P80" s="168"/>
      <c r="Q80" s="168"/>
      <c r="R80" s="168"/>
      <c r="S80" s="168"/>
      <c r="T80" s="168"/>
      <c r="U80" s="168"/>
    </row>
    <row r="81" spans="1:21" ht="42.75" customHeight="1">
      <c r="A81" s="168"/>
      <c r="B81" s="168"/>
      <c r="C81" s="168"/>
      <c r="D81" s="168"/>
      <c r="E81" s="168"/>
      <c r="F81" s="168"/>
      <c r="G81" s="168"/>
      <c r="H81" s="168"/>
      <c r="I81" s="168"/>
      <c r="J81" s="168"/>
      <c r="K81" s="168"/>
      <c r="L81" s="168"/>
      <c r="M81" s="168"/>
      <c r="N81" s="168"/>
      <c r="O81" s="168"/>
      <c r="P81" s="168"/>
      <c r="Q81" s="168"/>
      <c r="R81" s="168"/>
      <c r="S81" s="168"/>
      <c r="T81" s="168"/>
      <c r="U81" s="168"/>
    </row>
    <row r="82" spans="1:21" ht="42.75" customHeight="1">
      <c r="A82" s="168"/>
      <c r="B82" s="168"/>
      <c r="C82" s="168"/>
      <c r="D82" s="168"/>
      <c r="E82" s="168"/>
      <c r="F82" s="168"/>
      <c r="G82" s="168"/>
      <c r="H82" s="168"/>
      <c r="I82" s="168"/>
      <c r="J82" s="168"/>
      <c r="K82" s="168"/>
      <c r="L82" s="168"/>
      <c r="M82" s="168"/>
      <c r="N82" s="168"/>
      <c r="O82" s="168"/>
      <c r="P82" s="168"/>
      <c r="Q82" s="168"/>
      <c r="R82" s="168"/>
      <c r="S82" s="168"/>
      <c r="T82" s="168"/>
      <c r="U82" s="168"/>
    </row>
    <row r="83" spans="1:21" ht="42.75" customHeight="1">
      <c r="A83" s="168"/>
      <c r="B83" s="168"/>
      <c r="C83" s="168"/>
      <c r="D83" s="168"/>
      <c r="E83" s="168"/>
      <c r="F83" s="168"/>
      <c r="G83" s="168"/>
      <c r="H83" s="168"/>
      <c r="I83" s="168"/>
      <c r="J83" s="168"/>
      <c r="K83" s="168"/>
      <c r="L83" s="168"/>
      <c r="M83" s="168"/>
      <c r="N83" s="168"/>
      <c r="O83" s="168"/>
      <c r="P83" s="168"/>
      <c r="Q83" s="168"/>
      <c r="R83" s="168"/>
      <c r="S83" s="168"/>
      <c r="T83" s="168"/>
      <c r="U83" s="168"/>
    </row>
    <row r="84" spans="1:21" ht="42.75" customHeight="1">
      <c r="A84" s="168"/>
      <c r="B84" s="168"/>
      <c r="C84" s="168"/>
      <c r="D84" s="168"/>
      <c r="E84" s="168"/>
      <c r="F84" s="168"/>
      <c r="G84" s="168"/>
      <c r="H84" s="168"/>
      <c r="I84" s="168"/>
      <c r="J84" s="168"/>
      <c r="K84" s="168"/>
      <c r="L84" s="168"/>
      <c r="M84" s="168"/>
      <c r="N84" s="168"/>
      <c r="O84" s="168"/>
      <c r="P84" s="168"/>
      <c r="Q84" s="168"/>
      <c r="R84" s="168"/>
      <c r="S84" s="168"/>
      <c r="T84" s="168"/>
      <c r="U84" s="168"/>
    </row>
    <row r="85" spans="1:21" ht="42.75" customHeight="1">
      <c r="A85" s="168"/>
      <c r="B85" s="168"/>
      <c r="C85" s="168"/>
      <c r="D85" s="168"/>
      <c r="E85" s="168"/>
      <c r="F85" s="168"/>
      <c r="G85" s="168"/>
      <c r="H85" s="168"/>
      <c r="I85" s="168"/>
      <c r="J85" s="168"/>
      <c r="K85" s="168"/>
      <c r="L85" s="168"/>
      <c r="M85" s="168"/>
      <c r="N85" s="168"/>
      <c r="O85" s="168"/>
      <c r="P85" s="168"/>
      <c r="Q85" s="168"/>
      <c r="R85" s="168"/>
      <c r="S85" s="168"/>
      <c r="T85" s="168"/>
      <c r="U85" s="168"/>
    </row>
    <row r="86" spans="1:21" ht="42.75" customHeight="1">
      <c r="A86" s="168"/>
      <c r="B86" s="168"/>
      <c r="C86" s="168"/>
      <c r="D86" s="168"/>
      <c r="E86" s="168"/>
      <c r="F86" s="168"/>
      <c r="G86" s="168"/>
      <c r="H86" s="168"/>
      <c r="I86" s="168"/>
      <c r="J86" s="168"/>
      <c r="K86" s="168"/>
      <c r="L86" s="168"/>
      <c r="M86" s="168"/>
      <c r="N86" s="168"/>
      <c r="O86" s="168"/>
      <c r="P86" s="168"/>
      <c r="Q86" s="168"/>
      <c r="R86" s="168"/>
      <c r="S86" s="168"/>
      <c r="T86" s="168"/>
      <c r="U86" s="168"/>
    </row>
    <row r="87" spans="1:21" ht="42.75" customHeight="1">
      <c r="A87" s="168"/>
      <c r="B87" s="168"/>
      <c r="C87" s="168"/>
      <c r="D87" s="168"/>
      <c r="E87" s="168"/>
      <c r="F87" s="168"/>
      <c r="G87" s="168"/>
      <c r="H87" s="168"/>
      <c r="I87" s="168"/>
      <c r="J87" s="168"/>
      <c r="K87" s="168"/>
      <c r="L87" s="168"/>
      <c r="M87" s="168"/>
      <c r="N87" s="168"/>
      <c r="O87" s="168"/>
      <c r="P87" s="168"/>
      <c r="Q87" s="168"/>
      <c r="R87" s="168"/>
      <c r="S87" s="168"/>
      <c r="T87" s="168"/>
      <c r="U87" s="168"/>
    </row>
    <row r="88" spans="1:21" ht="42.75" customHeight="1">
      <c r="A88" s="168"/>
      <c r="B88" s="168"/>
      <c r="C88" s="168"/>
      <c r="D88" s="168"/>
      <c r="E88" s="168"/>
      <c r="F88" s="168"/>
      <c r="G88" s="168"/>
      <c r="H88" s="168"/>
      <c r="I88" s="168"/>
      <c r="J88" s="168"/>
      <c r="K88" s="168"/>
      <c r="L88" s="168"/>
      <c r="M88" s="168"/>
      <c r="N88" s="168"/>
      <c r="O88" s="168"/>
      <c r="P88" s="168"/>
      <c r="Q88" s="168"/>
      <c r="R88" s="168"/>
      <c r="S88" s="168"/>
      <c r="T88" s="168"/>
      <c r="U88" s="168"/>
    </row>
    <row r="89" spans="1:21" ht="42.75" customHeight="1">
      <c r="A89" s="168"/>
      <c r="B89" s="168"/>
      <c r="C89" s="168"/>
      <c r="D89" s="168"/>
      <c r="E89" s="168"/>
      <c r="F89" s="168"/>
      <c r="G89" s="168"/>
      <c r="H89" s="168"/>
      <c r="I89" s="168"/>
      <c r="J89" s="168"/>
      <c r="K89" s="168"/>
      <c r="L89" s="168"/>
      <c r="M89" s="168"/>
      <c r="N89" s="168"/>
      <c r="O89" s="168"/>
      <c r="P89" s="168"/>
      <c r="Q89" s="168"/>
      <c r="R89" s="168"/>
      <c r="S89" s="168"/>
      <c r="T89" s="168"/>
      <c r="U89" s="168"/>
    </row>
    <row r="90" spans="1:21" ht="42.75" customHeight="1">
      <c r="A90" s="168"/>
      <c r="B90" s="168"/>
      <c r="C90" s="168"/>
      <c r="D90" s="168"/>
      <c r="E90" s="168"/>
      <c r="F90" s="168"/>
      <c r="G90" s="168"/>
      <c r="H90" s="168"/>
      <c r="I90" s="168"/>
      <c r="J90" s="168"/>
      <c r="K90" s="168"/>
      <c r="L90" s="168"/>
      <c r="M90" s="168"/>
      <c r="N90" s="168"/>
      <c r="O90" s="168"/>
      <c r="P90" s="168"/>
      <c r="Q90" s="168"/>
      <c r="R90" s="168"/>
      <c r="S90" s="168"/>
      <c r="T90" s="168"/>
      <c r="U90" s="168"/>
    </row>
    <row r="91" spans="1:21" ht="42.75" customHeight="1">
      <c r="A91" s="168"/>
      <c r="B91" s="168"/>
      <c r="C91" s="168"/>
      <c r="D91" s="168"/>
      <c r="E91" s="168"/>
      <c r="F91" s="168"/>
      <c r="G91" s="168"/>
      <c r="H91" s="168"/>
      <c r="I91" s="168"/>
      <c r="J91" s="168"/>
      <c r="K91" s="168"/>
      <c r="L91" s="168"/>
      <c r="M91" s="168"/>
      <c r="N91" s="168"/>
      <c r="O91" s="168"/>
      <c r="P91" s="168"/>
      <c r="Q91" s="168"/>
      <c r="R91" s="168"/>
      <c r="S91" s="168"/>
      <c r="T91" s="168"/>
      <c r="U91" s="168"/>
    </row>
    <row r="92" spans="1:21" ht="42.75" customHeight="1">
      <c r="A92" s="168"/>
      <c r="B92" s="168"/>
      <c r="C92" s="168"/>
      <c r="D92" s="168"/>
      <c r="E92" s="168"/>
      <c r="F92" s="168"/>
      <c r="G92" s="168"/>
      <c r="H92" s="168"/>
      <c r="I92" s="168"/>
      <c r="J92" s="168"/>
      <c r="K92" s="168"/>
      <c r="L92" s="168"/>
      <c r="M92" s="168"/>
      <c r="N92" s="168"/>
      <c r="O92" s="168"/>
      <c r="P92" s="168"/>
      <c r="Q92" s="168"/>
      <c r="R92" s="168"/>
      <c r="S92" s="168"/>
      <c r="T92" s="168"/>
      <c r="U92" s="168"/>
    </row>
    <row r="93" spans="1:21" ht="42.75" customHeight="1">
      <c r="A93" s="168"/>
      <c r="B93" s="168"/>
      <c r="C93" s="168"/>
      <c r="D93" s="168"/>
      <c r="E93" s="168"/>
      <c r="F93" s="168"/>
      <c r="G93" s="168"/>
      <c r="H93" s="168"/>
      <c r="I93" s="168"/>
      <c r="J93" s="168"/>
      <c r="K93" s="168"/>
      <c r="L93" s="168"/>
      <c r="M93" s="168"/>
      <c r="N93" s="168"/>
      <c r="O93" s="168"/>
      <c r="P93" s="168"/>
      <c r="Q93" s="168"/>
      <c r="R93" s="168"/>
      <c r="S93" s="168"/>
      <c r="T93" s="168"/>
      <c r="U93" s="168"/>
    </row>
    <row r="94" spans="1:21" ht="42.75" customHeight="1">
      <c r="A94" s="168"/>
      <c r="B94" s="168"/>
      <c r="C94" s="168"/>
      <c r="D94" s="168"/>
      <c r="E94" s="168"/>
      <c r="F94" s="168"/>
      <c r="G94" s="168"/>
      <c r="H94" s="168"/>
      <c r="I94" s="168"/>
      <c r="J94" s="168"/>
      <c r="K94" s="168"/>
      <c r="L94" s="168"/>
      <c r="M94" s="168"/>
      <c r="N94" s="168"/>
      <c r="O94" s="168"/>
      <c r="P94" s="168"/>
      <c r="Q94" s="168"/>
      <c r="R94" s="168"/>
      <c r="S94" s="168"/>
      <c r="T94" s="168"/>
      <c r="U94" s="168"/>
    </row>
    <row r="95" spans="1:21" ht="42.75" customHeight="1">
      <c r="A95" s="168"/>
      <c r="B95" s="168"/>
      <c r="C95" s="168"/>
      <c r="D95" s="168"/>
      <c r="E95" s="168"/>
      <c r="F95" s="168"/>
      <c r="G95" s="168"/>
      <c r="H95" s="168"/>
      <c r="I95" s="168"/>
      <c r="J95" s="168"/>
      <c r="K95" s="168"/>
      <c r="L95" s="168"/>
      <c r="M95" s="168"/>
      <c r="N95" s="168"/>
      <c r="O95" s="168"/>
      <c r="P95" s="168"/>
      <c r="Q95" s="168"/>
      <c r="R95" s="168"/>
      <c r="S95" s="168"/>
      <c r="T95" s="168"/>
      <c r="U95" s="168"/>
    </row>
    <row r="96" spans="1:21" ht="42.75" customHeight="1">
      <c r="A96" s="168"/>
      <c r="B96" s="168"/>
      <c r="C96" s="168"/>
      <c r="D96" s="168"/>
      <c r="E96" s="168"/>
      <c r="F96" s="168"/>
      <c r="G96" s="168"/>
      <c r="H96" s="168"/>
      <c r="I96" s="168"/>
      <c r="J96" s="168"/>
      <c r="K96" s="168"/>
      <c r="L96" s="168"/>
      <c r="M96" s="168"/>
      <c r="N96" s="168"/>
      <c r="O96" s="168"/>
      <c r="P96" s="168"/>
      <c r="Q96" s="168"/>
      <c r="R96" s="168"/>
      <c r="S96" s="168"/>
      <c r="T96" s="168"/>
      <c r="U96" s="168"/>
    </row>
    <row r="97" spans="1:21" ht="42.75" customHeight="1">
      <c r="A97" s="168"/>
      <c r="B97" s="168"/>
      <c r="C97" s="168"/>
      <c r="D97" s="168"/>
      <c r="E97" s="168"/>
      <c r="F97" s="168"/>
      <c r="G97" s="168"/>
      <c r="H97" s="168"/>
      <c r="I97" s="168"/>
      <c r="J97" s="168"/>
      <c r="K97" s="168"/>
      <c r="L97" s="168"/>
      <c r="M97" s="168"/>
      <c r="N97" s="168"/>
      <c r="O97" s="168"/>
      <c r="P97" s="168"/>
      <c r="Q97" s="168"/>
      <c r="R97" s="168"/>
      <c r="S97" s="168"/>
      <c r="T97" s="168"/>
      <c r="U97" s="168"/>
    </row>
    <row r="98" spans="1:21" ht="42.75" customHeight="1">
      <c r="A98" s="168"/>
      <c r="B98" s="168"/>
      <c r="C98" s="168"/>
      <c r="D98" s="168"/>
      <c r="E98" s="168"/>
      <c r="F98" s="168"/>
      <c r="G98" s="168"/>
      <c r="H98" s="168"/>
      <c r="I98" s="168"/>
      <c r="J98" s="168"/>
      <c r="K98" s="168"/>
      <c r="L98" s="168"/>
      <c r="M98" s="168"/>
      <c r="N98" s="168"/>
      <c r="O98" s="168"/>
      <c r="P98" s="168"/>
      <c r="Q98" s="168"/>
      <c r="R98" s="168"/>
      <c r="S98" s="168"/>
      <c r="T98" s="168"/>
      <c r="U98" s="168"/>
    </row>
    <row r="99" spans="1:21" ht="42.75" customHeight="1">
      <c r="A99" s="168"/>
      <c r="B99" s="168"/>
      <c r="C99" s="168"/>
      <c r="D99" s="168"/>
      <c r="E99" s="168"/>
      <c r="F99" s="168"/>
      <c r="G99" s="168"/>
      <c r="H99" s="168"/>
      <c r="I99" s="168"/>
      <c r="J99" s="168"/>
      <c r="K99" s="168"/>
      <c r="L99" s="168"/>
      <c r="M99" s="168"/>
      <c r="N99" s="168"/>
      <c r="O99" s="168"/>
      <c r="P99" s="168"/>
      <c r="Q99" s="168"/>
      <c r="R99" s="168"/>
      <c r="S99" s="168"/>
      <c r="T99" s="168"/>
      <c r="U99" s="168"/>
    </row>
    <row r="100" spans="1:21" ht="42.75" customHeight="1">
      <c r="A100" s="168"/>
      <c r="B100" s="168"/>
      <c r="C100" s="168"/>
      <c r="D100" s="168"/>
      <c r="E100" s="168"/>
      <c r="F100" s="168"/>
      <c r="G100" s="168"/>
      <c r="H100" s="168"/>
      <c r="I100" s="168"/>
      <c r="J100" s="168"/>
      <c r="K100" s="168"/>
      <c r="L100" s="168"/>
      <c r="M100" s="168"/>
      <c r="N100" s="168"/>
      <c r="O100" s="168"/>
      <c r="P100" s="168"/>
      <c r="Q100" s="168"/>
      <c r="R100" s="168"/>
      <c r="S100" s="168"/>
      <c r="T100" s="168"/>
      <c r="U100" s="168"/>
    </row>
    <row r="101" spans="1:21" ht="42.75" customHeight="1">
      <c r="A101" s="168"/>
      <c r="B101" s="168"/>
      <c r="C101" s="168"/>
      <c r="D101" s="168"/>
      <c r="E101" s="168"/>
      <c r="F101" s="168"/>
      <c r="G101" s="168"/>
      <c r="H101" s="168"/>
      <c r="I101" s="168"/>
      <c r="J101" s="168"/>
      <c r="K101" s="168"/>
      <c r="L101" s="168"/>
      <c r="M101" s="168"/>
      <c r="N101" s="168"/>
      <c r="O101" s="168"/>
      <c r="P101" s="168"/>
      <c r="Q101" s="168"/>
      <c r="R101" s="168"/>
      <c r="S101" s="168"/>
      <c r="T101" s="168"/>
      <c r="U101" s="168"/>
    </row>
    <row r="102" spans="1:21" ht="42.75" customHeight="1">
      <c r="A102" s="168"/>
      <c r="B102" s="168"/>
      <c r="C102" s="168"/>
      <c r="D102" s="168"/>
      <c r="E102" s="168"/>
      <c r="F102" s="168"/>
      <c r="G102" s="168"/>
      <c r="H102" s="168"/>
      <c r="I102" s="168"/>
      <c r="J102" s="168"/>
      <c r="K102" s="168"/>
      <c r="L102" s="168"/>
      <c r="M102" s="168"/>
      <c r="N102" s="168"/>
      <c r="O102" s="168"/>
      <c r="P102" s="168"/>
      <c r="Q102" s="168"/>
      <c r="R102" s="168"/>
      <c r="S102" s="168"/>
      <c r="T102" s="168"/>
      <c r="U102" s="168"/>
    </row>
    <row r="103" spans="1:21" ht="42.75" customHeight="1">
      <c r="A103" s="168"/>
      <c r="B103" s="168"/>
      <c r="C103" s="168"/>
      <c r="D103" s="168"/>
      <c r="E103" s="168"/>
      <c r="F103" s="168"/>
      <c r="G103" s="168"/>
      <c r="H103" s="168"/>
      <c r="I103" s="168"/>
      <c r="J103" s="168"/>
      <c r="K103" s="168"/>
      <c r="L103" s="168"/>
      <c r="M103" s="168"/>
      <c r="N103" s="168"/>
      <c r="O103" s="168"/>
      <c r="P103" s="168"/>
      <c r="Q103" s="168"/>
      <c r="R103" s="168"/>
      <c r="S103" s="168"/>
      <c r="T103" s="168"/>
      <c r="U103" s="168"/>
    </row>
    <row r="104" spans="1:21" ht="42.75" customHeight="1">
      <c r="A104" s="168"/>
      <c r="B104" s="168"/>
      <c r="C104" s="168"/>
      <c r="D104" s="168"/>
      <c r="E104" s="168"/>
      <c r="F104" s="168"/>
      <c r="G104" s="168"/>
      <c r="H104" s="168"/>
      <c r="I104" s="168"/>
      <c r="J104" s="168"/>
      <c r="K104" s="168"/>
      <c r="L104" s="168"/>
      <c r="M104" s="168"/>
      <c r="N104" s="168"/>
      <c r="O104" s="168"/>
      <c r="P104" s="168"/>
      <c r="Q104" s="168"/>
      <c r="R104" s="168"/>
      <c r="S104" s="168"/>
      <c r="T104" s="168"/>
      <c r="U104" s="168"/>
    </row>
    <row r="105" spans="1:21" ht="42.75" customHeight="1">
      <c r="A105" s="168"/>
      <c r="B105" s="168"/>
      <c r="C105" s="168"/>
      <c r="D105" s="168"/>
      <c r="E105" s="168"/>
      <c r="F105" s="168"/>
      <c r="G105" s="168"/>
      <c r="H105" s="168"/>
      <c r="I105" s="168"/>
      <c r="J105" s="168"/>
      <c r="K105" s="168"/>
      <c r="L105" s="168"/>
      <c r="M105" s="168"/>
      <c r="N105" s="168"/>
      <c r="O105" s="168"/>
      <c r="P105" s="168"/>
      <c r="Q105" s="168"/>
      <c r="R105" s="168"/>
      <c r="S105" s="168"/>
      <c r="T105" s="168"/>
      <c r="U105" s="168"/>
    </row>
    <row r="106" spans="1:21" ht="42.75" customHeight="1">
      <c r="A106" s="168"/>
      <c r="B106" s="168"/>
      <c r="C106" s="168"/>
      <c r="D106" s="168"/>
      <c r="E106" s="168"/>
      <c r="F106" s="168"/>
      <c r="G106" s="168"/>
      <c r="H106" s="168"/>
      <c r="I106" s="168"/>
      <c r="J106" s="168"/>
      <c r="K106" s="168"/>
      <c r="L106" s="168"/>
      <c r="M106" s="168"/>
      <c r="N106" s="168"/>
      <c r="O106" s="168"/>
      <c r="P106" s="168"/>
      <c r="Q106" s="168"/>
      <c r="R106" s="168"/>
      <c r="S106" s="168"/>
      <c r="T106" s="168"/>
      <c r="U106" s="168"/>
    </row>
    <row r="107" spans="1:21" ht="42.75" customHeight="1">
      <c r="A107" s="168"/>
      <c r="B107" s="168"/>
      <c r="C107" s="168"/>
      <c r="D107" s="168"/>
      <c r="E107" s="168"/>
      <c r="F107" s="168"/>
      <c r="G107" s="168"/>
      <c r="H107" s="168"/>
      <c r="I107" s="168"/>
      <c r="J107" s="168"/>
      <c r="K107" s="168"/>
      <c r="L107" s="168"/>
      <c r="M107" s="168"/>
      <c r="N107" s="168"/>
      <c r="O107" s="168"/>
      <c r="P107" s="168"/>
      <c r="Q107" s="168"/>
      <c r="R107" s="168"/>
      <c r="S107" s="168"/>
      <c r="T107" s="168"/>
      <c r="U107" s="168"/>
    </row>
    <row r="108" spans="1:21" ht="42.75" customHeight="1">
      <c r="A108" s="168"/>
      <c r="B108" s="168"/>
      <c r="C108" s="168"/>
      <c r="D108" s="168"/>
      <c r="E108" s="168"/>
      <c r="F108" s="168"/>
      <c r="G108" s="168"/>
      <c r="H108" s="168"/>
      <c r="I108" s="168"/>
      <c r="J108" s="168"/>
      <c r="K108" s="168"/>
      <c r="L108" s="168"/>
      <c r="M108" s="168"/>
      <c r="N108" s="168"/>
      <c r="O108" s="168"/>
      <c r="P108" s="168"/>
      <c r="Q108" s="168"/>
      <c r="R108" s="168"/>
      <c r="S108" s="168"/>
      <c r="T108" s="168"/>
      <c r="U108" s="168"/>
    </row>
    <row r="109" spans="1:21" ht="42.75" customHeight="1">
      <c r="A109" s="168"/>
      <c r="B109" s="168"/>
      <c r="C109" s="168"/>
      <c r="D109" s="168"/>
      <c r="E109" s="168"/>
      <c r="F109" s="168"/>
      <c r="G109" s="168"/>
      <c r="H109" s="168"/>
      <c r="I109" s="168"/>
      <c r="J109" s="168"/>
      <c r="K109" s="168"/>
      <c r="L109" s="168"/>
      <c r="M109" s="168"/>
      <c r="N109" s="168"/>
      <c r="O109" s="168"/>
      <c r="P109" s="168"/>
      <c r="Q109" s="168"/>
      <c r="R109" s="168"/>
      <c r="S109" s="168"/>
      <c r="T109" s="168"/>
      <c r="U109" s="168"/>
    </row>
    <row r="110" spans="1:21" ht="42.75" customHeight="1">
      <c r="A110" s="168"/>
      <c r="B110" s="168"/>
      <c r="C110" s="168"/>
      <c r="D110" s="168"/>
      <c r="E110" s="168"/>
      <c r="F110" s="168"/>
      <c r="G110" s="168"/>
      <c r="H110" s="168"/>
      <c r="I110" s="168"/>
      <c r="J110" s="168"/>
      <c r="K110" s="168"/>
      <c r="L110" s="168"/>
      <c r="M110" s="168"/>
      <c r="N110" s="168"/>
      <c r="O110" s="168"/>
      <c r="P110" s="168"/>
      <c r="Q110" s="168"/>
      <c r="R110" s="168"/>
      <c r="S110" s="168"/>
      <c r="T110" s="168"/>
      <c r="U110" s="168"/>
    </row>
    <row r="111" spans="1:21" ht="42.75" customHeight="1">
      <c r="A111" s="168"/>
      <c r="B111" s="168"/>
      <c r="C111" s="168"/>
      <c r="D111" s="168"/>
      <c r="E111" s="168"/>
      <c r="F111" s="168"/>
      <c r="G111" s="168"/>
      <c r="H111" s="168"/>
      <c r="I111" s="168"/>
      <c r="J111" s="168"/>
      <c r="K111" s="168"/>
      <c r="L111" s="168"/>
      <c r="M111" s="168"/>
      <c r="N111" s="168"/>
      <c r="O111" s="168"/>
      <c r="P111" s="168"/>
      <c r="Q111" s="168"/>
      <c r="R111" s="168"/>
      <c r="S111" s="168"/>
      <c r="T111" s="168"/>
      <c r="U111" s="168"/>
    </row>
    <row r="112" spans="1:21" ht="42.75" customHeight="1">
      <c r="A112" s="168"/>
      <c r="B112" s="168"/>
      <c r="C112" s="168"/>
      <c r="D112" s="168"/>
      <c r="E112" s="168"/>
      <c r="F112" s="168"/>
      <c r="G112" s="168"/>
      <c r="H112" s="168"/>
      <c r="I112" s="168"/>
      <c r="J112" s="168"/>
      <c r="K112" s="168"/>
      <c r="L112" s="168"/>
      <c r="M112" s="168"/>
      <c r="N112" s="168"/>
      <c r="O112" s="168"/>
      <c r="P112" s="168"/>
      <c r="Q112" s="168"/>
      <c r="R112" s="168"/>
      <c r="S112" s="168"/>
      <c r="T112" s="168"/>
      <c r="U112" s="168"/>
    </row>
    <row r="113" spans="1:21" ht="42.75" customHeight="1">
      <c r="A113" s="168"/>
      <c r="B113" s="168"/>
      <c r="C113" s="168"/>
      <c r="D113" s="168"/>
      <c r="E113" s="168"/>
      <c r="F113" s="168"/>
      <c r="G113" s="168"/>
      <c r="H113" s="168"/>
      <c r="I113" s="168"/>
      <c r="J113" s="168"/>
      <c r="K113" s="168"/>
      <c r="L113" s="168"/>
      <c r="M113" s="168"/>
      <c r="N113" s="168"/>
      <c r="O113" s="168"/>
      <c r="P113" s="168"/>
      <c r="Q113" s="168"/>
      <c r="R113" s="168"/>
      <c r="S113" s="168"/>
      <c r="T113" s="168"/>
      <c r="U113" s="168"/>
    </row>
    <row r="114" spans="1:21" ht="42.75" customHeight="1">
      <c r="A114" s="168"/>
      <c r="B114" s="168"/>
      <c r="C114" s="168"/>
      <c r="D114" s="168"/>
      <c r="E114" s="168"/>
      <c r="F114" s="168"/>
      <c r="G114" s="168"/>
      <c r="H114" s="168"/>
      <c r="I114" s="168"/>
      <c r="J114" s="168"/>
      <c r="K114" s="168"/>
      <c r="L114" s="168"/>
      <c r="M114" s="168"/>
      <c r="N114" s="168"/>
      <c r="O114" s="168"/>
      <c r="P114" s="168"/>
      <c r="Q114" s="168"/>
      <c r="R114" s="168"/>
      <c r="S114" s="168"/>
      <c r="T114" s="168"/>
      <c r="U114" s="168"/>
    </row>
    <row r="115" spans="1:21" ht="42.75" customHeight="1">
      <c r="A115" s="168"/>
      <c r="B115" s="168"/>
      <c r="C115" s="168"/>
      <c r="D115" s="168"/>
      <c r="E115" s="168"/>
      <c r="F115" s="168"/>
      <c r="G115" s="168"/>
      <c r="H115" s="168"/>
      <c r="I115" s="168"/>
      <c r="J115" s="168"/>
      <c r="K115" s="168"/>
      <c r="L115" s="168"/>
      <c r="M115" s="168"/>
      <c r="N115" s="168"/>
      <c r="O115" s="168"/>
      <c r="P115" s="168"/>
      <c r="Q115" s="168"/>
      <c r="R115" s="168"/>
      <c r="S115" s="168"/>
      <c r="T115" s="168"/>
      <c r="U115" s="168"/>
    </row>
    <row r="116" spans="1:21" ht="42.75" customHeight="1">
      <c r="A116" s="168"/>
      <c r="B116" s="168"/>
      <c r="C116" s="168"/>
      <c r="D116" s="168"/>
      <c r="E116" s="168"/>
      <c r="F116" s="168"/>
      <c r="G116" s="168"/>
      <c r="H116" s="168"/>
      <c r="I116" s="168"/>
      <c r="J116" s="168"/>
      <c r="K116" s="168"/>
      <c r="L116" s="168"/>
      <c r="M116" s="168"/>
      <c r="N116" s="168"/>
      <c r="O116" s="168"/>
      <c r="P116" s="168"/>
      <c r="Q116" s="168"/>
      <c r="R116" s="168"/>
      <c r="S116" s="168"/>
      <c r="T116" s="168"/>
      <c r="U116" s="168"/>
    </row>
    <row r="117" spans="1:21" ht="42.75" customHeight="1">
      <c r="A117" s="168"/>
      <c r="B117" s="168"/>
      <c r="C117" s="168"/>
      <c r="D117" s="168"/>
      <c r="E117" s="168"/>
      <c r="F117" s="168"/>
      <c r="G117" s="168"/>
      <c r="H117" s="168"/>
      <c r="I117" s="168"/>
      <c r="J117" s="168"/>
      <c r="K117" s="168"/>
      <c r="L117" s="168"/>
      <c r="M117" s="168"/>
      <c r="N117" s="168"/>
      <c r="O117" s="168"/>
      <c r="P117" s="168"/>
      <c r="Q117" s="168"/>
      <c r="R117" s="168"/>
      <c r="S117" s="168"/>
      <c r="T117" s="168"/>
      <c r="U117" s="168"/>
    </row>
    <row r="118" spans="1:21" ht="42.75" customHeight="1">
      <c r="A118" s="168"/>
      <c r="B118" s="168"/>
      <c r="C118" s="168"/>
      <c r="D118" s="168"/>
      <c r="E118" s="168"/>
      <c r="F118" s="168"/>
      <c r="G118" s="168"/>
      <c r="H118" s="168"/>
      <c r="I118" s="168"/>
      <c r="J118" s="168"/>
      <c r="K118" s="168"/>
      <c r="L118" s="168"/>
      <c r="M118" s="168"/>
      <c r="N118" s="168"/>
      <c r="O118" s="168"/>
      <c r="P118" s="168"/>
      <c r="Q118" s="168"/>
      <c r="R118" s="168"/>
      <c r="S118" s="168"/>
      <c r="T118" s="168"/>
      <c r="U118" s="168"/>
    </row>
    <row r="119" spans="1:21" ht="42.75" customHeight="1">
      <c r="A119" s="168"/>
      <c r="B119" s="168"/>
      <c r="C119" s="168"/>
      <c r="D119" s="168"/>
      <c r="E119" s="168"/>
      <c r="F119" s="168"/>
      <c r="G119" s="168"/>
      <c r="H119" s="168"/>
      <c r="I119" s="168"/>
      <c r="J119" s="168"/>
      <c r="K119" s="168"/>
      <c r="L119" s="168"/>
      <c r="M119" s="168"/>
      <c r="N119" s="168"/>
      <c r="O119" s="168"/>
      <c r="P119" s="168"/>
      <c r="Q119" s="168"/>
      <c r="R119" s="168"/>
      <c r="S119" s="168"/>
      <c r="T119" s="168"/>
      <c r="U119" s="168"/>
    </row>
    <row r="120" spans="1:21" ht="42.75" customHeight="1">
      <c r="A120" s="168"/>
      <c r="B120" s="168"/>
      <c r="C120" s="168"/>
      <c r="D120" s="168"/>
      <c r="E120" s="168"/>
      <c r="F120" s="168"/>
      <c r="G120" s="168"/>
      <c r="H120" s="168"/>
      <c r="I120" s="168"/>
      <c r="J120" s="168"/>
      <c r="K120" s="168"/>
      <c r="L120" s="168"/>
      <c r="M120" s="168"/>
      <c r="N120" s="168"/>
      <c r="O120" s="168"/>
      <c r="P120" s="168"/>
      <c r="Q120" s="168"/>
      <c r="R120" s="168"/>
      <c r="S120" s="168"/>
      <c r="T120" s="168"/>
      <c r="U120" s="168"/>
    </row>
    <row r="121" spans="1:21" ht="42.75" customHeight="1">
      <c r="A121" s="168"/>
      <c r="B121" s="168"/>
      <c r="C121" s="168"/>
      <c r="D121" s="168"/>
      <c r="E121" s="168"/>
      <c r="F121" s="168"/>
      <c r="G121" s="168"/>
      <c r="H121" s="168"/>
      <c r="I121" s="168"/>
      <c r="J121" s="168"/>
      <c r="K121" s="168"/>
      <c r="L121" s="168"/>
      <c r="M121" s="168"/>
      <c r="N121" s="168"/>
      <c r="O121" s="168"/>
      <c r="P121" s="168"/>
      <c r="Q121" s="168"/>
      <c r="R121" s="168"/>
      <c r="S121" s="168"/>
      <c r="T121" s="168"/>
      <c r="U121" s="168"/>
    </row>
    <row r="122" spans="1:21" ht="42.75" customHeight="1">
      <c r="A122" s="168"/>
      <c r="B122" s="168"/>
      <c r="C122" s="168"/>
      <c r="D122" s="168"/>
      <c r="E122" s="168"/>
      <c r="F122" s="168"/>
      <c r="G122" s="168"/>
      <c r="H122" s="168"/>
      <c r="I122" s="168"/>
      <c r="J122" s="168"/>
      <c r="K122" s="168"/>
      <c r="L122" s="168"/>
      <c r="M122" s="168"/>
      <c r="N122" s="168"/>
      <c r="O122" s="168"/>
      <c r="P122" s="168"/>
      <c r="Q122" s="168"/>
      <c r="R122" s="168"/>
      <c r="S122" s="168"/>
      <c r="T122" s="168"/>
      <c r="U122" s="168"/>
    </row>
    <row r="123" spans="1:21" ht="42.75" customHeight="1">
      <c r="A123" s="168"/>
      <c r="B123" s="168"/>
      <c r="C123" s="168"/>
      <c r="D123" s="168"/>
      <c r="E123" s="168"/>
      <c r="F123" s="168"/>
      <c r="G123" s="168"/>
      <c r="H123" s="168"/>
      <c r="I123" s="168"/>
      <c r="J123" s="168"/>
      <c r="K123" s="168"/>
      <c r="L123" s="168"/>
      <c r="M123" s="168"/>
      <c r="N123" s="168"/>
      <c r="O123" s="168"/>
      <c r="P123" s="168"/>
      <c r="Q123" s="168"/>
      <c r="R123" s="168"/>
      <c r="S123" s="168"/>
      <c r="T123" s="168"/>
      <c r="U123" s="168"/>
    </row>
    <row r="124" spans="1:21" ht="42.75" customHeight="1">
      <c r="A124" s="168"/>
      <c r="B124" s="168"/>
      <c r="C124" s="168"/>
      <c r="D124" s="168"/>
      <c r="E124" s="168"/>
      <c r="F124" s="168"/>
      <c r="G124" s="168"/>
      <c r="H124" s="168"/>
      <c r="I124" s="168"/>
      <c r="J124" s="168"/>
      <c r="K124" s="168"/>
      <c r="L124" s="168"/>
      <c r="M124" s="168"/>
      <c r="N124" s="168"/>
      <c r="O124" s="168"/>
      <c r="P124" s="168"/>
      <c r="Q124" s="168"/>
      <c r="R124" s="168"/>
      <c r="S124" s="168"/>
      <c r="T124" s="168"/>
      <c r="U124" s="168"/>
    </row>
    <row r="125" spans="1:21" ht="42.75" customHeight="1">
      <c r="A125" s="168"/>
      <c r="B125" s="168"/>
      <c r="C125" s="168"/>
      <c r="D125" s="168"/>
      <c r="E125" s="168"/>
      <c r="F125" s="168"/>
      <c r="G125" s="168"/>
      <c r="H125" s="168"/>
      <c r="I125" s="168"/>
      <c r="J125" s="168"/>
      <c r="K125" s="168"/>
      <c r="L125" s="168"/>
      <c r="M125" s="168"/>
      <c r="N125" s="168"/>
      <c r="O125" s="168"/>
      <c r="P125" s="168"/>
      <c r="Q125" s="168"/>
      <c r="R125" s="168"/>
      <c r="S125" s="168"/>
      <c r="T125" s="168"/>
      <c r="U125" s="168"/>
    </row>
    <row r="126" spans="1:21" ht="42.75" customHeight="1">
      <c r="A126" s="168"/>
      <c r="B126" s="168"/>
      <c r="C126" s="168"/>
      <c r="D126" s="168"/>
      <c r="E126" s="168"/>
      <c r="F126" s="168"/>
      <c r="G126" s="168"/>
      <c r="H126" s="168"/>
      <c r="I126" s="168"/>
      <c r="J126" s="168"/>
      <c r="K126" s="168"/>
      <c r="L126" s="168"/>
      <c r="M126" s="168"/>
      <c r="N126" s="168"/>
      <c r="O126" s="168"/>
      <c r="P126" s="168"/>
      <c r="Q126" s="168"/>
      <c r="R126" s="168"/>
      <c r="S126" s="168"/>
      <c r="T126" s="168"/>
      <c r="U126" s="168"/>
    </row>
    <row r="127" spans="1:21" ht="42.75" customHeight="1">
      <c r="A127" s="168"/>
      <c r="B127" s="168"/>
      <c r="C127" s="168"/>
      <c r="D127" s="168"/>
      <c r="E127" s="168"/>
      <c r="F127" s="168"/>
      <c r="G127" s="168"/>
      <c r="H127" s="168"/>
      <c r="I127" s="168"/>
      <c r="J127" s="168"/>
      <c r="K127" s="168"/>
      <c r="L127" s="168"/>
      <c r="M127" s="168"/>
      <c r="N127" s="168"/>
      <c r="O127" s="168"/>
      <c r="P127" s="168"/>
      <c r="Q127" s="168"/>
      <c r="R127" s="168"/>
      <c r="S127" s="168"/>
      <c r="T127" s="168"/>
      <c r="U127" s="168"/>
    </row>
    <row r="128" spans="1:21" ht="42.75" customHeight="1">
      <c r="A128" s="168"/>
      <c r="B128" s="168"/>
      <c r="C128" s="168"/>
      <c r="D128" s="168"/>
      <c r="E128" s="168"/>
      <c r="F128" s="168"/>
      <c r="G128" s="168"/>
      <c r="H128" s="168"/>
      <c r="I128" s="168"/>
      <c r="J128" s="168"/>
      <c r="K128" s="168"/>
      <c r="L128" s="168"/>
      <c r="M128" s="168"/>
      <c r="N128" s="168"/>
      <c r="O128" s="168"/>
      <c r="P128" s="168"/>
      <c r="Q128" s="168"/>
      <c r="R128" s="168"/>
      <c r="S128" s="168"/>
      <c r="T128" s="168"/>
      <c r="U128" s="168"/>
    </row>
    <row r="129" spans="1:21" ht="42.75" customHeight="1">
      <c r="A129" s="168"/>
      <c r="B129" s="168"/>
      <c r="C129" s="168"/>
      <c r="D129" s="168"/>
      <c r="E129" s="168"/>
      <c r="F129" s="168"/>
      <c r="G129" s="168"/>
      <c r="H129" s="168"/>
      <c r="I129" s="168"/>
      <c r="J129" s="168"/>
      <c r="K129" s="168"/>
      <c r="L129" s="168"/>
      <c r="M129" s="168"/>
      <c r="N129" s="168"/>
      <c r="O129" s="168"/>
      <c r="P129" s="168"/>
      <c r="Q129" s="168"/>
      <c r="R129" s="168"/>
      <c r="S129" s="168"/>
      <c r="T129" s="168"/>
      <c r="U129" s="168"/>
    </row>
    <row r="130" spans="1:21" ht="42.75" customHeight="1">
      <c r="A130" s="168"/>
      <c r="B130" s="168"/>
      <c r="C130" s="168"/>
      <c r="D130" s="168"/>
      <c r="E130" s="168"/>
      <c r="F130" s="168"/>
      <c r="G130" s="168"/>
      <c r="H130" s="168"/>
      <c r="I130" s="168"/>
      <c r="J130" s="168"/>
      <c r="K130" s="168"/>
      <c r="L130" s="168"/>
      <c r="M130" s="168"/>
      <c r="N130" s="168"/>
      <c r="O130" s="168"/>
      <c r="P130" s="168"/>
      <c r="Q130" s="168"/>
      <c r="R130" s="168"/>
      <c r="S130" s="168"/>
      <c r="T130" s="168"/>
      <c r="U130" s="168"/>
    </row>
    <row r="131" spans="1:21" ht="42.75" customHeight="1">
      <c r="A131" s="168"/>
      <c r="B131" s="168"/>
      <c r="C131" s="168"/>
      <c r="D131" s="168"/>
      <c r="E131" s="168"/>
      <c r="F131" s="168"/>
      <c r="G131" s="168"/>
      <c r="H131" s="168"/>
      <c r="I131" s="168"/>
      <c r="J131" s="168"/>
      <c r="K131" s="168"/>
      <c r="L131" s="168"/>
      <c r="M131" s="168"/>
      <c r="N131" s="168"/>
      <c r="O131" s="168"/>
      <c r="P131" s="168"/>
      <c r="Q131" s="168"/>
      <c r="R131" s="168"/>
      <c r="S131" s="168"/>
      <c r="T131" s="168"/>
      <c r="U131" s="168"/>
    </row>
    <row r="132" spans="1:21" ht="42.75" customHeight="1">
      <c r="A132" s="168"/>
      <c r="B132" s="168"/>
      <c r="C132" s="168"/>
      <c r="D132" s="168"/>
      <c r="E132" s="168"/>
      <c r="F132" s="168"/>
      <c r="G132" s="168"/>
      <c r="H132" s="168"/>
      <c r="I132" s="168"/>
      <c r="J132" s="168"/>
      <c r="K132" s="168"/>
      <c r="L132" s="168"/>
      <c r="M132" s="168"/>
      <c r="N132" s="168"/>
      <c r="O132" s="168"/>
      <c r="P132" s="168"/>
      <c r="Q132" s="168"/>
      <c r="R132" s="168"/>
      <c r="S132" s="168"/>
      <c r="T132" s="168"/>
      <c r="U132" s="168"/>
    </row>
    <row r="133" spans="1:21" ht="42.75" customHeight="1">
      <c r="A133" s="168"/>
      <c r="B133" s="168"/>
      <c r="C133" s="168"/>
      <c r="D133" s="168"/>
      <c r="E133" s="168"/>
      <c r="F133" s="168"/>
      <c r="G133" s="168"/>
      <c r="H133" s="168"/>
      <c r="I133" s="168"/>
      <c r="J133" s="168"/>
      <c r="K133" s="168"/>
      <c r="L133" s="168"/>
      <c r="M133" s="168"/>
      <c r="N133" s="168"/>
      <c r="O133" s="168"/>
      <c r="P133" s="168"/>
      <c r="Q133" s="168"/>
      <c r="R133" s="168"/>
      <c r="S133" s="168"/>
      <c r="T133" s="168"/>
      <c r="U133" s="168"/>
    </row>
    <row r="134" spans="1:21" ht="42.75" customHeight="1">
      <c r="A134" s="168"/>
      <c r="B134" s="168"/>
      <c r="C134" s="168"/>
      <c r="D134" s="168"/>
      <c r="E134" s="168"/>
      <c r="F134" s="168"/>
      <c r="G134" s="168"/>
      <c r="H134" s="168"/>
      <c r="I134" s="168"/>
      <c r="J134" s="168"/>
      <c r="K134" s="168"/>
      <c r="L134" s="168"/>
      <c r="M134" s="168"/>
      <c r="N134" s="168"/>
      <c r="O134" s="168"/>
      <c r="P134" s="168"/>
      <c r="Q134" s="168"/>
      <c r="R134" s="168"/>
      <c r="S134" s="168"/>
      <c r="T134" s="168"/>
      <c r="U134" s="168"/>
    </row>
    <row r="135" spans="1:21" ht="42.75" customHeight="1">
      <c r="A135" s="168"/>
      <c r="B135" s="168"/>
      <c r="C135" s="168"/>
      <c r="D135" s="168"/>
      <c r="E135" s="168"/>
      <c r="F135" s="168"/>
      <c r="G135" s="168"/>
      <c r="H135" s="168"/>
      <c r="I135" s="168"/>
      <c r="J135" s="168"/>
      <c r="K135" s="168"/>
      <c r="L135" s="168"/>
      <c r="M135" s="168"/>
      <c r="N135" s="168"/>
      <c r="O135" s="168"/>
      <c r="P135" s="168"/>
      <c r="Q135" s="168"/>
      <c r="R135" s="168"/>
      <c r="S135" s="168"/>
      <c r="T135" s="168"/>
      <c r="U135" s="168"/>
    </row>
    <row r="136" spans="1:21" ht="42.75" customHeight="1">
      <c r="A136" s="168"/>
      <c r="B136" s="168"/>
      <c r="C136" s="168"/>
      <c r="D136" s="168"/>
      <c r="E136" s="168"/>
      <c r="F136" s="168"/>
      <c r="G136" s="168"/>
      <c r="H136" s="168"/>
      <c r="I136" s="168"/>
      <c r="J136" s="168"/>
      <c r="K136" s="168"/>
      <c r="L136" s="168"/>
      <c r="M136" s="168"/>
      <c r="N136" s="168"/>
      <c r="O136" s="168"/>
      <c r="P136" s="168"/>
      <c r="Q136" s="168"/>
      <c r="R136" s="168"/>
      <c r="S136" s="168"/>
      <c r="T136" s="168"/>
      <c r="U136" s="168"/>
    </row>
    <row r="137" spans="1:21" ht="42.75" customHeight="1">
      <c r="A137" s="168"/>
      <c r="B137" s="168"/>
      <c r="C137" s="168"/>
      <c r="D137" s="168"/>
      <c r="E137" s="168"/>
      <c r="F137" s="168"/>
      <c r="G137" s="168"/>
      <c r="H137" s="168"/>
      <c r="I137" s="168"/>
      <c r="J137" s="168"/>
      <c r="K137" s="168"/>
      <c r="L137" s="168"/>
      <c r="M137" s="168"/>
      <c r="N137" s="168"/>
      <c r="O137" s="168"/>
      <c r="P137" s="168"/>
      <c r="Q137" s="168"/>
      <c r="R137" s="168"/>
      <c r="S137" s="168"/>
      <c r="T137" s="168"/>
      <c r="U137" s="168"/>
    </row>
    <row r="138" spans="1:21" ht="42.75" customHeight="1">
      <c r="A138" s="168"/>
      <c r="B138" s="168"/>
      <c r="C138" s="168"/>
      <c r="D138" s="168"/>
      <c r="E138" s="168"/>
      <c r="F138" s="168"/>
      <c r="G138" s="168"/>
      <c r="H138" s="168"/>
      <c r="I138" s="168"/>
      <c r="J138" s="168"/>
      <c r="K138" s="168"/>
      <c r="L138" s="168"/>
      <c r="M138" s="168"/>
      <c r="N138" s="168"/>
      <c r="O138" s="168"/>
      <c r="P138" s="168"/>
      <c r="Q138" s="168"/>
      <c r="R138" s="168"/>
      <c r="S138" s="168"/>
      <c r="T138" s="168"/>
      <c r="U138" s="168"/>
    </row>
    <row r="139" spans="1:21" ht="42.75" customHeight="1">
      <c r="A139" s="168"/>
      <c r="B139" s="168"/>
      <c r="C139" s="168"/>
      <c r="D139" s="168"/>
      <c r="E139" s="168"/>
      <c r="F139" s="168"/>
      <c r="G139" s="168"/>
      <c r="H139" s="168"/>
      <c r="I139" s="168"/>
      <c r="J139" s="168"/>
      <c r="K139" s="168"/>
      <c r="L139" s="168"/>
      <c r="M139" s="168"/>
      <c r="N139" s="168"/>
      <c r="O139" s="168"/>
      <c r="P139" s="168"/>
      <c r="Q139" s="168"/>
      <c r="R139" s="168"/>
      <c r="S139" s="168"/>
      <c r="T139" s="168"/>
      <c r="U139" s="168"/>
    </row>
    <row r="140" spans="1:21" ht="42.75" customHeight="1">
      <c r="A140" s="168"/>
      <c r="B140" s="168"/>
      <c r="C140" s="168"/>
      <c r="D140" s="168"/>
      <c r="E140" s="168"/>
      <c r="F140" s="168"/>
      <c r="G140" s="168"/>
      <c r="H140" s="168"/>
      <c r="I140" s="168"/>
      <c r="J140" s="168"/>
      <c r="K140" s="168"/>
      <c r="L140" s="168"/>
      <c r="M140" s="168"/>
      <c r="N140" s="168"/>
      <c r="O140" s="168"/>
      <c r="P140" s="168"/>
      <c r="Q140" s="168"/>
      <c r="R140" s="168"/>
      <c r="S140" s="168"/>
      <c r="T140" s="168"/>
      <c r="U140" s="168"/>
    </row>
    <row r="141" spans="1:21" ht="42.75" customHeight="1">
      <c r="A141" s="168"/>
      <c r="B141" s="168"/>
      <c r="C141" s="168"/>
      <c r="D141" s="168"/>
      <c r="E141" s="168"/>
      <c r="F141" s="168"/>
      <c r="G141" s="168"/>
      <c r="H141" s="168"/>
      <c r="I141" s="168"/>
      <c r="J141" s="168"/>
      <c r="K141" s="168"/>
      <c r="L141" s="168"/>
      <c r="M141" s="168"/>
      <c r="N141" s="168"/>
      <c r="O141" s="168"/>
      <c r="P141" s="168"/>
      <c r="Q141" s="168"/>
      <c r="R141" s="168"/>
      <c r="S141" s="168"/>
      <c r="T141" s="168"/>
      <c r="U141" s="168"/>
    </row>
    <row r="142" spans="1:21" ht="42.75" customHeight="1">
      <c r="A142" s="168"/>
      <c r="B142" s="168"/>
      <c r="C142" s="168"/>
      <c r="D142" s="168"/>
      <c r="E142" s="168"/>
      <c r="F142" s="168"/>
      <c r="G142" s="168"/>
      <c r="H142" s="168"/>
      <c r="I142" s="168"/>
      <c r="J142" s="168"/>
      <c r="K142" s="168"/>
      <c r="L142" s="168"/>
      <c r="M142" s="168"/>
      <c r="N142" s="168"/>
      <c r="O142" s="168"/>
      <c r="P142" s="168"/>
      <c r="Q142" s="168"/>
      <c r="R142" s="168"/>
      <c r="S142" s="168"/>
      <c r="T142" s="168"/>
      <c r="U142" s="168"/>
    </row>
    <row r="143" spans="1:21" ht="42.75" customHeight="1">
      <c r="A143" s="168"/>
      <c r="B143" s="168"/>
      <c r="C143" s="168"/>
      <c r="D143" s="168"/>
      <c r="E143" s="168"/>
      <c r="F143" s="168"/>
      <c r="G143" s="168"/>
      <c r="H143" s="168"/>
      <c r="I143" s="168"/>
      <c r="J143" s="168"/>
      <c r="K143" s="168"/>
      <c r="L143" s="168"/>
      <c r="M143" s="168"/>
      <c r="N143" s="168"/>
      <c r="O143" s="168"/>
      <c r="P143" s="168"/>
      <c r="Q143" s="168"/>
      <c r="R143" s="168"/>
      <c r="S143" s="168"/>
      <c r="T143" s="168"/>
      <c r="U143" s="168"/>
    </row>
    <row r="144" spans="1:21" ht="42.75" customHeight="1">
      <c r="A144" s="168"/>
      <c r="B144" s="168"/>
      <c r="C144" s="168"/>
      <c r="D144" s="168"/>
      <c r="E144" s="168"/>
      <c r="F144" s="168"/>
      <c r="G144" s="168"/>
      <c r="H144" s="168"/>
      <c r="I144" s="168"/>
      <c r="J144" s="168"/>
      <c r="K144" s="168"/>
      <c r="L144" s="168"/>
      <c r="M144" s="168"/>
      <c r="N144" s="168"/>
      <c r="O144" s="168"/>
      <c r="P144" s="168"/>
      <c r="Q144" s="168"/>
      <c r="R144" s="168"/>
      <c r="S144" s="168"/>
      <c r="T144" s="168"/>
      <c r="U144" s="168"/>
    </row>
    <row r="145" spans="1:21" ht="42.75" customHeight="1">
      <c r="A145" s="168"/>
      <c r="B145" s="168"/>
      <c r="C145" s="168"/>
      <c r="D145" s="168"/>
      <c r="E145" s="168"/>
      <c r="F145" s="168"/>
      <c r="G145" s="168"/>
      <c r="H145" s="168"/>
      <c r="I145" s="168"/>
      <c r="J145" s="168"/>
      <c r="K145" s="168"/>
      <c r="L145" s="168"/>
      <c r="M145" s="168"/>
      <c r="N145" s="168"/>
      <c r="O145" s="168"/>
      <c r="P145" s="168"/>
      <c r="Q145" s="168"/>
      <c r="R145" s="168"/>
      <c r="S145" s="168"/>
      <c r="T145" s="168"/>
      <c r="U145" s="168"/>
    </row>
    <row r="146" spans="1:21" ht="42.75" customHeight="1">
      <c r="A146" s="168"/>
      <c r="B146" s="168"/>
      <c r="C146" s="168"/>
      <c r="D146" s="168"/>
      <c r="E146" s="168"/>
      <c r="F146" s="168"/>
      <c r="G146" s="168"/>
      <c r="H146" s="168"/>
      <c r="I146" s="168"/>
      <c r="J146" s="168"/>
      <c r="K146" s="168"/>
      <c r="L146" s="168"/>
      <c r="M146" s="168"/>
      <c r="N146" s="168"/>
      <c r="O146" s="168"/>
      <c r="P146" s="168"/>
      <c r="Q146" s="168"/>
      <c r="R146" s="168"/>
      <c r="S146" s="168"/>
      <c r="T146" s="168"/>
      <c r="U146" s="168"/>
    </row>
    <row r="147" spans="1:21" ht="42.75" customHeight="1">
      <c r="A147" s="168"/>
      <c r="B147" s="168"/>
      <c r="C147" s="168"/>
      <c r="D147" s="168"/>
      <c r="E147" s="168"/>
      <c r="F147" s="168"/>
      <c r="G147" s="168"/>
      <c r="H147" s="168"/>
      <c r="I147" s="168"/>
      <c r="J147" s="168"/>
      <c r="K147" s="168"/>
      <c r="L147" s="168"/>
      <c r="M147" s="168"/>
      <c r="N147" s="168"/>
      <c r="O147" s="168"/>
      <c r="P147" s="168"/>
      <c r="Q147" s="168"/>
      <c r="R147" s="168"/>
      <c r="S147" s="168"/>
      <c r="T147" s="168"/>
      <c r="U147" s="168"/>
    </row>
    <row r="148" spans="1:21" ht="42.75" customHeight="1">
      <c r="A148" s="168"/>
      <c r="B148" s="168"/>
      <c r="C148" s="168"/>
      <c r="D148" s="168"/>
      <c r="E148" s="168"/>
      <c r="F148" s="168"/>
      <c r="G148" s="168"/>
      <c r="H148" s="168"/>
      <c r="I148" s="168"/>
      <c r="J148" s="168"/>
      <c r="K148" s="168"/>
      <c r="L148" s="168"/>
      <c r="M148" s="168"/>
      <c r="N148" s="168"/>
      <c r="O148" s="168"/>
      <c r="P148" s="168"/>
      <c r="Q148" s="168"/>
      <c r="R148" s="168"/>
      <c r="S148" s="168"/>
      <c r="T148" s="168"/>
      <c r="U148" s="168"/>
    </row>
    <row r="149" spans="1:21" ht="42.75" customHeight="1">
      <c r="A149" s="168"/>
      <c r="B149" s="168"/>
      <c r="C149" s="168"/>
      <c r="D149" s="168"/>
      <c r="E149" s="168"/>
      <c r="F149" s="168"/>
      <c r="G149" s="168"/>
      <c r="H149" s="168"/>
      <c r="I149" s="168"/>
      <c r="J149" s="168"/>
      <c r="K149" s="168"/>
      <c r="L149" s="168"/>
      <c r="M149" s="168"/>
      <c r="N149" s="168"/>
      <c r="O149" s="168"/>
      <c r="P149" s="168"/>
      <c r="Q149" s="168"/>
      <c r="R149" s="168"/>
      <c r="S149" s="168"/>
      <c r="T149" s="168"/>
      <c r="U149" s="168"/>
    </row>
    <row r="150" spans="1:21" ht="42.75" customHeight="1">
      <c r="A150" s="168"/>
      <c r="B150" s="168"/>
      <c r="C150" s="168"/>
      <c r="D150" s="168"/>
      <c r="E150" s="168"/>
      <c r="F150" s="168"/>
      <c r="G150" s="168"/>
      <c r="H150" s="168"/>
      <c r="I150" s="168"/>
      <c r="J150" s="168"/>
      <c r="K150" s="168"/>
      <c r="L150" s="168"/>
      <c r="M150" s="168"/>
      <c r="N150" s="168"/>
      <c r="O150" s="168"/>
      <c r="P150" s="168"/>
      <c r="Q150" s="168"/>
      <c r="R150" s="168"/>
      <c r="S150" s="168"/>
      <c r="T150" s="168"/>
      <c r="U150" s="168"/>
    </row>
    <row r="151" spans="1:21" ht="42.75" customHeight="1">
      <c r="A151" s="168"/>
      <c r="B151" s="168"/>
      <c r="C151" s="168"/>
      <c r="D151" s="168"/>
      <c r="E151" s="168"/>
      <c r="F151" s="168"/>
      <c r="G151" s="168"/>
      <c r="H151" s="168"/>
      <c r="I151" s="168"/>
      <c r="J151" s="168"/>
      <c r="K151" s="168"/>
      <c r="L151" s="168"/>
      <c r="M151" s="168"/>
      <c r="N151" s="168"/>
      <c r="O151" s="168"/>
      <c r="P151" s="168"/>
      <c r="Q151" s="168"/>
      <c r="R151" s="168"/>
      <c r="S151" s="168"/>
      <c r="T151" s="168"/>
      <c r="U151" s="168"/>
    </row>
    <row r="152" spans="1:21" ht="42.75" customHeight="1">
      <c r="A152" s="168"/>
      <c r="B152" s="168"/>
      <c r="C152" s="168"/>
      <c r="D152" s="168"/>
      <c r="E152" s="168"/>
      <c r="F152" s="168"/>
      <c r="G152" s="168"/>
      <c r="H152" s="168"/>
      <c r="I152" s="168"/>
      <c r="J152" s="168"/>
      <c r="K152" s="168"/>
      <c r="L152" s="168"/>
      <c r="M152" s="168"/>
      <c r="N152" s="168"/>
      <c r="O152" s="168"/>
      <c r="P152" s="168"/>
      <c r="Q152" s="168"/>
      <c r="R152" s="168"/>
      <c r="S152" s="168"/>
      <c r="T152" s="168"/>
      <c r="U152" s="168"/>
    </row>
    <row r="153" spans="1:21" ht="42.75" customHeight="1">
      <c r="A153" s="168"/>
      <c r="B153" s="168"/>
      <c r="C153" s="168"/>
      <c r="D153" s="168"/>
      <c r="E153" s="168"/>
      <c r="F153" s="168"/>
      <c r="G153" s="168"/>
      <c r="H153" s="168"/>
      <c r="I153" s="168"/>
      <c r="J153" s="168"/>
      <c r="K153" s="168"/>
      <c r="L153" s="168"/>
      <c r="M153" s="168"/>
      <c r="N153" s="168"/>
      <c r="O153" s="168"/>
      <c r="P153" s="168"/>
      <c r="Q153" s="168"/>
      <c r="R153" s="168"/>
      <c r="S153" s="168"/>
      <c r="T153" s="168"/>
      <c r="U153" s="168"/>
    </row>
    <row r="154" spans="1:21" ht="42.75" customHeight="1">
      <c r="A154" s="168"/>
      <c r="B154" s="168"/>
      <c r="C154" s="168"/>
      <c r="D154" s="168"/>
      <c r="E154" s="168"/>
      <c r="F154" s="168"/>
      <c r="G154" s="168"/>
      <c r="H154" s="168"/>
      <c r="I154" s="168"/>
      <c r="J154" s="168"/>
      <c r="K154" s="168"/>
      <c r="L154" s="168"/>
      <c r="M154" s="168"/>
      <c r="N154" s="168"/>
      <c r="O154" s="168"/>
      <c r="P154" s="168"/>
      <c r="Q154" s="168"/>
      <c r="R154" s="168"/>
      <c r="S154" s="168"/>
      <c r="T154" s="168"/>
      <c r="U154" s="168"/>
    </row>
    <row r="155" spans="1:21" ht="42.75" customHeight="1">
      <c r="A155" s="168"/>
      <c r="B155" s="168"/>
      <c r="C155" s="168"/>
      <c r="D155" s="168"/>
      <c r="E155" s="168"/>
      <c r="F155" s="168"/>
      <c r="G155" s="168"/>
      <c r="H155" s="168"/>
      <c r="I155" s="168"/>
      <c r="J155" s="168"/>
      <c r="K155" s="168"/>
      <c r="L155" s="168"/>
      <c r="M155" s="168"/>
      <c r="N155" s="168"/>
      <c r="O155" s="168"/>
      <c r="P155" s="168"/>
      <c r="Q155" s="168"/>
      <c r="R155" s="168"/>
      <c r="S155" s="168"/>
      <c r="T155" s="168"/>
      <c r="U155" s="168"/>
    </row>
    <row r="156" spans="1:21" ht="42.75" customHeight="1">
      <c r="A156" s="168"/>
      <c r="B156" s="168"/>
      <c r="C156" s="168"/>
      <c r="D156" s="168"/>
      <c r="E156" s="168"/>
      <c r="F156" s="168"/>
      <c r="G156" s="168"/>
      <c r="H156" s="168"/>
      <c r="I156" s="168"/>
      <c r="J156" s="168"/>
      <c r="K156" s="168"/>
      <c r="L156" s="168"/>
      <c r="M156" s="168"/>
      <c r="N156" s="168"/>
      <c r="O156" s="168"/>
      <c r="P156" s="168"/>
      <c r="Q156" s="168"/>
      <c r="R156" s="168"/>
      <c r="S156" s="168"/>
      <c r="T156" s="168"/>
      <c r="U156" s="168"/>
    </row>
    <row r="157" spans="1:21" ht="42.75" customHeight="1">
      <c r="A157" s="168"/>
      <c r="B157" s="168"/>
      <c r="C157" s="168"/>
      <c r="D157" s="168"/>
      <c r="E157" s="168"/>
      <c r="F157" s="168"/>
      <c r="G157" s="168"/>
      <c r="H157" s="168"/>
      <c r="I157" s="168"/>
      <c r="J157" s="168"/>
      <c r="K157" s="168"/>
      <c r="L157" s="168"/>
      <c r="M157" s="168"/>
      <c r="N157" s="168"/>
      <c r="O157" s="168"/>
      <c r="P157" s="168"/>
      <c r="Q157" s="168"/>
      <c r="R157" s="168"/>
      <c r="S157" s="168"/>
      <c r="T157" s="168"/>
      <c r="U157" s="168"/>
    </row>
    <row r="158" spans="1:21" ht="42.75" customHeight="1">
      <c r="A158" s="168"/>
      <c r="B158" s="168"/>
      <c r="C158" s="168"/>
      <c r="D158" s="168"/>
      <c r="E158" s="168"/>
      <c r="F158" s="168"/>
      <c r="G158" s="168"/>
      <c r="H158" s="168"/>
      <c r="I158" s="168"/>
      <c r="J158" s="168"/>
      <c r="K158" s="168"/>
      <c r="L158" s="168"/>
      <c r="M158" s="168"/>
      <c r="N158" s="168"/>
      <c r="O158" s="168"/>
      <c r="P158" s="168"/>
      <c r="Q158" s="168"/>
      <c r="R158" s="168"/>
      <c r="S158" s="168"/>
      <c r="T158" s="168"/>
      <c r="U158" s="168"/>
    </row>
    <row r="159" spans="1:21" ht="42.75" customHeight="1">
      <c r="A159" s="168"/>
      <c r="B159" s="168"/>
      <c r="C159" s="168"/>
      <c r="D159" s="168"/>
      <c r="E159" s="168"/>
      <c r="F159" s="168"/>
      <c r="G159" s="168"/>
      <c r="H159" s="168"/>
      <c r="I159" s="168"/>
      <c r="J159" s="168"/>
      <c r="K159" s="168"/>
      <c r="L159" s="168"/>
      <c r="M159" s="168"/>
      <c r="N159" s="168"/>
      <c r="O159" s="168"/>
      <c r="P159" s="168"/>
      <c r="Q159" s="168"/>
      <c r="R159" s="168"/>
      <c r="S159" s="168"/>
      <c r="T159" s="168"/>
      <c r="U159" s="168"/>
    </row>
    <row r="160" spans="1:21" ht="42.75" customHeight="1">
      <c r="A160" s="168"/>
      <c r="B160" s="168"/>
      <c r="C160" s="168"/>
      <c r="D160" s="168"/>
      <c r="E160" s="168"/>
      <c r="F160" s="168"/>
      <c r="G160" s="168"/>
      <c r="H160" s="168"/>
      <c r="I160" s="168"/>
      <c r="J160" s="168"/>
      <c r="K160" s="168"/>
      <c r="L160" s="168"/>
      <c r="M160" s="168"/>
      <c r="N160" s="168"/>
      <c r="O160" s="168"/>
      <c r="P160" s="168"/>
      <c r="Q160" s="168"/>
      <c r="R160" s="168"/>
      <c r="S160" s="168"/>
      <c r="T160" s="168"/>
      <c r="U160" s="168"/>
    </row>
    <row r="161" spans="1:21" ht="42.75" customHeight="1">
      <c r="A161" s="168"/>
      <c r="B161" s="168"/>
      <c r="C161" s="168"/>
      <c r="D161" s="168"/>
      <c r="E161" s="168"/>
      <c r="F161" s="168"/>
      <c r="G161" s="168"/>
      <c r="H161" s="168"/>
      <c r="I161" s="168"/>
      <c r="J161" s="168"/>
      <c r="K161" s="168"/>
      <c r="L161" s="168"/>
      <c r="M161" s="168"/>
      <c r="N161" s="168"/>
      <c r="O161" s="168"/>
      <c r="P161" s="168"/>
      <c r="Q161" s="168"/>
      <c r="R161" s="168"/>
      <c r="S161" s="168"/>
      <c r="T161" s="168"/>
      <c r="U161" s="168"/>
    </row>
    <row r="162" spans="1:21" ht="42.75" customHeight="1">
      <c r="A162" s="168"/>
      <c r="B162" s="168"/>
      <c r="C162" s="168"/>
      <c r="D162" s="168"/>
      <c r="E162" s="168"/>
      <c r="F162" s="168"/>
      <c r="G162" s="168"/>
      <c r="H162" s="168"/>
      <c r="I162" s="168"/>
      <c r="J162" s="168"/>
      <c r="K162" s="168"/>
      <c r="L162" s="168"/>
      <c r="M162" s="168"/>
      <c r="N162" s="168"/>
      <c r="O162" s="168"/>
      <c r="P162" s="168"/>
      <c r="Q162" s="168"/>
      <c r="R162" s="168"/>
      <c r="S162" s="168"/>
      <c r="T162" s="168"/>
      <c r="U162" s="168"/>
    </row>
    <row r="163" spans="1:21" ht="42.75" customHeight="1">
      <c r="A163" s="168"/>
      <c r="B163" s="168"/>
      <c r="C163" s="168"/>
      <c r="D163" s="168"/>
      <c r="E163" s="168"/>
      <c r="F163" s="168"/>
      <c r="G163" s="168"/>
      <c r="H163" s="168"/>
      <c r="I163" s="168"/>
      <c r="J163" s="168"/>
      <c r="K163" s="168"/>
      <c r="L163" s="168"/>
      <c r="M163" s="168"/>
      <c r="N163" s="168"/>
      <c r="O163" s="168"/>
      <c r="P163" s="168"/>
      <c r="Q163" s="168"/>
      <c r="R163" s="168"/>
      <c r="S163" s="168"/>
      <c r="T163" s="168"/>
      <c r="U163" s="168"/>
    </row>
    <row r="164" spans="1:21" ht="42.75" customHeight="1">
      <c r="A164" s="168"/>
      <c r="B164" s="168"/>
      <c r="C164" s="168"/>
      <c r="D164" s="168"/>
      <c r="E164" s="168"/>
      <c r="F164" s="168"/>
      <c r="G164" s="168"/>
      <c r="H164" s="168"/>
      <c r="I164" s="168"/>
      <c r="J164" s="168"/>
      <c r="K164" s="168"/>
      <c r="L164" s="168"/>
      <c r="M164" s="168"/>
      <c r="N164" s="168"/>
      <c r="O164" s="168"/>
      <c r="P164" s="168"/>
      <c r="Q164" s="168"/>
      <c r="R164" s="168"/>
      <c r="S164" s="168"/>
      <c r="T164" s="168"/>
      <c r="U164" s="168"/>
    </row>
    <row r="165" spans="1:21" ht="42.75" customHeight="1">
      <c r="A165" s="168"/>
      <c r="B165" s="168"/>
      <c r="C165" s="168"/>
      <c r="D165" s="168"/>
      <c r="E165" s="168"/>
      <c r="F165" s="168"/>
      <c r="G165" s="168"/>
      <c r="H165" s="168"/>
      <c r="I165" s="168"/>
      <c r="J165" s="168"/>
      <c r="K165" s="168"/>
      <c r="L165" s="168"/>
      <c r="M165" s="168"/>
      <c r="N165" s="168"/>
      <c r="O165" s="168"/>
      <c r="P165" s="168"/>
      <c r="Q165" s="168"/>
      <c r="R165" s="168"/>
      <c r="S165" s="168"/>
      <c r="T165" s="168"/>
      <c r="U165" s="168"/>
    </row>
    <row r="166" spans="1:21" ht="42.75" customHeight="1">
      <c r="A166" s="168"/>
      <c r="B166" s="168"/>
      <c r="C166" s="168"/>
      <c r="D166" s="168"/>
      <c r="E166" s="168"/>
      <c r="F166" s="168"/>
      <c r="G166" s="168"/>
      <c r="H166" s="168"/>
      <c r="I166" s="168"/>
      <c r="J166" s="168"/>
      <c r="K166" s="168"/>
      <c r="L166" s="168"/>
      <c r="M166" s="168"/>
      <c r="N166" s="168"/>
      <c r="O166" s="168"/>
      <c r="P166" s="168"/>
      <c r="Q166" s="168"/>
      <c r="R166" s="168"/>
      <c r="S166" s="168"/>
      <c r="T166" s="168"/>
      <c r="U166" s="168"/>
    </row>
    <row r="167" spans="1:21" ht="42.75" customHeight="1">
      <c r="A167" s="168"/>
      <c r="B167" s="168"/>
      <c r="C167" s="168"/>
      <c r="D167" s="168"/>
      <c r="E167" s="168"/>
      <c r="F167" s="168"/>
      <c r="G167" s="168"/>
      <c r="H167" s="168"/>
      <c r="I167" s="168"/>
      <c r="J167" s="168"/>
      <c r="K167" s="168"/>
      <c r="L167" s="168"/>
      <c r="M167" s="168"/>
      <c r="N167" s="168"/>
      <c r="O167" s="168"/>
      <c r="P167" s="168"/>
      <c r="Q167" s="168"/>
      <c r="R167" s="168"/>
      <c r="S167" s="168"/>
      <c r="T167" s="168"/>
      <c r="U167" s="168"/>
    </row>
    <row r="168" spans="1:21" ht="42.75" customHeight="1">
      <c r="A168" s="168"/>
      <c r="B168" s="168"/>
      <c r="C168" s="168"/>
      <c r="D168" s="168"/>
      <c r="E168" s="168"/>
      <c r="F168" s="168"/>
      <c r="G168" s="168"/>
      <c r="H168" s="168"/>
      <c r="I168" s="168"/>
      <c r="J168" s="168"/>
      <c r="K168" s="168"/>
      <c r="L168" s="168"/>
      <c r="M168" s="168"/>
      <c r="N168" s="168"/>
      <c r="O168" s="168"/>
      <c r="P168" s="168"/>
      <c r="Q168" s="168"/>
      <c r="R168" s="168"/>
      <c r="S168" s="168"/>
      <c r="T168" s="168"/>
      <c r="U168" s="168"/>
    </row>
    <row r="169" spans="1:21" ht="42.75" customHeight="1">
      <c r="A169" s="168"/>
      <c r="B169" s="168"/>
      <c r="C169" s="168"/>
      <c r="D169" s="168"/>
      <c r="E169" s="168"/>
      <c r="F169" s="168"/>
      <c r="G169" s="168"/>
      <c r="H169" s="168"/>
      <c r="I169" s="168"/>
      <c r="J169" s="168"/>
      <c r="K169" s="168"/>
      <c r="L169" s="168"/>
      <c r="M169" s="168"/>
      <c r="N169" s="168"/>
      <c r="O169" s="168"/>
      <c r="P169" s="168"/>
      <c r="Q169" s="168"/>
      <c r="R169" s="168"/>
      <c r="S169" s="168"/>
      <c r="T169" s="168"/>
      <c r="U169" s="168"/>
    </row>
    <row r="170" spans="1:21" ht="42.75" customHeight="1">
      <c r="A170" s="168"/>
      <c r="B170" s="168"/>
      <c r="C170" s="168"/>
      <c r="D170" s="168"/>
      <c r="E170" s="168"/>
      <c r="F170" s="168"/>
      <c r="G170" s="168"/>
      <c r="H170" s="168"/>
      <c r="I170" s="168"/>
      <c r="J170" s="168"/>
      <c r="K170" s="168"/>
      <c r="L170" s="168"/>
      <c r="M170" s="168"/>
      <c r="N170" s="168"/>
      <c r="O170" s="168"/>
      <c r="P170" s="168"/>
      <c r="Q170" s="168"/>
      <c r="R170" s="168"/>
      <c r="S170" s="168"/>
      <c r="T170" s="168"/>
      <c r="U170" s="168"/>
    </row>
    <row r="171" spans="1:21" ht="42.75" customHeight="1">
      <c r="A171" s="168"/>
      <c r="B171" s="168"/>
      <c r="C171" s="168"/>
      <c r="D171" s="168"/>
      <c r="E171" s="168"/>
      <c r="F171" s="168"/>
      <c r="G171" s="168"/>
      <c r="H171" s="168"/>
      <c r="I171" s="168"/>
      <c r="J171" s="168"/>
      <c r="K171" s="168"/>
      <c r="L171" s="168"/>
      <c r="M171" s="168"/>
      <c r="N171" s="168"/>
      <c r="O171" s="168"/>
      <c r="P171" s="168"/>
      <c r="Q171" s="168"/>
      <c r="R171" s="168"/>
      <c r="S171" s="168"/>
      <c r="T171" s="168"/>
      <c r="U171" s="168"/>
    </row>
    <row r="172" spans="1:21" ht="42.75" customHeight="1">
      <c r="A172" s="168"/>
      <c r="B172" s="168"/>
      <c r="C172" s="168"/>
      <c r="D172" s="168"/>
      <c r="E172" s="168"/>
      <c r="F172" s="168"/>
      <c r="G172" s="168"/>
      <c r="H172" s="168"/>
      <c r="I172" s="168"/>
      <c r="J172" s="168"/>
      <c r="K172" s="168"/>
      <c r="L172" s="168"/>
      <c r="M172" s="168"/>
      <c r="N172" s="168"/>
      <c r="O172" s="168"/>
      <c r="P172" s="168"/>
      <c r="Q172" s="168"/>
      <c r="R172" s="168"/>
      <c r="S172" s="168"/>
      <c r="T172" s="168"/>
      <c r="U172" s="168"/>
    </row>
    <row r="173" spans="1:21" ht="42.75" customHeight="1">
      <c r="A173" s="168"/>
      <c r="B173" s="168"/>
      <c r="C173" s="168"/>
      <c r="D173" s="168"/>
      <c r="E173" s="168"/>
      <c r="F173" s="168"/>
      <c r="G173" s="168"/>
      <c r="H173" s="168"/>
      <c r="I173" s="168"/>
      <c r="J173" s="168"/>
      <c r="K173" s="168"/>
      <c r="L173" s="168"/>
      <c r="M173" s="168"/>
      <c r="N173" s="168"/>
      <c r="O173" s="168"/>
      <c r="P173" s="168"/>
      <c r="Q173" s="168"/>
      <c r="R173" s="168"/>
      <c r="S173" s="168"/>
      <c r="T173" s="168"/>
      <c r="U173" s="168"/>
    </row>
    <row r="174" spans="1:21" ht="42.75" customHeight="1">
      <c r="A174" s="168"/>
      <c r="B174" s="168"/>
      <c r="C174" s="168"/>
      <c r="D174" s="168"/>
      <c r="E174" s="168"/>
      <c r="F174" s="168"/>
      <c r="G174" s="168"/>
      <c r="H174" s="168"/>
      <c r="I174" s="168"/>
      <c r="J174" s="168"/>
      <c r="K174" s="168"/>
      <c r="L174" s="168"/>
      <c r="M174" s="168"/>
      <c r="N174" s="168"/>
      <c r="O174" s="168"/>
      <c r="P174" s="168"/>
      <c r="Q174" s="168"/>
      <c r="R174" s="168"/>
      <c r="S174" s="168"/>
      <c r="T174" s="168"/>
      <c r="U174" s="168"/>
    </row>
    <row r="175" spans="1:21" ht="42.75" customHeight="1">
      <c r="A175" s="168"/>
      <c r="B175" s="168"/>
      <c r="C175" s="168"/>
      <c r="D175" s="168"/>
      <c r="E175" s="168"/>
      <c r="F175" s="168"/>
      <c r="G175" s="168"/>
      <c r="H175" s="168"/>
      <c r="I175" s="168"/>
      <c r="J175" s="168"/>
      <c r="K175" s="168"/>
      <c r="L175" s="168"/>
      <c r="M175" s="168"/>
      <c r="N175" s="168"/>
      <c r="O175" s="168"/>
      <c r="P175" s="168"/>
      <c r="Q175" s="168"/>
      <c r="R175" s="168"/>
      <c r="S175" s="168"/>
      <c r="T175" s="168"/>
      <c r="U175" s="168"/>
    </row>
    <row r="176" spans="1:21" ht="42.75" customHeight="1">
      <c r="A176" s="168"/>
      <c r="B176" s="168"/>
      <c r="C176" s="168"/>
      <c r="D176" s="168"/>
      <c r="E176" s="168"/>
      <c r="F176" s="168"/>
      <c r="G176" s="168"/>
      <c r="H176" s="168"/>
      <c r="I176" s="168"/>
      <c r="J176" s="168"/>
      <c r="K176" s="168"/>
      <c r="L176" s="168"/>
      <c r="M176" s="168"/>
      <c r="N176" s="168"/>
      <c r="O176" s="168"/>
      <c r="P176" s="168"/>
      <c r="Q176" s="168"/>
      <c r="R176" s="168"/>
      <c r="S176" s="168"/>
      <c r="T176" s="168"/>
      <c r="U176" s="168"/>
    </row>
    <row r="177" spans="1:21" ht="42.75" customHeight="1">
      <c r="A177" s="168"/>
      <c r="B177" s="168"/>
      <c r="C177" s="168"/>
      <c r="D177" s="168"/>
      <c r="E177" s="168"/>
      <c r="F177" s="168"/>
      <c r="G177" s="168"/>
      <c r="H177" s="168"/>
      <c r="I177" s="168"/>
      <c r="J177" s="168"/>
      <c r="K177" s="168"/>
      <c r="L177" s="168"/>
      <c r="M177" s="168"/>
      <c r="N177" s="168"/>
      <c r="O177" s="168"/>
      <c r="P177" s="168"/>
      <c r="Q177" s="168"/>
      <c r="R177" s="168"/>
      <c r="S177" s="168"/>
      <c r="T177" s="168"/>
      <c r="U177" s="168"/>
    </row>
    <row r="178" spans="1:21" ht="42.75" customHeight="1">
      <c r="A178" s="168"/>
      <c r="B178" s="168"/>
      <c r="C178" s="168"/>
      <c r="D178" s="168"/>
      <c r="E178" s="168"/>
      <c r="F178" s="168"/>
      <c r="G178" s="168"/>
      <c r="H178" s="168"/>
      <c r="I178" s="168"/>
      <c r="J178" s="168"/>
      <c r="K178" s="168"/>
      <c r="L178" s="168"/>
      <c r="M178" s="168"/>
      <c r="N178" s="168"/>
      <c r="O178" s="168"/>
      <c r="P178" s="168"/>
      <c r="Q178" s="168"/>
      <c r="R178" s="168"/>
      <c r="S178" s="168"/>
      <c r="T178" s="168"/>
      <c r="U178" s="168"/>
    </row>
    <row r="179" spans="1:21" ht="42.75" customHeight="1">
      <c r="A179" s="168"/>
      <c r="B179" s="168"/>
      <c r="C179" s="168"/>
      <c r="D179" s="168"/>
      <c r="E179" s="168"/>
      <c r="F179" s="168"/>
      <c r="G179" s="168"/>
      <c r="H179" s="168"/>
      <c r="I179" s="168"/>
      <c r="J179" s="168"/>
      <c r="K179" s="168"/>
      <c r="L179" s="168"/>
      <c r="M179" s="168"/>
      <c r="N179" s="168"/>
      <c r="O179" s="168"/>
      <c r="P179" s="168"/>
      <c r="Q179" s="168"/>
      <c r="R179" s="168"/>
      <c r="S179" s="168"/>
      <c r="T179" s="168"/>
      <c r="U179" s="168"/>
    </row>
    <row r="180" spans="1:21" ht="42.75" customHeight="1">
      <c r="A180" s="168"/>
      <c r="B180" s="168"/>
      <c r="C180" s="168"/>
      <c r="D180" s="168"/>
      <c r="E180" s="168"/>
      <c r="F180" s="168"/>
      <c r="G180" s="168"/>
      <c r="H180" s="168"/>
      <c r="I180" s="168"/>
      <c r="J180" s="168"/>
      <c r="K180" s="168"/>
      <c r="L180" s="168"/>
      <c r="M180" s="168"/>
      <c r="N180" s="168"/>
      <c r="O180" s="168"/>
      <c r="P180" s="168"/>
      <c r="Q180" s="168"/>
      <c r="R180" s="168"/>
      <c r="S180" s="168"/>
      <c r="T180" s="168"/>
      <c r="U180" s="168"/>
    </row>
    <row r="181" spans="1:21" ht="42.75" customHeight="1">
      <c r="A181" s="168"/>
      <c r="B181" s="168"/>
      <c r="C181" s="168"/>
      <c r="D181" s="168"/>
      <c r="E181" s="168"/>
      <c r="F181" s="168"/>
      <c r="G181" s="168"/>
      <c r="H181" s="168"/>
      <c r="I181" s="168"/>
      <c r="J181" s="168"/>
      <c r="K181" s="168"/>
      <c r="L181" s="168"/>
      <c r="M181" s="168"/>
      <c r="N181" s="168"/>
      <c r="O181" s="168"/>
      <c r="P181" s="168"/>
      <c r="Q181" s="168"/>
      <c r="R181" s="168"/>
      <c r="S181" s="168"/>
      <c r="T181" s="168"/>
      <c r="U181" s="168"/>
    </row>
    <row r="182" spans="1:21" ht="42.75" customHeight="1">
      <c r="A182" s="168"/>
      <c r="B182" s="168"/>
      <c r="C182" s="168"/>
      <c r="D182" s="168"/>
      <c r="E182" s="168"/>
      <c r="F182" s="168"/>
      <c r="G182" s="168"/>
      <c r="H182" s="168"/>
      <c r="I182" s="168"/>
      <c r="J182" s="168"/>
      <c r="K182" s="168"/>
      <c r="L182" s="168"/>
      <c r="M182" s="168"/>
      <c r="N182" s="168"/>
      <c r="O182" s="168"/>
      <c r="P182" s="168"/>
      <c r="Q182" s="168"/>
      <c r="R182" s="168"/>
      <c r="S182" s="168"/>
      <c r="T182" s="168"/>
      <c r="U182" s="168"/>
    </row>
    <row r="183" spans="1:21" ht="42.75" customHeight="1">
      <c r="A183" s="168"/>
      <c r="B183" s="168"/>
      <c r="C183" s="168"/>
      <c r="D183" s="168"/>
      <c r="E183" s="168"/>
      <c r="F183" s="168"/>
      <c r="G183" s="168"/>
      <c r="H183" s="168"/>
      <c r="I183" s="168"/>
      <c r="J183" s="168"/>
      <c r="K183" s="168"/>
      <c r="L183" s="168"/>
      <c r="M183" s="168"/>
      <c r="N183" s="168"/>
      <c r="O183" s="168"/>
      <c r="P183" s="168"/>
      <c r="Q183" s="168"/>
      <c r="R183" s="168"/>
      <c r="S183" s="168"/>
      <c r="T183" s="168"/>
      <c r="U183" s="168"/>
    </row>
    <row r="184" spans="1:21" ht="42.75" customHeight="1">
      <c r="A184" s="168"/>
      <c r="B184" s="168"/>
      <c r="C184" s="168"/>
      <c r="D184" s="168"/>
      <c r="E184" s="168"/>
      <c r="F184" s="168"/>
      <c r="G184" s="168"/>
      <c r="H184" s="168"/>
      <c r="I184" s="168"/>
      <c r="J184" s="168"/>
      <c r="K184" s="168"/>
      <c r="L184" s="168"/>
      <c r="M184" s="168"/>
      <c r="N184" s="168"/>
      <c r="O184" s="168"/>
      <c r="P184" s="168"/>
      <c r="Q184" s="168"/>
      <c r="R184" s="168"/>
      <c r="S184" s="168"/>
      <c r="T184" s="168"/>
      <c r="U184" s="168"/>
    </row>
    <row r="185" spans="1:21" ht="42.75" customHeight="1">
      <c r="A185" s="168"/>
      <c r="B185" s="168"/>
      <c r="C185" s="168"/>
      <c r="D185" s="168"/>
      <c r="E185" s="168"/>
      <c r="F185" s="168"/>
      <c r="G185" s="168"/>
      <c r="H185" s="168"/>
      <c r="I185" s="168"/>
      <c r="J185" s="168"/>
      <c r="K185" s="168"/>
      <c r="L185" s="168"/>
      <c r="M185" s="168"/>
      <c r="N185" s="168"/>
      <c r="O185" s="168"/>
      <c r="P185" s="168"/>
      <c r="Q185" s="168"/>
      <c r="R185" s="168"/>
      <c r="S185" s="168"/>
      <c r="T185" s="168"/>
      <c r="U185" s="168"/>
    </row>
    <row r="186" spans="1:21" ht="42.75" customHeight="1">
      <c r="A186" s="168"/>
      <c r="B186" s="168"/>
      <c r="C186" s="168"/>
      <c r="D186" s="168"/>
      <c r="E186" s="168"/>
      <c r="F186" s="168"/>
      <c r="G186" s="168"/>
      <c r="H186" s="168"/>
      <c r="I186" s="168"/>
      <c r="J186" s="168"/>
      <c r="K186" s="168"/>
      <c r="L186" s="168"/>
      <c r="M186" s="168"/>
      <c r="N186" s="168"/>
      <c r="O186" s="168"/>
      <c r="P186" s="168"/>
      <c r="Q186" s="168"/>
      <c r="R186" s="168"/>
      <c r="S186" s="168"/>
      <c r="T186" s="168"/>
      <c r="U186" s="168"/>
    </row>
    <row r="187" spans="1:21" ht="42.75" customHeight="1">
      <c r="A187" s="168"/>
      <c r="B187" s="168"/>
      <c r="C187" s="168"/>
      <c r="D187" s="168"/>
      <c r="E187" s="168"/>
      <c r="F187" s="168"/>
      <c r="G187" s="168"/>
      <c r="H187" s="168"/>
      <c r="I187" s="168"/>
      <c r="J187" s="168"/>
      <c r="K187" s="168"/>
      <c r="L187" s="168"/>
      <c r="M187" s="168"/>
      <c r="N187" s="168"/>
      <c r="O187" s="168"/>
      <c r="P187" s="168"/>
      <c r="Q187" s="168"/>
      <c r="R187" s="168"/>
      <c r="S187" s="168"/>
      <c r="T187" s="168"/>
      <c r="U187" s="168"/>
    </row>
    <row r="188" spans="1:21" ht="42.75" customHeight="1">
      <c r="A188" s="168"/>
      <c r="B188" s="168"/>
      <c r="C188" s="168"/>
      <c r="D188" s="168"/>
      <c r="E188" s="168"/>
      <c r="F188" s="168"/>
      <c r="G188" s="168"/>
      <c r="H188" s="168"/>
      <c r="I188" s="168"/>
      <c r="J188" s="168"/>
      <c r="K188" s="168"/>
      <c r="L188" s="168"/>
      <c r="M188" s="168"/>
      <c r="N188" s="168"/>
      <c r="O188" s="168"/>
      <c r="P188" s="168"/>
      <c r="Q188" s="168"/>
      <c r="R188" s="168"/>
      <c r="S188" s="168"/>
      <c r="T188" s="168"/>
      <c r="U188" s="168"/>
    </row>
    <row r="189" spans="1:21" ht="42.75" customHeight="1">
      <c r="A189" s="168"/>
      <c r="B189" s="168"/>
      <c r="C189" s="168"/>
      <c r="D189" s="168"/>
      <c r="E189" s="168"/>
      <c r="F189" s="168"/>
      <c r="G189" s="168"/>
      <c r="H189" s="168"/>
      <c r="I189" s="168"/>
      <c r="J189" s="168"/>
      <c r="K189" s="168"/>
      <c r="L189" s="168"/>
      <c r="M189" s="168"/>
      <c r="N189" s="168"/>
      <c r="O189" s="168"/>
      <c r="P189" s="168"/>
      <c r="Q189" s="168"/>
      <c r="R189" s="168"/>
      <c r="S189" s="168"/>
      <c r="T189" s="168"/>
      <c r="U189" s="168"/>
    </row>
    <row r="190" spans="1:21" ht="42.75" customHeight="1">
      <c r="A190" s="168"/>
      <c r="B190" s="168"/>
      <c r="C190" s="168"/>
      <c r="D190" s="168"/>
      <c r="E190" s="168"/>
      <c r="F190" s="168"/>
      <c r="G190" s="168"/>
      <c r="H190" s="168"/>
      <c r="I190" s="168"/>
      <c r="J190" s="168"/>
      <c r="K190" s="168"/>
      <c r="L190" s="168"/>
      <c r="M190" s="168"/>
      <c r="N190" s="168"/>
      <c r="O190" s="168"/>
      <c r="P190" s="168"/>
      <c r="Q190" s="168"/>
      <c r="R190" s="168"/>
      <c r="S190" s="168"/>
      <c r="T190" s="168"/>
      <c r="U190" s="168"/>
    </row>
    <row r="191" spans="1:21" ht="42.75" customHeight="1">
      <c r="A191" s="168"/>
      <c r="B191" s="168"/>
      <c r="C191" s="168"/>
      <c r="D191" s="168"/>
      <c r="E191" s="168"/>
      <c r="F191" s="168"/>
      <c r="G191" s="168"/>
      <c r="H191" s="168"/>
      <c r="I191" s="168"/>
      <c r="J191" s="168"/>
      <c r="K191" s="168"/>
      <c r="L191" s="168"/>
      <c r="M191" s="168"/>
      <c r="N191" s="168"/>
      <c r="O191" s="168"/>
      <c r="P191" s="168"/>
      <c r="Q191" s="168"/>
      <c r="R191" s="168"/>
      <c r="S191" s="168"/>
      <c r="T191" s="168"/>
      <c r="U191" s="168"/>
    </row>
    <row r="192" spans="1:21" ht="42.75" customHeight="1">
      <c r="A192" s="168"/>
      <c r="B192" s="168"/>
      <c r="C192" s="168"/>
      <c r="D192" s="168"/>
      <c r="E192" s="168"/>
      <c r="F192" s="168"/>
      <c r="G192" s="168"/>
      <c r="H192" s="168"/>
      <c r="I192" s="168"/>
      <c r="J192" s="168"/>
      <c r="K192" s="168"/>
      <c r="L192" s="168"/>
      <c r="M192" s="168"/>
      <c r="N192" s="168"/>
      <c r="O192" s="168"/>
      <c r="P192" s="168"/>
      <c r="Q192" s="168"/>
      <c r="R192" s="168"/>
      <c r="S192" s="168"/>
      <c r="T192" s="168"/>
      <c r="U192" s="168"/>
    </row>
    <row r="193" spans="1:21" ht="42.75" customHeight="1">
      <c r="A193" s="168"/>
      <c r="B193" s="168"/>
      <c r="C193" s="168"/>
      <c r="D193" s="168"/>
      <c r="E193" s="168"/>
      <c r="F193" s="168"/>
      <c r="G193" s="168"/>
      <c r="H193" s="168"/>
      <c r="I193" s="168"/>
      <c r="J193" s="168"/>
      <c r="K193" s="168"/>
      <c r="L193" s="168"/>
      <c r="M193" s="168"/>
      <c r="N193" s="168"/>
      <c r="O193" s="168"/>
      <c r="P193" s="168"/>
      <c r="Q193" s="168"/>
      <c r="R193" s="168"/>
      <c r="S193" s="168"/>
      <c r="T193" s="168"/>
      <c r="U193" s="168"/>
    </row>
    <row r="194" spans="1:21" ht="42.75" customHeight="1">
      <c r="A194" s="168"/>
      <c r="B194" s="168"/>
      <c r="C194" s="168"/>
      <c r="D194" s="168"/>
      <c r="E194" s="168"/>
      <c r="F194" s="168"/>
      <c r="G194" s="168"/>
      <c r="H194" s="168"/>
      <c r="I194" s="168"/>
      <c r="J194" s="168"/>
      <c r="K194" s="168"/>
      <c r="L194" s="168"/>
      <c r="M194" s="168"/>
      <c r="N194" s="168"/>
      <c r="O194" s="168"/>
      <c r="P194" s="168"/>
      <c r="Q194" s="168"/>
      <c r="R194" s="168"/>
      <c r="S194" s="168"/>
      <c r="T194" s="168"/>
      <c r="U194" s="168"/>
    </row>
    <row r="195" spans="1:21" ht="42.75" customHeight="1">
      <c r="A195" s="168"/>
      <c r="B195" s="168"/>
      <c r="C195" s="168"/>
      <c r="D195" s="168"/>
      <c r="E195" s="168"/>
      <c r="F195" s="168"/>
      <c r="G195" s="168"/>
      <c r="H195" s="168"/>
      <c r="I195" s="168"/>
      <c r="J195" s="168"/>
      <c r="K195" s="168"/>
      <c r="L195" s="168"/>
      <c r="M195" s="168"/>
      <c r="N195" s="168"/>
      <c r="O195" s="168"/>
      <c r="P195" s="168"/>
      <c r="Q195" s="168"/>
      <c r="R195" s="168"/>
      <c r="S195" s="168"/>
      <c r="T195" s="168"/>
      <c r="U195" s="168"/>
    </row>
    <row r="196" spans="1:21" ht="42.75" customHeight="1">
      <c r="A196" s="168"/>
      <c r="B196" s="168"/>
      <c r="C196" s="168"/>
      <c r="D196" s="168"/>
      <c r="E196" s="168"/>
      <c r="F196" s="168"/>
      <c r="G196" s="168"/>
      <c r="H196" s="168"/>
      <c r="I196" s="168"/>
      <c r="J196" s="168"/>
      <c r="K196" s="168"/>
      <c r="L196" s="168"/>
      <c r="M196" s="168"/>
      <c r="N196" s="168"/>
      <c r="O196" s="168"/>
      <c r="P196" s="168"/>
      <c r="Q196" s="168"/>
      <c r="R196" s="168"/>
      <c r="S196" s="168"/>
      <c r="T196" s="168"/>
      <c r="U196" s="168"/>
    </row>
    <row r="197" spans="1:21" ht="42.75" customHeight="1">
      <c r="A197" s="168"/>
      <c r="B197" s="168"/>
      <c r="C197" s="168"/>
      <c r="D197" s="168"/>
      <c r="E197" s="168"/>
      <c r="F197" s="168"/>
      <c r="G197" s="168"/>
      <c r="H197" s="168"/>
      <c r="I197" s="168"/>
      <c r="J197" s="168"/>
      <c r="K197" s="168"/>
      <c r="L197" s="168"/>
      <c r="M197" s="168"/>
      <c r="N197" s="168"/>
      <c r="O197" s="168"/>
      <c r="P197" s="168"/>
      <c r="Q197" s="168"/>
      <c r="R197" s="168"/>
      <c r="S197" s="168"/>
      <c r="T197" s="168"/>
      <c r="U197" s="168"/>
    </row>
    <row r="198" spans="1:21" ht="42.75" customHeight="1">
      <c r="A198" s="168"/>
      <c r="B198" s="168"/>
      <c r="C198" s="168"/>
      <c r="D198" s="168"/>
      <c r="E198" s="168"/>
      <c r="F198" s="168"/>
      <c r="G198" s="168"/>
      <c r="H198" s="168"/>
      <c r="I198" s="168"/>
      <c r="J198" s="168"/>
      <c r="K198" s="168"/>
      <c r="L198" s="168"/>
      <c r="M198" s="168"/>
      <c r="N198" s="168"/>
      <c r="O198" s="168"/>
      <c r="P198" s="168"/>
      <c r="Q198" s="168"/>
      <c r="R198" s="168"/>
      <c r="S198" s="168"/>
      <c r="T198" s="168"/>
      <c r="U198" s="168"/>
    </row>
    <row r="199" spans="1:21" ht="42.75" customHeight="1">
      <c r="A199" s="168"/>
      <c r="B199" s="168"/>
      <c r="C199" s="168"/>
      <c r="D199" s="168"/>
      <c r="E199" s="168"/>
      <c r="F199" s="168"/>
      <c r="G199" s="168"/>
      <c r="H199" s="168"/>
      <c r="I199" s="168"/>
      <c r="J199" s="168"/>
      <c r="K199" s="168"/>
      <c r="L199" s="168"/>
      <c r="M199" s="168"/>
      <c r="N199" s="168"/>
      <c r="O199" s="168"/>
      <c r="P199" s="168"/>
      <c r="Q199" s="168"/>
      <c r="R199" s="168"/>
      <c r="S199" s="168"/>
      <c r="T199" s="168"/>
      <c r="U199" s="168"/>
    </row>
    <row r="200" spans="1:21" ht="42.75" customHeight="1">
      <c r="A200" s="168"/>
      <c r="B200" s="168"/>
      <c r="C200" s="168"/>
      <c r="D200" s="168"/>
      <c r="E200" s="168"/>
      <c r="F200" s="168"/>
      <c r="G200" s="168"/>
      <c r="H200" s="168"/>
      <c r="I200" s="168"/>
      <c r="J200" s="168"/>
      <c r="K200" s="168"/>
      <c r="L200" s="168"/>
      <c r="M200" s="168"/>
      <c r="N200" s="168"/>
      <c r="O200" s="168"/>
      <c r="P200" s="168"/>
      <c r="Q200" s="168"/>
      <c r="R200" s="168"/>
      <c r="S200" s="168"/>
      <c r="T200" s="168"/>
      <c r="U200" s="168"/>
    </row>
    <row r="201" spans="1:21" ht="42.75" customHeight="1">
      <c r="A201" s="168"/>
      <c r="B201" s="168"/>
      <c r="C201" s="168"/>
      <c r="D201" s="168"/>
      <c r="E201" s="168"/>
      <c r="F201" s="168"/>
      <c r="G201" s="168"/>
      <c r="H201" s="168"/>
      <c r="I201" s="168"/>
      <c r="J201" s="168"/>
      <c r="K201" s="168"/>
      <c r="L201" s="168"/>
      <c r="M201" s="168"/>
      <c r="N201" s="168"/>
      <c r="O201" s="168"/>
      <c r="P201" s="168"/>
      <c r="Q201" s="168"/>
      <c r="R201" s="168"/>
      <c r="S201" s="168"/>
      <c r="T201" s="168"/>
      <c r="U201" s="168"/>
    </row>
    <row r="202" spans="1:21" ht="42.75" customHeight="1">
      <c r="A202" s="168"/>
      <c r="B202" s="168"/>
      <c r="C202" s="168"/>
      <c r="D202" s="168"/>
      <c r="E202" s="168"/>
      <c r="F202" s="168"/>
      <c r="G202" s="168"/>
      <c r="H202" s="168"/>
      <c r="I202" s="168"/>
      <c r="J202" s="168"/>
      <c r="K202" s="168"/>
      <c r="L202" s="168"/>
      <c r="M202" s="168"/>
      <c r="N202" s="168"/>
      <c r="O202" s="168"/>
      <c r="P202" s="168"/>
      <c r="Q202" s="168"/>
      <c r="R202" s="168"/>
      <c r="S202" s="168"/>
      <c r="T202" s="168"/>
      <c r="U202" s="168"/>
    </row>
    <row r="203" spans="1:21" ht="42.75" customHeight="1">
      <c r="A203" s="168"/>
      <c r="B203" s="168"/>
      <c r="C203" s="168"/>
      <c r="D203" s="168"/>
      <c r="E203" s="168"/>
      <c r="F203" s="168"/>
      <c r="G203" s="168"/>
      <c r="H203" s="168"/>
      <c r="I203" s="168"/>
      <c r="J203" s="168"/>
      <c r="K203" s="168"/>
      <c r="L203" s="168"/>
      <c r="M203" s="168"/>
      <c r="N203" s="168"/>
      <c r="O203" s="168"/>
      <c r="P203" s="168"/>
      <c r="Q203" s="168"/>
      <c r="R203" s="168"/>
      <c r="S203" s="168"/>
      <c r="T203" s="168"/>
      <c r="U203" s="168"/>
    </row>
    <row r="204" spans="1:21" ht="42.75" customHeight="1">
      <c r="A204" s="168"/>
      <c r="B204" s="168"/>
      <c r="C204" s="168"/>
      <c r="D204" s="168"/>
      <c r="E204" s="168"/>
      <c r="F204" s="168"/>
      <c r="G204" s="168"/>
      <c r="H204" s="168"/>
      <c r="I204" s="168"/>
      <c r="J204" s="168"/>
      <c r="K204" s="168"/>
      <c r="L204" s="168"/>
      <c r="M204" s="168"/>
      <c r="N204" s="168"/>
      <c r="O204" s="168"/>
      <c r="P204" s="168"/>
      <c r="Q204" s="168"/>
      <c r="R204" s="168"/>
      <c r="S204" s="168"/>
      <c r="T204" s="168"/>
      <c r="U204" s="168"/>
    </row>
    <row r="205" spans="1:21" ht="42.75" customHeight="1">
      <c r="A205" s="168"/>
      <c r="B205" s="168"/>
      <c r="C205" s="168"/>
      <c r="D205" s="168"/>
      <c r="E205" s="168"/>
      <c r="F205" s="168"/>
      <c r="G205" s="168"/>
      <c r="H205" s="168"/>
      <c r="I205" s="168"/>
      <c r="J205" s="168"/>
      <c r="K205" s="168"/>
      <c r="L205" s="168"/>
      <c r="M205" s="168"/>
      <c r="N205" s="168"/>
      <c r="O205" s="168"/>
      <c r="P205" s="168"/>
      <c r="Q205" s="168"/>
      <c r="R205" s="168"/>
      <c r="S205" s="168"/>
      <c r="T205" s="168"/>
      <c r="U205" s="168"/>
    </row>
    <row r="206" spans="1:21" ht="42.75" customHeight="1">
      <c r="A206" s="168"/>
      <c r="B206" s="168"/>
      <c r="C206" s="168"/>
      <c r="D206" s="168"/>
      <c r="E206" s="168"/>
      <c r="F206" s="168"/>
      <c r="G206" s="168"/>
      <c r="H206" s="168"/>
      <c r="I206" s="168"/>
      <c r="J206" s="168"/>
      <c r="K206" s="168"/>
      <c r="L206" s="168"/>
      <c r="M206" s="168"/>
      <c r="N206" s="168"/>
      <c r="O206" s="168"/>
      <c r="P206" s="168"/>
      <c r="Q206" s="168"/>
      <c r="R206" s="168"/>
      <c r="S206" s="168"/>
      <c r="T206" s="168"/>
      <c r="U206" s="168"/>
    </row>
    <row r="207" spans="1:21" ht="42.75" customHeight="1">
      <c r="A207" s="168"/>
      <c r="B207" s="168"/>
      <c r="C207" s="168"/>
      <c r="D207" s="168"/>
      <c r="E207" s="168"/>
      <c r="F207" s="168"/>
      <c r="G207" s="168"/>
      <c r="H207" s="168"/>
      <c r="I207" s="168"/>
      <c r="J207" s="168"/>
      <c r="K207" s="168"/>
      <c r="L207" s="168"/>
      <c r="M207" s="168"/>
      <c r="N207" s="168"/>
      <c r="O207" s="168"/>
      <c r="P207" s="168"/>
      <c r="Q207" s="168"/>
      <c r="R207" s="168"/>
      <c r="S207" s="168"/>
      <c r="T207" s="168"/>
      <c r="U207" s="168"/>
    </row>
    <row r="208" spans="1:21" ht="42.75" customHeight="1">
      <c r="A208" s="168"/>
      <c r="B208" s="168"/>
      <c r="C208" s="168"/>
      <c r="D208" s="168"/>
      <c r="E208" s="168"/>
      <c r="F208" s="168"/>
      <c r="G208" s="168"/>
      <c r="H208" s="168"/>
      <c r="I208" s="168"/>
      <c r="J208" s="168"/>
      <c r="K208" s="168"/>
      <c r="L208" s="168"/>
      <c r="M208" s="168"/>
      <c r="N208" s="168"/>
      <c r="O208" s="168"/>
      <c r="P208" s="168"/>
      <c r="Q208" s="168"/>
      <c r="R208" s="168"/>
      <c r="S208" s="168"/>
      <c r="T208" s="168"/>
      <c r="U208" s="168"/>
    </row>
    <row r="209" spans="1:21" ht="42.75" customHeight="1">
      <c r="A209" s="168"/>
      <c r="B209" s="168"/>
      <c r="C209" s="168"/>
      <c r="D209" s="168"/>
      <c r="E209" s="168"/>
      <c r="F209" s="168"/>
      <c r="G209" s="168"/>
      <c r="H209" s="168"/>
      <c r="I209" s="168"/>
      <c r="J209" s="168"/>
      <c r="K209" s="168"/>
      <c r="L209" s="168"/>
      <c r="M209" s="168"/>
      <c r="N209" s="168"/>
      <c r="O209" s="168"/>
      <c r="P209" s="168"/>
      <c r="Q209" s="168"/>
      <c r="R209" s="168"/>
      <c r="S209" s="168"/>
      <c r="T209" s="168"/>
      <c r="U209" s="168"/>
    </row>
    <row r="210" spans="1:21" ht="42.75" customHeight="1">
      <c r="A210" s="168"/>
      <c r="B210" s="168"/>
      <c r="C210" s="168"/>
      <c r="D210" s="168"/>
      <c r="E210" s="168"/>
      <c r="F210" s="168"/>
      <c r="G210" s="168"/>
      <c r="H210" s="168"/>
      <c r="I210" s="168"/>
      <c r="J210" s="168"/>
      <c r="K210" s="168"/>
      <c r="L210" s="168"/>
      <c r="M210" s="168"/>
      <c r="N210" s="168"/>
      <c r="O210" s="168"/>
      <c r="P210" s="168"/>
      <c r="Q210" s="168"/>
      <c r="R210" s="168"/>
      <c r="S210" s="168"/>
      <c r="T210" s="168"/>
      <c r="U210" s="168"/>
    </row>
    <row r="211" spans="1:21" ht="42.75" customHeight="1">
      <c r="A211" s="168"/>
      <c r="B211" s="168"/>
      <c r="C211" s="168"/>
      <c r="D211" s="168"/>
      <c r="E211" s="168"/>
      <c r="F211" s="168"/>
      <c r="G211" s="168"/>
      <c r="H211" s="168"/>
      <c r="I211" s="168"/>
      <c r="J211" s="168"/>
      <c r="K211" s="168"/>
      <c r="L211" s="168"/>
      <c r="M211" s="168"/>
      <c r="N211" s="168"/>
      <c r="O211" s="168"/>
      <c r="P211" s="168"/>
      <c r="Q211" s="168"/>
      <c r="R211" s="168"/>
      <c r="S211" s="168"/>
      <c r="T211" s="168"/>
      <c r="U211" s="168"/>
    </row>
    <row r="212" spans="1:21" ht="42.75" customHeight="1">
      <c r="A212" s="168"/>
      <c r="B212" s="168"/>
      <c r="C212" s="168"/>
      <c r="D212" s="168"/>
      <c r="E212" s="168"/>
      <c r="F212" s="168"/>
      <c r="G212" s="168"/>
      <c r="H212" s="168"/>
      <c r="I212" s="168"/>
      <c r="J212" s="168"/>
      <c r="K212" s="168"/>
      <c r="L212" s="168"/>
      <c r="M212" s="168"/>
      <c r="N212" s="168"/>
      <c r="O212" s="168"/>
      <c r="P212" s="168"/>
      <c r="Q212" s="168"/>
      <c r="R212" s="168"/>
      <c r="S212" s="168"/>
      <c r="T212" s="168"/>
      <c r="U212" s="168"/>
    </row>
    <row r="213" spans="1:21" ht="42.75" customHeight="1">
      <c r="A213" s="168"/>
      <c r="B213" s="168"/>
      <c r="C213" s="168"/>
      <c r="D213" s="168"/>
      <c r="E213" s="168"/>
      <c r="F213" s="168"/>
      <c r="G213" s="168"/>
      <c r="H213" s="168"/>
      <c r="I213" s="168"/>
      <c r="J213" s="168"/>
      <c r="K213" s="168"/>
      <c r="L213" s="168"/>
      <c r="M213" s="168"/>
      <c r="N213" s="168"/>
      <c r="O213" s="168"/>
      <c r="P213" s="168"/>
      <c r="Q213" s="168"/>
      <c r="R213" s="168"/>
      <c r="S213" s="168"/>
      <c r="T213" s="168"/>
      <c r="U213" s="168"/>
    </row>
    <row r="214" spans="1:21" ht="42.75" customHeight="1">
      <c r="A214" s="168"/>
      <c r="B214" s="168"/>
      <c r="C214" s="168"/>
      <c r="D214" s="168"/>
      <c r="E214" s="168"/>
      <c r="F214" s="168"/>
      <c r="G214" s="168"/>
      <c r="H214" s="168"/>
      <c r="I214" s="168"/>
      <c r="J214" s="168"/>
      <c r="K214" s="168"/>
      <c r="L214" s="168"/>
      <c r="M214" s="168"/>
      <c r="N214" s="168"/>
      <c r="O214" s="168"/>
      <c r="P214" s="168"/>
      <c r="Q214" s="168"/>
      <c r="R214" s="168"/>
      <c r="S214" s="168"/>
      <c r="T214" s="168"/>
      <c r="U214" s="168"/>
    </row>
    <row r="215" spans="1:21" ht="42.75" customHeight="1">
      <c r="A215" s="168"/>
      <c r="B215" s="168"/>
      <c r="C215" s="168"/>
      <c r="D215" s="168"/>
      <c r="E215" s="168"/>
      <c r="F215" s="168"/>
      <c r="G215" s="168"/>
      <c r="H215" s="168"/>
      <c r="I215" s="168"/>
      <c r="J215" s="168"/>
      <c r="K215" s="168"/>
      <c r="L215" s="168"/>
      <c r="M215" s="168"/>
      <c r="N215" s="168"/>
      <c r="O215" s="168"/>
      <c r="P215" s="168"/>
      <c r="Q215" s="168"/>
      <c r="R215" s="168"/>
      <c r="S215" s="168"/>
      <c r="T215" s="168"/>
      <c r="U215" s="168"/>
    </row>
    <row r="216" spans="1:21" ht="42.75" customHeight="1">
      <c r="A216" s="168"/>
      <c r="B216" s="168"/>
      <c r="C216" s="168"/>
      <c r="D216" s="168"/>
      <c r="E216" s="168"/>
      <c r="F216" s="168"/>
      <c r="G216" s="168"/>
      <c r="H216" s="168"/>
      <c r="I216" s="168"/>
      <c r="J216" s="168"/>
      <c r="K216" s="168"/>
      <c r="L216" s="168"/>
      <c r="M216" s="168"/>
      <c r="N216" s="168"/>
      <c r="O216" s="168"/>
      <c r="P216" s="168"/>
      <c r="Q216" s="168"/>
      <c r="R216" s="168"/>
      <c r="S216" s="168"/>
      <c r="T216" s="168"/>
      <c r="U216" s="168"/>
    </row>
    <row r="217" spans="1:21" ht="42.75" customHeight="1">
      <c r="A217" s="168"/>
      <c r="B217" s="168"/>
      <c r="C217" s="168"/>
      <c r="D217" s="168"/>
      <c r="E217" s="168"/>
      <c r="F217" s="168"/>
      <c r="G217" s="168"/>
      <c r="H217" s="168"/>
      <c r="I217" s="168"/>
      <c r="J217" s="168"/>
      <c r="K217" s="168"/>
      <c r="L217" s="168"/>
      <c r="M217" s="168"/>
      <c r="N217" s="168"/>
      <c r="O217" s="168"/>
      <c r="P217" s="168"/>
      <c r="Q217" s="168"/>
      <c r="R217" s="168"/>
      <c r="S217" s="168"/>
      <c r="T217" s="168"/>
      <c r="U217" s="168"/>
    </row>
    <row r="218" spans="1:21" ht="42.75" customHeight="1">
      <c r="A218" s="168"/>
      <c r="B218" s="168"/>
      <c r="C218" s="168"/>
      <c r="D218" s="168"/>
      <c r="E218" s="168"/>
      <c r="F218" s="168"/>
      <c r="G218" s="168"/>
      <c r="H218" s="168"/>
      <c r="I218" s="168"/>
      <c r="J218" s="168"/>
      <c r="K218" s="168"/>
      <c r="L218" s="168"/>
      <c r="M218" s="168"/>
      <c r="N218" s="168"/>
      <c r="O218" s="168"/>
      <c r="P218" s="168"/>
      <c r="Q218" s="168"/>
      <c r="R218" s="168"/>
      <c r="S218" s="168"/>
      <c r="T218" s="168"/>
      <c r="U218" s="168"/>
    </row>
    <row r="219" spans="1:21" ht="42.75" customHeight="1">
      <c r="A219" s="168"/>
      <c r="B219" s="168"/>
      <c r="C219" s="168"/>
      <c r="D219" s="168"/>
      <c r="E219" s="168"/>
      <c r="F219" s="168"/>
      <c r="G219" s="168"/>
      <c r="H219" s="168"/>
      <c r="I219" s="168"/>
      <c r="J219" s="168"/>
      <c r="K219" s="168"/>
      <c r="L219" s="168"/>
      <c r="M219" s="168"/>
      <c r="N219" s="168"/>
      <c r="O219" s="168"/>
      <c r="P219" s="168"/>
      <c r="Q219" s="168"/>
      <c r="R219" s="168"/>
      <c r="S219" s="168"/>
      <c r="T219" s="168"/>
      <c r="U219" s="168"/>
    </row>
    <row r="220" spans="1:21" ht="42.75" customHeight="1">
      <c r="A220" s="168"/>
      <c r="B220" s="168"/>
      <c r="C220" s="168"/>
      <c r="D220" s="168"/>
      <c r="E220" s="168"/>
      <c r="F220" s="168"/>
      <c r="G220" s="168"/>
      <c r="H220" s="168"/>
      <c r="I220" s="168"/>
      <c r="J220" s="168"/>
      <c r="K220" s="168"/>
      <c r="L220" s="168"/>
      <c r="M220" s="168"/>
      <c r="N220" s="168"/>
      <c r="O220" s="168"/>
      <c r="P220" s="168"/>
      <c r="Q220" s="168"/>
      <c r="R220" s="168"/>
      <c r="S220" s="168"/>
      <c r="T220" s="168"/>
      <c r="U220" s="168"/>
    </row>
    <row r="221" spans="1:21" ht="42.75" customHeight="1">
      <c r="A221" s="168"/>
      <c r="B221" s="168"/>
      <c r="C221" s="168"/>
      <c r="D221" s="168"/>
      <c r="E221" s="168"/>
      <c r="F221" s="168"/>
      <c r="G221" s="168"/>
      <c r="H221" s="168"/>
      <c r="I221" s="168"/>
      <c r="J221" s="168"/>
      <c r="K221" s="168"/>
      <c r="L221" s="168"/>
      <c r="M221" s="168"/>
      <c r="N221" s="168"/>
      <c r="O221" s="168"/>
      <c r="P221" s="168"/>
      <c r="Q221" s="168"/>
      <c r="R221" s="168"/>
      <c r="S221" s="168"/>
      <c r="T221" s="168"/>
      <c r="U221" s="168"/>
    </row>
    <row r="222" spans="1:21" ht="42.75" customHeight="1">
      <c r="A222" s="168"/>
      <c r="B222" s="168"/>
      <c r="C222" s="168"/>
      <c r="D222" s="168"/>
      <c r="E222" s="168"/>
      <c r="F222" s="168"/>
      <c r="G222" s="168"/>
      <c r="H222" s="168"/>
      <c r="I222" s="168"/>
      <c r="J222" s="168"/>
      <c r="K222" s="168"/>
      <c r="L222" s="168"/>
      <c r="M222" s="168"/>
      <c r="N222" s="168"/>
      <c r="O222" s="168"/>
      <c r="P222" s="168"/>
      <c r="Q222" s="168"/>
      <c r="R222" s="168"/>
      <c r="S222" s="168"/>
      <c r="T222" s="168"/>
      <c r="U222" s="168"/>
    </row>
    <row r="223" spans="1:21" ht="42.75" customHeight="1">
      <c r="A223" s="168"/>
      <c r="B223" s="168"/>
      <c r="C223" s="168"/>
      <c r="D223" s="168"/>
      <c r="E223" s="168"/>
      <c r="F223" s="168"/>
      <c r="G223" s="168"/>
      <c r="H223" s="168"/>
      <c r="I223" s="168"/>
      <c r="J223" s="168"/>
      <c r="K223" s="168"/>
      <c r="L223" s="168"/>
      <c r="M223" s="168"/>
      <c r="N223" s="168"/>
      <c r="O223" s="168"/>
      <c r="P223" s="168"/>
      <c r="Q223" s="168"/>
      <c r="R223" s="168"/>
      <c r="S223" s="168"/>
      <c r="T223" s="168"/>
      <c r="U223" s="168"/>
    </row>
    <row r="224" spans="1:21" ht="42.75" customHeight="1">
      <c r="A224" s="168"/>
      <c r="B224" s="168"/>
      <c r="C224" s="168"/>
      <c r="D224" s="168"/>
      <c r="E224" s="168"/>
      <c r="F224" s="168"/>
      <c r="G224" s="168"/>
      <c r="H224" s="168"/>
      <c r="I224" s="168"/>
      <c r="J224" s="168"/>
      <c r="K224" s="168"/>
      <c r="L224" s="168"/>
      <c r="M224" s="168"/>
      <c r="N224" s="168"/>
      <c r="O224" s="168"/>
      <c r="P224" s="168"/>
      <c r="Q224" s="168"/>
      <c r="R224" s="168"/>
      <c r="S224" s="168"/>
      <c r="T224" s="168"/>
      <c r="U224" s="168"/>
    </row>
    <row r="225" spans="1:21" ht="42.75" customHeight="1">
      <c r="A225" s="168"/>
      <c r="B225" s="168"/>
      <c r="C225" s="168"/>
      <c r="D225" s="168"/>
      <c r="E225" s="168"/>
      <c r="F225" s="168"/>
      <c r="G225" s="168"/>
      <c r="H225" s="168"/>
      <c r="I225" s="168"/>
      <c r="J225" s="168"/>
      <c r="K225" s="168"/>
      <c r="L225" s="168"/>
      <c r="M225" s="168"/>
      <c r="N225" s="168"/>
      <c r="O225" s="168"/>
      <c r="P225" s="168"/>
      <c r="Q225" s="168"/>
      <c r="R225" s="168"/>
      <c r="S225" s="168"/>
      <c r="T225" s="168"/>
      <c r="U225" s="168"/>
    </row>
    <row r="226" spans="1:21" ht="42.75" customHeight="1">
      <c r="A226" s="168"/>
      <c r="B226" s="168"/>
      <c r="C226" s="168"/>
      <c r="D226" s="168"/>
      <c r="E226" s="168"/>
      <c r="F226" s="168"/>
      <c r="G226" s="168"/>
      <c r="H226" s="168"/>
      <c r="I226" s="168"/>
      <c r="J226" s="168"/>
      <c r="K226" s="168"/>
      <c r="L226" s="168"/>
      <c r="M226" s="168"/>
      <c r="N226" s="168"/>
      <c r="O226" s="168"/>
      <c r="P226" s="168"/>
      <c r="Q226" s="168"/>
      <c r="R226" s="168"/>
      <c r="S226" s="168"/>
      <c r="T226" s="168"/>
      <c r="U226" s="168"/>
    </row>
    <row r="227" spans="1:21" ht="42.75" customHeight="1">
      <c r="A227" s="168"/>
      <c r="B227" s="168"/>
      <c r="C227" s="168"/>
      <c r="D227" s="168"/>
      <c r="E227" s="168"/>
      <c r="F227" s="168"/>
      <c r="G227" s="168"/>
      <c r="H227" s="168"/>
      <c r="I227" s="168"/>
      <c r="J227" s="168"/>
      <c r="K227" s="168"/>
      <c r="L227" s="168"/>
      <c r="M227" s="168"/>
      <c r="N227" s="168"/>
      <c r="O227" s="168"/>
      <c r="P227" s="168"/>
      <c r="Q227" s="168"/>
      <c r="R227" s="168"/>
      <c r="S227" s="168"/>
      <c r="T227" s="168"/>
      <c r="U227" s="168"/>
    </row>
    <row r="228" spans="1:21" ht="42.75" customHeight="1">
      <c r="A228" s="168"/>
      <c r="B228" s="168"/>
      <c r="C228" s="168"/>
      <c r="D228" s="168"/>
      <c r="E228" s="168"/>
      <c r="F228" s="168"/>
      <c r="G228" s="168"/>
      <c r="H228" s="168"/>
      <c r="I228" s="168"/>
      <c r="J228" s="168"/>
      <c r="K228" s="168"/>
      <c r="L228" s="168"/>
      <c r="M228" s="168"/>
      <c r="N228" s="168"/>
      <c r="O228" s="168"/>
      <c r="P228" s="168"/>
      <c r="Q228" s="168"/>
      <c r="R228" s="168"/>
      <c r="S228" s="168"/>
      <c r="T228" s="168"/>
      <c r="U228" s="168"/>
    </row>
    <row r="229" spans="1:21" ht="42.75" customHeight="1">
      <c r="A229" s="168"/>
      <c r="B229" s="168"/>
      <c r="C229" s="168"/>
      <c r="D229" s="168"/>
      <c r="E229" s="168"/>
      <c r="F229" s="168"/>
      <c r="G229" s="168"/>
      <c r="H229" s="168"/>
      <c r="I229" s="168"/>
      <c r="J229" s="168"/>
      <c r="K229" s="168"/>
      <c r="L229" s="168"/>
      <c r="M229" s="168"/>
      <c r="N229" s="168"/>
      <c r="O229" s="168"/>
      <c r="P229" s="168"/>
      <c r="Q229" s="168"/>
      <c r="R229" s="168"/>
      <c r="S229" s="168"/>
      <c r="T229" s="168"/>
      <c r="U229" s="168"/>
    </row>
    <row r="230" spans="1:21" ht="42.75" customHeight="1">
      <c r="A230" s="168"/>
      <c r="B230" s="168"/>
      <c r="C230" s="168"/>
      <c r="D230" s="168"/>
      <c r="E230" s="168"/>
      <c r="F230" s="168"/>
      <c r="G230" s="168"/>
      <c r="H230" s="168"/>
      <c r="I230" s="168"/>
      <c r="J230" s="168"/>
      <c r="K230" s="168"/>
      <c r="L230" s="168"/>
      <c r="M230" s="168"/>
      <c r="N230" s="168"/>
      <c r="O230" s="168"/>
      <c r="P230" s="168"/>
      <c r="Q230" s="168"/>
      <c r="R230" s="168"/>
      <c r="S230" s="168"/>
      <c r="T230" s="168"/>
      <c r="U230" s="168"/>
    </row>
    <row r="231" spans="1:21" ht="42.75" customHeight="1">
      <c r="A231" s="168"/>
      <c r="B231" s="168"/>
      <c r="C231" s="168"/>
      <c r="D231" s="168"/>
      <c r="E231" s="168"/>
      <c r="F231" s="168"/>
      <c r="G231" s="168"/>
      <c r="H231" s="168"/>
      <c r="I231" s="168"/>
      <c r="J231" s="168"/>
      <c r="K231" s="168"/>
      <c r="L231" s="168"/>
      <c r="M231" s="168"/>
      <c r="N231" s="168"/>
      <c r="O231" s="168"/>
      <c r="P231" s="168"/>
      <c r="Q231" s="168"/>
      <c r="R231" s="168"/>
      <c r="S231" s="168"/>
      <c r="T231" s="168"/>
      <c r="U231" s="168"/>
    </row>
    <row r="232" spans="1:21" ht="42.75" customHeight="1">
      <c r="A232" s="168"/>
      <c r="B232" s="168"/>
      <c r="C232" s="168"/>
      <c r="D232" s="168"/>
      <c r="E232" s="168"/>
      <c r="F232" s="168"/>
      <c r="G232" s="168"/>
      <c r="H232" s="168"/>
      <c r="I232" s="168"/>
      <c r="J232" s="168"/>
      <c r="K232" s="168"/>
      <c r="L232" s="168"/>
      <c r="M232" s="168"/>
      <c r="N232" s="168"/>
      <c r="O232" s="168"/>
      <c r="P232" s="168"/>
      <c r="Q232" s="168"/>
      <c r="R232" s="168"/>
      <c r="S232" s="168"/>
      <c r="T232" s="168"/>
      <c r="U232" s="168"/>
    </row>
    <row r="233" spans="1:21" ht="42.75" customHeight="1">
      <c r="A233" s="168"/>
      <c r="B233" s="168"/>
      <c r="C233" s="168"/>
      <c r="D233" s="168"/>
      <c r="E233" s="168"/>
      <c r="F233" s="168"/>
      <c r="G233" s="168"/>
      <c r="H233" s="168"/>
      <c r="I233" s="168"/>
      <c r="J233" s="168"/>
      <c r="K233" s="168"/>
      <c r="L233" s="168"/>
      <c r="M233" s="168"/>
      <c r="N233" s="168"/>
      <c r="O233" s="168"/>
      <c r="P233" s="168"/>
      <c r="Q233" s="168"/>
      <c r="R233" s="168"/>
      <c r="S233" s="168"/>
      <c r="T233" s="168"/>
      <c r="U233" s="168"/>
    </row>
    <row r="234" spans="1:21" ht="42.75" customHeight="1">
      <c r="A234" s="168"/>
      <c r="B234" s="168"/>
      <c r="C234" s="168"/>
      <c r="D234" s="168"/>
      <c r="E234" s="168"/>
      <c r="F234" s="168"/>
      <c r="G234" s="168"/>
      <c r="H234" s="168"/>
      <c r="I234" s="168"/>
      <c r="J234" s="168"/>
      <c r="K234" s="168"/>
      <c r="L234" s="168"/>
      <c r="M234" s="168"/>
      <c r="N234" s="168"/>
      <c r="O234" s="168"/>
      <c r="P234" s="168"/>
      <c r="Q234" s="168"/>
      <c r="R234" s="168"/>
      <c r="S234" s="168"/>
      <c r="T234" s="168"/>
      <c r="U234" s="168"/>
    </row>
    <row r="235" spans="1:21" ht="42.75" customHeight="1">
      <c r="A235" s="168"/>
      <c r="B235" s="168"/>
      <c r="C235" s="168"/>
      <c r="D235" s="168"/>
      <c r="E235" s="168"/>
      <c r="F235" s="168"/>
      <c r="G235" s="168"/>
      <c r="H235" s="168"/>
      <c r="I235" s="168"/>
      <c r="J235" s="168"/>
      <c r="K235" s="168"/>
      <c r="L235" s="168"/>
      <c r="M235" s="168"/>
      <c r="N235" s="168"/>
      <c r="O235" s="168"/>
      <c r="P235" s="168"/>
      <c r="Q235" s="168"/>
      <c r="R235" s="168"/>
      <c r="S235" s="168"/>
      <c r="T235" s="168"/>
      <c r="U235" s="168"/>
    </row>
    <row r="236" spans="1:21" ht="42.75" customHeight="1">
      <c r="A236" s="168"/>
      <c r="B236" s="168"/>
      <c r="C236" s="168"/>
      <c r="D236" s="168"/>
      <c r="E236" s="168"/>
      <c r="F236" s="168"/>
      <c r="G236" s="168"/>
      <c r="H236" s="168"/>
      <c r="I236" s="168"/>
      <c r="J236" s="168"/>
      <c r="K236" s="168"/>
      <c r="L236" s="168"/>
      <c r="M236" s="168"/>
      <c r="N236" s="168"/>
      <c r="O236" s="168"/>
      <c r="P236" s="168"/>
      <c r="Q236" s="168"/>
      <c r="R236" s="168"/>
      <c r="S236" s="168"/>
      <c r="T236" s="168"/>
      <c r="U236" s="168"/>
    </row>
    <row r="237" spans="1:21" ht="42.75" customHeight="1">
      <c r="A237" s="168"/>
      <c r="B237" s="168"/>
      <c r="C237" s="168"/>
      <c r="D237" s="168"/>
      <c r="E237" s="168"/>
      <c r="F237" s="168"/>
      <c r="G237" s="168"/>
      <c r="H237" s="168"/>
      <c r="I237" s="168"/>
      <c r="J237" s="168"/>
      <c r="K237" s="168"/>
      <c r="L237" s="168"/>
      <c r="M237" s="168"/>
      <c r="N237" s="168"/>
      <c r="O237" s="168"/>
      <c r="P237" s="168"/>
      <c r="Q237" s="168"/>
      <c r="R237" s="168"/>
      <c r="S237" s="168"/>
      <c r="T237" s="168"/>
      <c r="U237" s="168"/>
    </row>
    <row r="238" spans="1:21" ht="42.75" customHeight="1">
      <c r="A238" s="168"/>
      <c r="B238" s="168"/>
      <c r="C238" s="168"/>
      <c r="D238" s="168"/>
      <c r="E238" s="168"/>
      <c r="F238" s="168"/>
      <c r="G238" s="168"/>
      <c r="H238" s="168"/>
      <c r="I238" s="168"/>
      <c r="J238" s="168"/>
      <c r="K238" s="168"/>
      <c r="L238" s="168"/>
      <c r="M238" s="168"/>
      <c r="N238" s="168"/>
      <c r="O238" s="168"/>
      <c r="P238" s="168"/>
      <c r="Q238" s="168"/>
      <c r="R238" s="168"/>
      <c r="S238" s="168"/>
      <c r="T238" s="168"/>
      <c r="U238" s="168"/>
    </row>
    <row r="239" spans="1:21" ht="42.75" customHeight="1">
      <c r="A239" s="168"/>
      <c r="B239" s="168"/>
      <c r="C239" s="168"/>
      <c r="D239" s="168"/>
      <c r="E239" s="168"/>
      <c r="F239" s="168"/>
      <c r="G239" s="168"/>
      <c r="H239" s="168"/>
      <c r="I239" s="168"/>
      <c r="J239" s="168"/>
      <c r="K239" s="168"/>
      <c r="L239" s="168"/>
      <c r="M239" s="168"/>
      <c r="N239" s="168"/>
      <c r="O239" s="168"/>
      <c r="P239" s="168"/>
      <c r="Q239" s="168"/>
      <c r="R239" s="168"/>
      <c r="S239" s="168"/>
      <c r="T239" s="168"/>
      <c r="U239" s="168"/>
    </row>
    <row r="240" spans="1:21" ht="42.75" customHeight="1">
      <c r="A240" s="168"/>
      <c r="B240" s="168"/>
      <c r="C240" s="168"/>
      <c r="D240" s="168"/>
      <c r="E240" s="168"/>
      <c r="F240" s="168"/>
      <c r="G240" s="168"/>
      <c r="H240" s="168"/>
      <c r="I240" s="168"/>
      <c r="J240" s="168"/>
      <c r="K240" s="168"/>
      <c r="L240" s="168"/>
      <c r="M240" s="168"/>
      <c r="N240" s="168"/>
      <c r="O240" s="168"/>
      <c r="P240" s="168"/>
      <c r="Q240" s="168"/>
      <c r="R240" s="168"/>
      <c r="S240" s="168"/>
      <c r="T240" s="168"/>
      <c r="U240" s="168"/>
    </row>
    <row r="241" spans="1:21" ht="42.75" customHeight="1">
      <c r="A241" s="168"/>
      <c r="B241" s="168"/>
      <c r="C241" s="168"/>
      <c r="D241" s="168"/>
      <c r="E241" s="168"/>
      <c r="F241" s="168"/>
      <c r="G241" s="168"/>
      <c r="H241" s="168"/>
      <c r="I241" s="168"/>
      <c r="J241" s="168"/>
      <c r="K241" s="168"/>
      <c r="L241" s="168"/>
      <c r="M241" s="168"/>
      <c r="N241" s="168"/>
      <c r="O241" s="168"/>
      <c r="P241" s="168"/>
      <c r="Q241" s="168"/>
      <c r="R241" s="168"/>
      <c r="S241" s="168"/>
      <c r="T241" s="168"/>
      <c r="U241" s="168"/>
    </row>
    <row r="242" spans="1:21" ht="42.75" customHeight="1">
      <c r="A242" s="168"/>
      <c r="B242" s="168"/>
      <c r="C242" s="168"/>
      <c r="D242" s="168"/>
      <c r="E242" s="168"/>
      <c r="F242" s="168"/>
      <c r="G242" s="168"/>
      <c r="H242" s="168"/>
      <c r="I242" s="168"/>
      <c r="J242" s="168"/>
      <c r="K242" s="168"/>
      <c r="L242" s="168"/>
      <c r="M242" s="168"/>
      <c r="N242" s="168"/>
      <c r="O242" s="168"/>
      <c r="P242" s="168"/>
      <c r="Q242" s="168"/>
      <c r="R242" s="168"/>
      <c r="S242" s="168"/>
      <c r="T242" s="168"/>
      <c r="U242" s="168"/>
    </row>
    <row r="243" spans="1:21" ht="42.75" customHeight="1">
      <c r="A243" s="168"/>
      <c r="B243" s="168"/>
      <c r="C243" s="168"/>
      <c r="D243" s="168"/>
      <c r="E243" s="168"/>
      <c r="F243" s="168"/>
      <c r="G243" s="168"/>
      <c r="H243" s="168"/>
      <c r="I243" s="168"/>
      <c r="J243" s="168"/>
      <c r="K243" s="168"/>
      <c r="L243" s="168"/>
      <c r="M243" s="168"/>
      <c r="N243" s="168"/>
      <c r="O243" s="168"/>
      <c r="P243" s="168"/>
      <c r="Q243" s="168"/>
      <c r="R243" s="168"/>
      <c r="S243" s="168"/>
      <c r="T243" s="168"/>
      <c r="U243" s="168"/>
    </row>
    <row r="244" spans="1:21" ht="42.75" customHeight="1">
      <c r="A244" s="168"/>
      <c r="B244" s="168"/>
      <c r="C244" s="168"/>
      <c r="D244" s="168"/>
      <c r="E244" s="168"/>
      <c r="F244" s="168"/>
      <c r="G244" s="168"/>
      <c r="H244" s="168"/>
      <c r="I244" s="168"/>
      <c r="J244" s="168"/>
      <c r="K244" s="168"/>
      <c r="L244" s="168"/>
      <c r="M244" s="168"/>
      <c r="N244" s="168"/>
      <c r="O244" s="168"/>
      <c r="P244" s="168"/>
      <c r="Q244" s="168"/>
      <c r="R244" s="168"/>
      <c r="S244" s="168"/>
      <c r="T244" s="168"/>
      <c r="U244" s="168"/>
    </row>
    <row r="245" spans="1:21" ht="42.75" customHeight="1">
      <c r="A245" s="168"/>
      <c r="B245" s="168"/>
      <c r="C245" s="168"/>
      <c r="D245" s="168"/>
      <c r="E245" s="168"/>
      <c r="F245" s="168"/>
      <c r="G245" s="168"/>
      <c r="H245" s="168"/>
      <c r="I245" s="168"/>
      <c r="J245" s="168"/>
      <c r="K245" s="168"/>
      <c r="L245" s="168"/>
      <c r="M245" s="168"/>
      <c r="N245" s="168"/>
      <c r="O245" s="168"/>
      <c r="P245" s="168"/>
      <c r="Q245" s="168"/>
      <c r="R245" s="168"/>
      <c r="S245" s="168"/>
      <c r="T245" s="168"/>
      <c r="U245" s="168"/>
    </row>
    <row r="246" spans="1:21" ht="42.75" customHeight="1">
      <c r="A246" s="168"/>
      <c r="B246" s="168"/>
      <c r="C246" s="168"/>
      <c r="D246" s="168"/>
      <c r="E246" s="168"/>
      <c r="F246" s="168"/>
      <c r="G246" s="168"/>
      <c r="H246" s="168"/>
      <c r="I246" s="168"/>
      <c r="J246" s="168"/>
      <c r="K246" s="168"/>
      <c r="L246" s="168"/>
      <c r="M246" s="168"/>
      <c r="N246" s="168"/>
      <c r="O246" s="168"/>
      <c r="P246" s="168"/>
      <c r="Q246" s="168"/>
      <c r="R246" s="168"/>
      <c r="S246" s="168"/>
      <c r="T246" s="168"/>
      <c r="U246" s="168"/>
    </row>
    <row r="247" spans="1:21" ht="42.75" customHeight="1">
      <c r="A247" s="168"/>
      <c r="B247" s="168"/>
      <c r="C247" s="168"/>
      <c r="D247" s="168"/>
      <c r="E247" s="168"/>
      <c r="F247" s="168"/>
      <c r="G247" s="168"/>
      <c r="H247" s="168"/>
      <c r="I247" s="168"/>
      <c r="J247" s="168"/>
      <c r="K247" s="168"/>
      <c r="L247" s="168"/>
      <c r="M247" s="168"/>
      <c r="N247" s="168"/>
      <c r="O247" s="168"/>
      <c r="P247" s="168"/>
      <c r="Q247" s="168"/>
      <c r="R247" s="168"/>
      <c r="S247" s="168"/>
      <c r="T247" s="168"/>
      <c r="U247" s="168"/>
    </row>
    <row r="248" spans="1:21" ht="42.75" customHeight="1">
      <c r="A248" s="168"/>
      <c r="B248" s="168"/>
      <c r="C248" s="168"/>
      <c r="D248" s="168"/>
      <c r="E248" s="168"/>
      <c r="F248" s="168"/>
      <c r="G248" s="168"/>
      <c r="H248" s="168"/>
      <c r="I248" s="168"/>
      <c r="J248" s="168"/>
      <c r="K248" s="168"/>
      <c r="L248" s="168"/>
      <c r="M248" s="168"/>
      <c r="N248" s="168"/>
      <c r="O248" s="168"/>
      <c r="P248" s="168"/>
      <c r="Q248" s="168"/>
      <c r="R248" s="168"/>
      <c r="S248" s="168"/>
      <c r="T248" s="168"/>
      <c r="U248" s="168"/>
    </row>
    <row r="249" spans="1:21" ht="42.75" customHeight="1">
      <c r="A249" s="168"/>
      <c r="B249" s="168"/>
      <c r="C249" s="168"/>
      <c r="D249" s="168"/>
      <c r="E249" s="168"/>
      <c r="F249" s="168"/>
      <c r="G249" s="168"/>
      <c r="H249" s="168"/>
      <c r="I249" s="168"/>
      <c r="J249" s="168"/>
      <c r="K249" s="168"/>
      <c r="L249" s="168"/>
      <c r="M249" s="168"/>
      <c r="N249" s="168"/>
      <c r="O249" s="168"/>
      <c r="P249" s="168"/>
      <c r="Q249" s="168"/>
      <c r="R249" s="168"/>
      <c r="S249" s="168"/>
      <c r="T249" s="168"/>
      <c r="U249" s="168"/>
    </row>
    <row r="250" spans="1:21" ht="42.75" customHeight="1">
      <c r="A250" s="168"/>
      <c r="B250" s="168"/>
      <c r="C250" s="168"/>
      <c r="D250" s="168"/>
      <c r="E250" s="168"/>
      <c r="F250" s="168"/>
      <c r="G250" s="168"/>
      <c r="H250" s="168"/>
      <c r="I250" s="168"/>
      <c r="J250" s="168"/>
      <c r="K250" s="168"/>
      <c r="L250" s="168"/>
      <c r="M250" s="168"/>
      <c r="N250" s="168"/>
      <c r="O250" s="168"/>
      <c r="P250" s="168"/>
      <c r="Q250" s="168"/>
      <c r="R250" s="168"/>
      <c r="S250" s="168"/>
      <c r="T250" s="168"/>
      <c r="U250" s="168"/>
    </row>
    <row r="251" spans="1:21" ht="42.75" customHeight="1">
      <c r="A251" s="168"/>
      <c r="B251" s="168"/>
      <c r="C251" s="168"/>
      <c r="D251" s="168"/>
      <c r="E251" s="168"/>
      <c r="F251" s="168"/>
      <c r="G251" s="168"/>
      <c r="H251" s="168"/>
      <c r="I251" s="168"/>
      <c r="J251" s="168"/>
      <c r="K251" s="168"/>
      <c r="L251" s="168"/>
      <c r="M251" s="168"/>
      <c r="N251" s="168"/>
      <c r="O251" s="168"/>
      <c r="P251" s="168"/>
      <c r="Q251" s="168"/>
      <c r="R251" s="168"/>
      <c r="S251" s="168"/>
      <c r="T251" s="168"/>
      <c r="U251" s="168"/>
    </row>
    <row r="252" spans="1:21" ht="42.75" customHeight="1">
      <c r="A252" s="168"/>
      <c r="B252" s="168"/>
      <c r="C252" s="168"/>
      <c r="D252" s="168"/>
      <c r="E252" s="168"/>
      <c r="F252" s="168"/>
      <c r="G252" s="168"/>
      <c r="H252" s="168"/>
      <c r="I252" s="168"/>
      <c r="J252" s="168"/>
      <c r="K252" s="168"/>
      <c r="L252" s="168"/>
      <c r="M252" s="168"/>
      <c r="N252" s="168"/>
      <c r="O252" s="168"/>
      <c r="P252" s="168"/>
      <c r="Q252" s="168"/>
      <c r="R252" s="168"/>
      <c r="S252" s="168"/>
      <c r="T252" s="168"/>
      <c r="U252" s="168"/>
    </row>
    <row r="253" spans="1:21" ht="42.75" customHeight="1">
      <c r="A253" s="168"/>
      <c r="B253" s="168"/>
      <c r="C253" s="168"/>
      <c r="D253" s="168"/>
      <c r="E253" s="168"/>
      <c r="F253" s="168"/>
      <c r="G253" s="168"/>
      <c r="H253" s="168"/>
      <c r="I253" s="168"/>
      <c r="J253" s="168"/>
      <c r="K253" s="168"/>
      <c r="L253" s="168"/>
      <c r="M253" s="168"/>
      <c r="N253" s="168"/>
      <c r="O253" s="168"/>
      <c r="P253" s="168"/>
      <c r="Q253" s="168"/>
      <c r="R253" s="168"/>
      <c r="S253" s="168"/>
      <c r="T253" s="168"/>
      <c r="U253" s="168"/>
    </row>
    <row r="254" spans="1:21" ht="42.75" customHeight="1">
      <c r="A254" s="168"/>
      <c r="B254" s="168"/>
      <c r="C254" s="168"/>
      <c r="D254" s="168"/>
      <c r="E254" s="168"/>
      <c r="F254" s="168"/>
      <c r="G254" s="168"/>
      <c r="H254" s="168"/>
      <c r="I254" s="168"/>
      <c r="J254" s="168"/>
      <c r="K254" s="168"/>
      <c r="L254" s="168"/>
      <c r="M254" s="168"/>
      <c r="N254" s="168"/>
      <c r="O254" s="168"/>
      <c r="P254" s="168"/>
      <c r="Q254" s="168"/>
      <c r="R254" s="168"/>
      <c r="S254" s="168"/>
      <c r="T254" s="168"/>
      <c r="U254" s="168"/>
    </row>
    <row r="255" spans="1:21" ht="42.75" customHeight="1">
      <c r="A255" s="168"/>
      <c r="B255" s="168"/>
      <c r="C255" s="168"/>
      <c r="D255" s="168"/>
      <c r="E255" s="168"/>
      <c r="F255" s="168"/>
      <c r="G255" s="168"/>
      <c r="H255" s="168"/>
      <c r="I255" s="168"/>
      <c r="J255" s="168"/>
      <c r="K255" s="168"/>
      <c r="L255" s="168"/>
      <c r="M255" s="168"/>
      <c r="N255" s="168"/>
      <c r="O255" s="168"/>
      <c r="P255" s="168"/>
      <c r="Q255" s="168"/>
      <c r="R255" s="168"/>
      <c r="S255" s="168"/>
      <c r="T255" s="168"/>
      <c r="U255" s="168"/>
    </row>
    <row r="256" spans="1:21" ht="42.75" customHeight="1">
      <c r="A256" s="168"/>
      <c r="B256" s="168"/>
      <c r="C256" s="168"/>
      <c r="D256" s="168"/>
      <c r="E256" s="168"/>
      <c r="F256" s="168"/>
      <c r="G256" s="168"/>
      <c r="H256" s="168"/>
      <c r="I256" s="168"/>
      <c r="J256" s="168"/>
      <c r="K256" s="168"/>
      <c r="L256" s="168"/>
      <c r="M256" s="168"/>
      <c r="N256" s="168"/>
      <c r="O256" s="168"/>
      <c r="P256" s="168"/>
      <c r="Q256" s="168"/>
      <c r="R256" s="168"/>
      <c r="S256" s="168"/>
      <c r="T256" s="168"/>
      <c r="U256" s="168"/>
    </row>
    <row r="257" spans="1:21" ht="42.75" customHeight="1">
      <c r="A257" s="168"/>
      <c r="B257" s="168"/>
      <c r="C257" s="168"/>
      <c r="D257" s="168"/>
      <c r="E257" s="168"/>
      <c r="F257" s="168"/>
      <c r="G257" s="168"/>
      <c r="H257" s="168"/>
      <c r="I257" s="168"/>
      <c r="J257" s="168"/>
      <c r="K257" s="168"/>
      <c r="L257" s="168"/>
      <c r="M257" s="168"/>
      <c r="N257" s="168"/>
      <c r="O257" s="168"/>
      <c r="P257" s="168"/>
      <c r="Q257" s="168"/>
      <c r="R257" s="168"/>
      <c r="S257" s="168"/>
      <c r="T257" s="168"/>
      <c r="U257" s="168"/>
    </row>
    <row r="258" spans="1:21" ht="42.75" customHeight="1">
      <c r="A258" s="168"/>
      <c r="B258" s="168"/>
      <c r="C258" s="168"/>
      <c r="D258" s="168"/>
      <c r="E258" s="168"/>
      <c r="F258" s="168"/>
      <c r="G258" s="168"/>
      <c r="H258" s="168"/>
      <c r="I258" s="168"/>
      <c r="J258" s="168"/>
      <c r="K258" s="168"/>
      <c r="L258" s="168"/>
      <c r="M258" s="168"/>
      <c r="N258" s="168"/>
      <c r="O258" s="168"/>
      <c r="P258" s="168"/>
      <c r="Q258" s="168"/>
      <c r="R258" s="168"/>
      <c r="S258" s="168"/>
      <c r="T258" s="168"/>
      <c r="U258" s="168"/>
    </row>
    <row r="259" spans="1:21" ht="42.75" customHeight="1">
      <c r="A259" s="168"/>
      <c r="B259" s="168"/>
      <c r="C259" s="168"/>
      <c r="D259" s="168"/>
      <c r="E259" s="168"/>
      <c r="F259" s="168"/>
      <c r="G259" s="168"/>
      <c r="H259" s="168"/>
      <c r="I259" s="168"/>
      <c r="J259" s="168"/>
      <c r="K259" s="168"/>
      <c r="L259" s="168"/>
      <c r="M259" s="168"/>
      <c r="N259" s="168"/>
      <c r="O259" s="168"/>
      <c r="P259" s="168"/>
      <c r="Q259" s="168"/>
      <c r="R259" s="168"/>
      <c r="S259" s="168"/>
      <c r="T259" s="168"/>
      <c r="U259" s="168"/>
    </row>
    <row r="260" spans="1:21" ht="42.75" customHeight="1">
      <c r="A260" s="168"/>
      <c r="B260" s="168"/>
      <c r="C260" s="168"/>
      <c r="D260" s="168"/>
      <c r="E260" s="168"/>
      <c r="F260" s="168"/>
      <c r="G260" s="168"/>
      <c r="H260" s="168"/>
      <c r="I260" s="168"/>
      <c r="J260" s="168"/>
      <c r="K260" s="168"/>
      <c r="L260" s="168"/>
      <c r="M260" s="168"/>
      <c r="N260" s="168"/>
      <c r="O260" s="168"/>
      <c r="P260" s="168"/>
      <c r="Q260" s="168"/>
      <c r="R260" s="168"/>
      <c r="S260" s="168"/>
      <c r="T260" s="168"/>
      <c r="U260" s="168"/>
    </row>
    <row r="261" spans="1:21" ht="42.75" customHeight="1">
      <c r="A261" s="168"/>
      <c r="B261" s="168"/>
      <c r="C261" s="168"/>
      <c r="D261" s="168"/>
      <c r="E261" s="168"/>
      <c r="F261" s="168"/>
      <c r="G261" s="168"/>
      <c r="H261" s="168"/>
      <c r="I261" s="168"/>
      <c r="J261" s="168"/>
      <c r="K261" s="168"/>
      <c r="L261" s="168"/>
      <c r="M261" s="168"/>
      <c r="N261" s="168"/>
      <c r="O261" s="168"/>
      <c r="P261" s="168"/>
      <c r="Q261" s="168"/>
      <c r="R261" s="168"/>
      <c r="S261" s="168"/>
      <c r="T261" s="168"/>
      <c r="U261" s="168"/>
    </row>
    <row r="262" spans="1:21" ht="42.75" customHeight="1">
      <c r="A262" s="168"/>
      <c r="B262" s="168"/>
      <c r="C262" s="168"/>
      <c r="D262" s="168"/>
      <c r="E262" s="168"/>
      <c r="F262" s="168"/>
      <c r="G262" s="168"/>
      <c r="H262" s="168"/>
      <c r="I262" s="168"/>
      <c r="J262" s="168"/>
      <c r="K262" s="168"/>
      <c r="L262" s="168"/>
      <c r="M262" s="168"/>
      <c r="N262" s="168"/>
      <c r="O262" s="168"/>
      <c r="P262" s="168"/>
      <c r="Q262" s="168"/>
      <c r="R262" s="168"/>
      <c r="S262" s="168"/>
      <c r="T262" s="168"/>
      <c r="U262" s="168"/>
    </row>
    <row r="263" spans="1:21" ht="42.75" customHeight="1">
      <c r="A263" s="168"/>
      <c r="B263" s="168"/>
      <c r="C263" s="168"/>
      <c r="D263" s="168"/>
      <c r="E263" s="168"/>
      <c r="F263" s="168"/>
      <c r="G263" s="168"/>
      <c r="H263" s="168"/>
      <c r="I263" s="168"/>
      <c r="J263" s="168"/>
      <c r="K263" s="168"/>
      <c r="L263" s="168"/>
      <c r="M263" s="168"/>
      <c r="N263" s="168"/>
      <c r="O263" s="168"/>
      <c r="P263" s="168"/>
      <c r="Q263" s="168"/>
      <c r="R263" s="168"/>
      <c r="S263" s="168"/>
      <c r="T263" s="168"/>
      <c r="U263" s="168"/>
    </row>
    <row r="264" spans="1:21" ht="42.75" customHeight="1">
      <c r="A264" s="168"/>
      <c r="B264" s="168"/>
      <c r="C264" s="168"/>
      <c r="D264" s="168"/>
      <c r="E264" s="168"/>
      <c r="F264" s="168"/>
      <c r="G264" s="168"/>
      <c r="H264" s="168"/>
      <c r="I264" s="168"/>
      <c r="J264" s="168"/>
      <c r="K264" s="168"/>
      <c r="L264" s="168"/>
      <c r="M264" s="168"/>
      <c r="N264" s="168"/>
      <c r="O264" s="168"/>
      <c r="P264" s="168"/>
      <c r="Q264" s="168"/>
      <c r="R264" s="168"/>
      <c r="S264" s="168"/>
      <c r="T264" s="168"/>
      <c r="U264" s="168"/>
    </row>
    <row r="265" spans="1:21" ht="42.75" customHeight="1">
      <c r="A265" s="168"/>
      <c r="B265" s="168"/>
      <c r="C265" s="168"/>
      <c r="D265" s="168"/>
      <c r="E265" s="168"/>
      <c r="F265" s="168"/>
      <c r="G265" s="168"/>
      <c r="H265" s="168"/>
      <c r="I265" s="168"/>
      <c r="J265" s="168"/>
      <c r="K265" s="168"/>
      <c r="L265" s="168"/>
      <c r="M265" s="168"/>
      <c r="N265" s="168"/>
      <c r="O265" s="168"/>
      <c r="P265" s="168"/>
      <c r="Q265" s="168"/>
      <c r="R265" s="168"/>
      <c r="S265" s="168"/>
      <c r="T265" s="168"/>
      <c r="U265" s="168"/>
    </row>
    <row r="266" spans="1:21" ht="42.75" customHeight="1">
      <c r="A266" s="168"/>
      <c r="B266" s="168"/>
      <c r="C266" s="168"/>
      <c r="D266" s="168"/>
      <c r="E266" s="168"/>
      <c r="F266" s="168"/>
      <c r="G266" s="168"/>
      <c r="H266" s="168"/>
      <c r="I266" s="168"/>
      <c r="J266" s="168"/>
      <c r="K266" s="168"/>
      <c r="L266" s="168"/>
      <c r="M266" s="168"/>
      <c r="N266" s="168"/>
      <c r="O266" s="168"/>
      <c r="P266" s="168"/>
      <c r="Q266" s="168"/>
      <c r="R266" s="168"/>
      <c r="S266" s="168"/>
      <c r="T266" s="168"/>
      <c r="U266" s="168"/>
    </row>
    <row r="267" spans="1:21" ht="42.75" customHeight="1">
      <c r="A267" s="168"/>
      <c r="B267" s="168"/>
      <c r="C267" s="168"/>
      <c r="D267" s="168"/>
      <c r="E267" s="168"/>
      <c r="F267" s="168"/>
      <c r="G267" s="168"/>
      <c r="H267" s="168"/>
      <c r="I267" s="168"/>
      <c r="J267" s="168"/>
      <c r="K267" s="168"/>
      <c r="L267" s="168"/>
      <c r="M267" s="168"/>
      <c r="N267" s="168"/>
      <c r="O267" s="168"/>
      <c r="P267" s="168"/>
      <c r="Q267" s="168"/>
      <c r="R267" s="168"/>
      <c r="S267" s="168"/>
      <c r="T267" s="168"/>
      <c r="U267" s="168"/>
    </row>
    <row r="268" spans="1:21" ht="42.75" customHeight="1">
      <c r="A268" s="168"/>
      <c r="B268" s="168"/>
      <c r="C268" s="168"/>
      <c r="D268" s="168"/>
      <c r="E268" s="168"/>
      <c r="F268" s="168"/>
      <c r="G268" s="168"/>
      <c r="H268" s="168"/>
      <c r="I268" s="168"/>
      <c r="J268" s="168"/>
      <c r="K268" s="168"/>
      <c r="L268" s="168"/>
      <c r="M268" s="168"/>
      <c r="N268" s="168"/>
      <c r="O268" s="168"/>
      <c r="P268" s="168"/>
      <c r="Q268" s="168"/>
      <c r="R268" s="168"/>
      <c r="S268" s="168"/>
      <c r="T268" s="168"/>
      <c r="U268" s="168"/>
    </row>
    <row r="269" spans="1:21" ht="42.75" customHeight="1">
      <c r="A269" s="168"/>
      <c r="B269" s="168"/>
      <c r="C269" s="168"/>
      <c r="D269" s="168"/>
      <c r="E269" s="168"/>
      <c r="F269" s="168"/>
      <c r="G269" s="168"/>
      <c r="H269" s="168"/>
      <c r="I269" s="168"/>
      <c r="J269" s="168"/>
      <c r="K269" s="168"/>
      <c r="L269" s="168"/>
      <c r="M269" s="168"/>
      <c r="N269" s="168"/>
      <c r="O269" s="168"/>
      <c r="P269" s="168"/>
      <c r="Q269" s="168"/>
      <c r="R269" s="168"/>
      <c r="S269" s="168"/>
      <c r="T269" s="168"/>
      <c r="U269" s="168"/>
    </row>
    <row r="270" spans="1:21" ht="42.75" customHeight="1">
      <c r="A270" s="168"/>
      <c r="B270" s="168"/>
      <c r="C270" s="168"/>
      <c r="D270" s="168"/>
      <c r="E270" s="168"/>
      <c r="F270" s="168"/>
      <c r="G270" s="168"/>
      <c r="H270" s="168"/>
      <c r="I270" s="168"/>
      <c r="J270" s="168"/>
      <c r="K270" s="168"/>
      <c r="L270" s="168"/>
      <c r="M270" s="168"/>
      <c r="N270" s="168"/>
      <c r="O270" s="168"/>
      <c r="P270" s="168"/>
      <c r="Q270" s="168"/>
      <c r="R270" s="168"/>
      <c r="S270" s="168"/>
      <c r="T270" s="168"/>
      <c r="U270" s="168"/>
    </row>
    <row r="271" spans="1:21" ht="42.75" customHeight="1">
      <c r="A271" s="168"/>
      <c r="B271" s="168"/>
      <c r="C271" s="168"/>
      <c r="D271" s="168"/>
      <c r="E271" s="168"/>
      <c r="F271" s="168"/>
      <c r="G271" s="168"/>
      <c r="H271" s="168"/>
      <c r="I271" s="168"/>
      <c r="J271" s="168"/>
      <c r="K271" s="168"/>
      <c r="L271" s="168"/>
      <c r="M271" s="168"/>
      <c r="N271" s="168"/>
      <c r="O271" s="168"/>
      <c r="P271" s="168"/>
      <c r="Q271" s="168"/>
      <c r="R271" s="168"/>
      <c r="S271" s="168"/>
      <c r="T271" s="168"/>
      <c r="U271" s="168"/>
    </row>
    <row r="272" spans="1:21" ht="42.75" customHeight="1">
      <c r="A272" s="168"/>
      <c r="B272" s="168"/>
      <c r="C272" s="168"/>
      <c r="D272" s="168"/>
      <c r="E272" s="168"/>
      <c r="F272" s="168"/>
      <c r="G272" s="168"/>
      <c r="H272" s="168"/>
      <c r="I272" s="168"/>
      <c r="J272" s="168"/>
      <c r="K272" s="168"/>
      <c r="L272" s="168"/>
      <c r="M272" s="168"/>
      <c r="N272" s="168"/>
      <c r="O272" s="168"/>
      <c r="P272" s="168"/>
      <c r="Q272" s="168"/>
      <c r="R272" s="168"/>
      <c r="S272" s="168"/>
      <c r="T272" s="168"/>
      <c r="U272" s="168"/>
    </row>
    <row r="273" spans="1:21" ht="42.75" customHeight="1">
      <c r="A273" s="168"/>
      <c r="B273" s="168"/>
      <c r="C273" s="168"/>
      <c r="D273" s="168"/>
      <c r="E273" s="168"/>
      <c r="F273" s="168"/>
      <c r="G273" s="168"/>
      <c r="H273" s="168"/>
      <c r="I273" s="168"/>
      <c r="J273" s="168"/>
      <c r="K273" s="168"/>
      <c r="L273" s="168"/>
      <c r="M273" s="168"/>
      <c r="N273" s="168"/>
      <c r="O273" s="168"/>
      <c r="P273" s="168"/>
      <c r="Q273" s="168"/>
      <c r="R273" s="168"/>
      <c r="S273" s="168"/>
      <c r="T273" s="168"/>
      <c r="U273" s="168"/>
    </row>
    <row r="274" spans="1:21" ht="42.75" customHeight="1">
      <c r="A274" s="168"/>
      <c r="B274" s="168"/>
      <c r="C274" s="168"/>
      <c r="D274" s="168"/>
      <c r="E274" s="168"/>
      <c r="F274" s="168"/>
      <c r="G274" s="168"/>
      <c r="H274" s="168"/>
      <c r="I274" s="168"/>
      <c r="J274" s="168"/>
      <c r="K274" s="168"/>
      <c r="L274" s="168"/>
      <c r="M274" s="168"/>
      <c r="N274" s="168"/>
      <c r="O274" s="168"/>
      <c r="P274" s="168"/>
      <c r="Q274" s="168"/>
      <c r="R274" s="168"/>
      <c r="S274" s="168"/>
      <c r="T274" s="168"/>
      <c r="U274" s="168"/>
    </row>
    <row r="275" spans="1:21" ht="42.75" customHeight="1">
      <c r="A275" s="168"/>
      <c r="B275" s="168"/>
      <c r="C275" s="168"/>
      <c r="D275" s="168"/>
      <c r="E275" s="168"/>
      <c r="F275" s="168"/>
      <c r="G275" s="168"/>
      <c r="H275" s="168"/>
      <c r="I275" s="168"/>
      <c r="J275" s="168"/>
      <c r="K275" s="168"/>
      <c r="L275" s="168"/>
      <c r="M275" s="168"/>
      <c r="N275" s="168"/>
      <c r="O275" s="168"/>
      <c r="P275" s="168"/>
      <c r="Q275" s="168"/>
      <c r="R275" s="168"/>
      <c r="S275" s="168"/>
      <c r="T275" s="168"/>
      <c r="U275" s="168"/>
    </row>
    <row r="276" spans="1:21" ht="42.75" customHeight="1">
      <c r="A276" s="168"/>
      <c r="B276" s="168"/>
      <c r="C276" s="168"/>
      <c r="D276" s="168"/>
      <c r="E276" s="168"/>
      <c r="F276" s="168"/>
      <c r="G276" s="168"/>
      <c r="H276" s="168"/>
      <c r="I276" s="168"/>
      <c r="J276" s="168"/>
      <c r="K276" s="168"/>
      <c r="L276" s="168"/>
      <c r="M276" s="168"/>
      <c r="N276" s="168"/>
      <c r="O276" s="168"/>
      <c r="P276" s="168"/>
      <c r="Q276" s="168"/>
      <c r="R276" s="168"/>
      <c r="S276" s="168"/>
      <c r="T276" s="168"/>
      <c r="U276" s="168"/>
    </row>
    <row r="277" spans="1:21" ht="42.75" customHeight="1">
      <c r="A277" s="168"/>
      <c r="B277" s="168"/>
      <c r="C277" s="168"/>
      <c r="D277" s="168"/>
      <c r="E277" s="168"/>
      <c r="F277" s="168"/>
      <c r="G277" s="168"/>
      <c r="H277" s="168"/>
      <c r="I277" s="168"/>
      <c r="J277" s="168"/>
      <c r="K277" s="168"/>
      <c r="L277" s="168"/>
      <c r="M277" s="168"/>
      <c r="N277" s="168"/>
      <c r="O277" s="168"/>
      <c r="P277" s="168"/>
      <c r="Q277" s="168"/>
      <c r="R277" s="168"/>
      <c r="S277" s="168"/>
      <c r="T277" s="168"/>
      <c r="U277" s="168"/>
    </row>
    <row r="278" spans="1:21" ht="42.75" customHeight="1">
      <c r="A278" s="168"/>
      <c r="B278" s="168"/>
      <c r="C278" s="168"/>
      <c r="D278" s="168"/>
      <c r="E278" s="168"/>
      <c r="F278" s="168"/>
      <c r="G278" s="168"/>
      <c r="H278" s="168"/>
      <c r="I278" s="168"/>
      <c r="J278" s="168"/>
      <c r="K278" s="168"/>
      <c r="L278" s="168"/>
      <c r="M278" s="168"/>
      <c r="N278" s="168"/>
      <c r="O278" s="168"/>
      <c r="P278" s="168"/>
      <c r="Q278" s="168"/>
      <c r="R278" s="168"/>
      <c r="S278" s="168"/>
      <c r="T278" s="168"/>
      <c r="U278" s="168"/>
    </row>
    <row r="279" spans="1:21" ht="42.75" customHeight="1">
      <c r="A279" s="168"/>
      <c r="B279" s="168"/>
      <c r="C279" s="168"/>
      <c r="D279" s="168"/>
      <c r="E279" s="168"/>
      <c r="F279" s="168"/>
      <c r="G279" s="168"/>
      <c r="H279" s="168"/>
      <c r="I279" s="168"/>
      <c r="J279" s="168"/>
      <c r="K279" s="168"/>
      <c r="L279" s="168"/>
      <c r="M279" s="168"/>
      <c r="N279" s="168"/>
      <c r="O279" s="168"/>
      <c r="P279" s="168"/>
      <c r="Q279" s="168"/>
      <c r="R279" s="168"/>
      <c r="S279" s="168"/>
      <c r="T279" s="168"/>
      <c r="U279" s="168"/>
    </row>
    <row r="280" spans="1:21" ht="42.75" customHeight="1">
      <c r="A280" s="168"/>
      <c r="B280" s="168"/>
      <c r="C280" s="168"/>
      <c r="D280" s="168"/>
      <c r="E280" s="168"/>
      <c r="F280" s="168"/>
      <c r="G280" s="168"/>
      <c r="H280" s="168"/>
      <c r="I280" s="168"/>
      <c r="J280" s="168"/>
      <c r="K280" s="168"/>
      <c r="L280" s="168"/>
      <c r="M280" s="168"/>
      <c r="N280" s="168"/>
      <c r="O280" s="168"/>
      <c r="P280" s="168"/>
      <c r="Q280" s="168"/>
      <c r="R280" s="168"/>
      <c r="S280" s="168"/>
      <c r="T280" s="168"/>
      <c r="U280" s="168"/>
    </row>
    <row r="281" spans="1:21" ht="42.75" customHeight="1">
      <c r="A281" s="168"/>
      <c r="B281" s="168"/>
      <c r="C281" s="168"/>
      <c r="D281" s="168"/>
      <c r="E281" s="168"/>
      <c r="F281" s="168"/>
      <c r="G281" s="168"/>
      <c r="H281" s="168"/>
      <c r="I281" s="168"/>
      <c r="J281" s="168"/>
      <c r="K281" s="168"/>
      <c r="L281" s="168"/>
      <c r="M281" s="168"/>
      <c r="N281" s="168"/>
      <c r="O281" s="168"/>
      <c r="P281" s="168"/>
      <c r="Q281" s="168"/>
      <c r="R281" s="168"/>
      <c r="S281" s="168"/>
      <c r="T281" s="168"/>
      <c r="U281" s="168"/>
    </row>
    <row r="282" spans="1:21" ht="42.75" customHeight="1">
      <c r="A282" s="168"/>
      <c r="B282" s="168"/>
      <c r="C282" s="168"/>
      <c r="D282" s="168"/>
      <c r="E282" s="168"/>
      <c r="F282" s="168"/>
      <c r="G282" s="168"/>
      <c r="H282" s="168"/>
      <c r="I282" s="168"/>
      <c r="J282" s="168"/>
      <c r="K282" s="168"/>
      <c r="L282" s="168"/>
      <c r="M282" s="168"/>
      <c r="N282" s="168"/>
      <c r="O282" s="168"/>
      <c r="P282" s="168"/>
      <c r="Q282" s="168"/>
      <c r="R282" s="168"/>
      <c r="S282" s="168"/>
      <c r="T282" s="168"/>
      <c r="U282" s="168"/>
    </row>
    <row r="283" spans="1:21" ht="42.75" customHeight="1">
      <c r="A283" s="168"/>
      <c r="B283" s="168"/>
      <c r="C283" s="168"/>
      <c r="D283" s="168"/>
      <c r="E283" s="168"/>
      <c r="F283" s="168"/>
      <c r="G283" s="168"/>
      <c r="H283" s="168"/>
      <c r="I283" s="168"/>
      <c r="J283" s="168"/>
      <c r="K283" s="168"/>
      <c r="L283" s="168"/>
      <c r="M283" s="168"/>
      <c r="N283" s="168"/>
      <c r="O283" s="168"/>
      <c r="P283" s="168"/>
      <c r="Q283" s="168"/>
      <c r="R283" s="168"/>
      <c r="S283" s="168"/>
      <c r="T283" s="168"/>
      <c r="U283" s="168"/>
    </row>
    <row r="284" spans="1:21" ht="42.75" customHeight="1">
      <c r="A284" s="168"/>
      <c r="B284" s="168"/>
      <c r="C284" s="168"/>
      <c r="D284" s="168"/>
      <c r="E284" s="168"/>
      <c r="F284" s="168"/>
      <c r="G284" s="168"/>
      <c r="H284" s="168"/>
      <c r="I284" s="168"/>
      <c r="J284" s="168"/>
      <c r="K284" s="168"/>
      <c r="L284" s="168"/>
      <c r="M284" s="168"/>
      <c r="N284" s="168"/>
      <c r="O284" s="168"/>
      <c r="P284" s="168"/>
      <c r="Q284" s="168"/>
      <c r="R284" s="168"/>
      <c r="S284" s="168"/>
      <c r="T284" s="168"/>
      <c r="U284" s="168"/>
    </row>
    <row r="285" spans="1:21" ht="42.75" customHeight="1">
      <c r="A285" s="168"/>
      <c r="B285" s="168"/>
      <c r="C285" s="168"/>
      <c r="D285" s="168"/>
      <c r="E285" s="168"/>
      <c r="F285" s="168"/>
      <c r="G285" s="168"/>
      <c r="H285" s="168"/>
      <c r="I285" s="168"/>
      <c r="J285" s="168"/>
      <c r="K285" s="168"/>
      <c r="L285" s="168"/>
      <c r="M285" s="168"/>
      <c r="N285" s="168"/>
      <c r="O285" s="168"/>
      <c r="P285" s="168"/>
      <c r="Q285" s="168"/>
      <c r="R285" s="168"/>
      <c r="S285" s="168"/>
      <c r="T285" s="168"/>
      <c r="U285" s="168"/>
    </row>
    <row r="286" spans="1:21" ht="42.75" customHeight="1">
      <c r="A286" s="168"/>
      <c r="B286" s="168"/>
      <c r="C286" s="168"/>
      <c r="D286" s="168"/>
      <c r="E286" s="168"/>
      <c r="F286" s="168"/>
      <c r="G286" s="168"/>
      <c r="H286" s="168"/>
      <c r="I286" s="168"/>
      <c r="J286" s="168"/>
      <c r="K286" s="168"/>
      <c r="L286" s="168"/>
      <c r="M286" s="168"/>
      <c r="N286" s="168"/>
      <c r="O286" s="168"/>
      <c r="P286" s="168"/>
      <c r="Q286" s="168"/>
      <c r="R286" s="168"/>
      <c r="S286" s="168"/>
      <c r="T286" s="168"/>
      <c r="U286" s="168"/>
    </row>
    <row r="287" spans="1:21" ht="42.75" customHeight="1">
      <c r="A287" s="168"/>
      <c r="B287" s="168"/>
      <c r="C287" s="168"/>
      <c r="D287" s="168"/>
      <c r="E287" s="168"/>
      <c r="F287" s="168"/>
      <c r="G287" s="168"/>
      <c r="H287" s="168"/>
      <c r="I287" s="168"/>
      <c r="J287" s="168"/>
      <c r="K287" s="168"/>
      <c r="L287" s="168"/>
      <c r="M287" s="168"/>
      <c r="N287" s="168"/>
      <c r="O287" s="168"/>
      <c r="P287" s="168"/>
      <c r="Q287" s="168"/>
      <c r="R287" s="168"/>
      <c r="S287" s="168"/>
      <c r="T287" s="168"/>
      <c r="U287" s="168"/>
    </row>
    <row r="288" spans="1:21" ht="42.75" customHeight="1">
      <c r="A288" s="168"/>
      <c r="B288" s="168"/>
      <c r="C288" s="168"/>
      <c r="D288" s="168"/>
      <c r="E288" s="168"/>
      <c r="F288" s="168"/>
      <c r="G288" s="168"/>
      <c r="H288" s="168"/>
      <c r="I288" s="168"/>
      <c r="J288" s="168"/>
      <c r="K288" s="168"/>
      <c r="L288" s="168"/>
      <c r="M288" s="168"/>
      <c r="N288" s="168"/>
      <c r="O288" s="168"/>
      <c r="P288" s="168"/>
      <c r="Q288" s="168"/>
      <c r="R288" s="168"/>
      <c r="S288" s="168"/>
      <c r="T288" s="168"/>
      <c r="U288" s="168"/>
    </row>
    <row r="289" spans="1:21" ht="42.75" customHeight="1">
      <c r="A289" s="168"/>
      <c r="B289" s="168"/>
      <c r="C289" s="168"/>
      <c r="D289" s="168"/>
      <c r="E289" s="168"/>
      <c r="F289" s="168"/>
      <c r="G289" s="168"/>
      <c r="H289" s="168"/>
      <c r="I289" s="168"/>
      <c r="J289" s="168"/>
      <c r="K289" s="168"/>
      <c r="L289" s="168"/>
      <c r="M289" s="168"/>
      <c r="N289" s="168"/>
      <c r="O289" s="168"/>
      <c r="P289" s="168"/>
      <c r="Q289" s="168"/>
      <c r="R289" s="168"/>
      <c r="S289" s="168"/>
      <c r="T289" s="168"/>
      <c r="U289" s="168"/>
    </row>
    <row r="290" spans="1:21" ht="42.75" customHeight="1">
      <c r="A290" s="168"/>
      <c r="B290" s="168"/>
      <c r="C290" s="168"/>
      <c r="D290" s="168"/>
      <c r="E290" s="168"/>
      <c r="F290" s="168"/>
      <c r="G290" s="168"/>
      <c r="H290" s="168"/>
      <c r="I290" s="168"/>
      <c r="J290" s="168"/>
      <c r="K290" s="168"/>
      <c r="L290" s="168"/>
      <c r="M290" s="168"/>
      <c r="N290" s="168"/>
      <c r="O290" s="168"/>
      <c r="P290" s="168"/>
      <c r="Q290" s="168"/>
      <c r="R290" s="168"/>
      <c r="S290" s="168"/>
      <c r="T290" s="168"/>
      <c r="U290" s="168"/>
    </row>
    <row r="291" spans="1:21" ht="42.75" customHeight="1">
      <c r="A291" s="168"/>
      <c r="B291" s="168"/>
      <c r="C291" s="168"/>
      <c r="D291" s="168"/>
      <c r="E291" s="168"/>
      <c r="F291" s="168"/>
      <c r="G291" s="168"/>
      <c r="H291" s="168"/>
      <c r="I291" s="168"/>
      <c r="J291" s="168"/>
      <c r="K291" s="168"/>
      <c r="L291" s="168"/>
      <c r="M291" s="168"/>
      <c r="N291" s="168"/>
      <c r="O291" s="168"/>
      <c r="P291" s="168"/>
      <c r="Q291" s="168"/>
      <c r="R291" s="168"/>
      <c r="S291" s="168"/>
      <c r="T291" s="168"/>
      <c r="U291" s="168"/>
    </row>
    <row r="292" spans="1:21" ht="42.75" customHeight="1">
      <c r="A292" s="168"/>
      <c r="B292" s="168"/>
      <c r="C292" s="168"/>
      <c r="D292" s="168"/>
      <c r="E292" s="168"/>
      <c r="F292" s="168"/>
      <c r="G292" s="168"/>
      <c r="H292" s="168"/>
      <c r="I292" s="168"/>
      <c r="J292" s="168"/>
      <c r="K292" s="168"/>
      <c r="L292" s="168"/>
      <c r="M292" s="168"/>
      <c r="N292" s="168"/>
      <c r="O292" s="168"/>
      <c r="P292" s="168"/>
      <c r="Q292" s="168"/>
      <c r="R292" s="168"/>
      <c r="S292" s="168"/>
      <c r="T292" s="168"/>
      <c r="U292" s="168"/>
    </row>
    <row r="293" spans="1:21" ht="42.75" customHeight="1">
      <c r="A293" s="168"/>
      <c r="B293" s="168"/>
      <c r="C293" s="168"/>
      <c r="D293" s="168"/>
      <c r="E293" s="168"/>
      <c r="F293" s="168"/>
      <c r="G293" s="168"/>
      <c r="H293" s="168"/>
      <c r="I293" s="168"/>
      <c r="J293" s="168"/>
      <c r="K293" s="168"/>
      <c r="L293" s="168"/>
      <c r="M293" s="168"/>
      <c r="N293" s="168"/>
      <c r="O293" s="168"/>
      <c r="P293" s="168"/>
      <c r="Q293" s="168"/>
      <c r="R293" s="168"/>
      <c r="S293" s="168"/>
      <c r="T293" s="168"/>
      <c r="U293" s="168"/>
    </row>
    <row r="294" spans="1:21" ht="42.75" customHeight="1">
      <c r="A294" s="168"/>
      <c r="B294" s="168"/>
      <c r="C294" s="168"/>
      <c r="D294" s="168"/>
      <c r="E294" s="168"/>
      <c r="F294" s="168"/>
      <c r="G294" s="168"/>
      <c r="H294" s="168"/>
      <c r="I294" s="168"/>
      <c r="J294" s="168"/>
      <c r="K294" s="168"/>
      <c r="L294" s="168"/>
      <c r="M294" s="168"/>
      <c r="N294" s="168"/>
      <c r="O294" s="168"/>
      <c r="P294" s="168"/>
      <c r="Q294" s="168"/>
      <c r="R294" s="168"/>
      <c r="S294" s="168"/>
      <c r="T294" s="168"/>
      <c r="U294" s="168"/>
    </row>
    <row r="295" spans="1:21" ht="42.75" customHeight="1">
      <c r="A295" s="168"/>
      <c r="B295" s="168"/>
      <c r="C295" s="168"/>
      <c r="D295" s="168"/>
      <c r="E295" s="168"/>
      <c r="F295" s="168"/>
      <c r="G295" s="168"/>
      <c r="H295" s="168"/>
      <c r="I295" s="168"/>
      <c r="J295" s="168"/>
      <c r="K295" s="168"/>
      <c r="L295" s="168"/>
      <c r="M295" s="168"/>
      <c r="N295" s="168"/>
      <c r="O295" s="168"/>
      <c r="P295" s="168"/>
      <c r="Q295" s="168"/>
      <c r="R295" s="168"/>
      <c r="S295" s="168"/>
      <c r="T295" s="168"/>
      <c r="U295" s="168"/>
    </row>
    <row r="296" spans="1:21" ht="42.75" customHeight="1">
      <c r="A296" s="168"/>
      <c r="B296" s="168"/>
      <c r="C296" s="168"/>
      <c r="D296" s="168"/>
      <c r="E296" s="168"/>
      <c r="F296" s="168"/>
      <c r="G296" s="168"/>
      <c r="H296" s="168"/>
      <c r="I296" s="168"/>
      <c r="J296" s="168"/>
      <c r="K296" s="168"/>
      <c r="L296" s="168"/>
      <c r="M296" s="168"/>
      <c r="N296" s="168"/>
      <c r="O296" s="168"/>
      <c r="P296" s="168"/>
      <c r="Q296" s="168"/>
      <c r="R296" s="168"/>
      <c r="S296" s="168"/>
      <c r="T296" s="168"/>
      <c r="U296" s="168"/>
    </row>
    <row r="297" spans="1:21" ht="42.75" customHeight="1">
      <c r="A297" s="168"/>
      <c r="B297" s="168"/>
      <c r="C297" s="168"/>
      <c r="D297" s="168"/>
      <c r="E297" s="168"/>
      <c r="F297" s="168"/>
      <c r="G297" s="168"/>
      <c r="H297" s="168"/>
      <c r="I297" s="168"/>
      <c r="J297" s="168"/>
      <c r="K297" s="168"/>
      <c r="L297" s="168"/>
      <c r="M297" s="168"/>
      <c r="N297" s="168"/>
      <c r="O297" s="168"/>
      <c r="P297" s="168"/>
      <c r="Q297" s="168"/>
      <c r="R297" s="168"/>
      <c r="S297" s="168"/>
      <c r="T297" s="168"/>
      <c r="U297" s="168"/>
    </row>
    <row r="298" spans="1:21" ht="42.75" customHeight="1">
      <c r="A298" s="168"/>
      <c r="B298" s="168"/>
      <c r="C298" s="168"/>
      <c r="D298" s="168"/>
      <c r="E298" s="168"/>
      <c r="F298" s="168"/>
      <c r="G298" s="168"/>
      <c r="H298" s="168"/>
      <c r="I298" s="168"/>
      <c r="J298" s="168"/>
      <c r="K298" s="168"/>
      <c r="L298" s="168"/>
      <c r="M298" s="168"/>
      <c r="N298" s="168"/>
      <c r="O298" s="168"/>
      <c r="P298" s="168"/>
      <c r="Q298" s="168"/>
      <c r="R298" s="168"/>
      <c r="S298" s="168"/>
      <c r="T298" s="168"/>
      <c r="U298" s="168"/>
    </row>
    <row r="299" spans="1:21" ht="42.75" customHeight="1">
      <c r="A299" s="168"/>
      <c r="B299" s="168"/>
      <c r="C299" s="168"/>
      <c r="D299" s="168"/>
      <c r="E299" s="168"/>
      <c r="F299" s="168"/>
      <c r="G299" s="168"/>
      <c r="H299" s="168"/>
      <c r="I299" s="168"/>
      <c r="J299" s="168"/>
      <c r="K299" s="168"/>
      <c r="L299" s="168"/>
      <c r="M299" s="168"/>
      <c r="N299" s="168"/>
      <c r="O299" s="168"/>
      <c r="P299" s="168"/>
      <c r="Q299" s="168"/>
      <c r="R299" s="168"/>
      <c r="S299" s="168"/>
      <c r="T299" s="168"/>
      <c r="U299" s="168"/>
    </row>
    <row r="300" spans="1:21" ht="42.75" customHeight="1">
      <c r="A300" s="168"/>
      <c r="B300" s="168"/>
      <c r="C300" s="168"/>
      <c r="D300" s="168"/>
      <c r="E300" s="168"/>
      <c r="F300" s="168"/>
      <c r="G300" s="168"/>
      <c r="H300" s="168"/>
      <c r="I300" s="168"/>
      <c r="J300" s="168"/>
      <c r="K300" s="168"/>
      <c r="L300" s="168"/>
      <c r="M300" s="168"/>
      <c r="N300" s="168"/>
      <c r="O300" s="168"/>
      <c r="P300" s="168"/>
      <c r="Q300" s="168"/>
      <c r="R300" s="168"/>
      <c r="S300" s="168"/>
      <c r="T300" s="168"/>
      <c r="U300" s="168"/>
    </row>
    <row r="301" spans="1:21" ht="42.75" customHeight="1">
      <c r="A301" s="168"/>
      <c r="B301" s="168"/>
      <c r="C301" s="168"/>
      <c r="D301" s="168"/>
      <c r="E301" s="168"/>
      <c r="F301" s="168"/>
      <c r="G301" s="168"/>
      <c r="H301" s="168"/>
      <c r="I301" s="168"/>
      <c r="J301" s="168"/>
      <c r="K301" s="168"/>
      <c r="L301" s="168"/>
      <c r="M301" s="168"/>
      <c r="N301" s="168"/>
      <c r="O301" s="168"/>
      <c r="P301" s="168"/>
      <c r="Q301" s="168"/>
      <c r="R301" s="168"/>
      <c r="S301" s="168"/>
      <c r="T301" s="168"/>
      <c r="U301" s="168"/>
    </row>
    <row r="302" spans="1:21" ht="42.75" customHeight="1">
      <c r="A302" s="168"/>
      <c r="B302" s="168"/>
      <c r="C302" s="168"/>
      <c r="D302" s="168"/>
      <c r="E302" s="168"/>
      <c r="F302" s="168"/>
      <c r="G302" s="168"/>
      <c r="H302" s="168"/>
      <c r="I302" s="168"/>
      <c r="J302" s="168"/>
      <c r="K302" s="168"/>
      <c r="L302" s="168"/>
      <c r="M302" s="168"/>
      <c r="N302" s="168"/>
      <c r="O302" s="168"/>
      <c r="P302" s="168"/>
      <c r="Q302" s="168"/>
      <c r="R302" s="168"/>
      <c r="S302" s="168"/>
      <c r="T302" s="168"/>
      <c r="U302" s="168"/>
    </row>
    <row r="303" spans="1:21" ht="42.75" customHeight="1">
      <c r="A303" s="168"/>
      <c r="B303" s="168"/>
      <c r="C303" s="168"/>
      <c r="D303" s="168"/>
      <c r="E303" s="168"/>
      <c r="F303" s="168"/>
      <c r="G303" s="168"/>
      <c r="H303" s="168"/>
      <c r="I303" s="168"/>
      <c r="J303" s="168"/>
      <c r="K303" s="168"/>
      <c r="L303" s="168"/>
      <c r="M303" s="168"/>
      <c r="N303" s="168"/>
      <c r="O303" s="168"/>
      <c r="P303" s="168"/>
      <c r="Q303" s="168"/>
      <c r="R303" s="168"/>
      <c r="S303" s="168"/>
      <c r="T303" s="168"/>
      <c r="U303" s="168"/>
    </row>
    <row r="304" spans="1:21" ht="42.75" customHeight="1">
      <c r="A304" s="168"/>
      <c r="B304" s="168"/>
      <c r="C304" s="168"/>
      <c r="D304" s="168"/>
      <c r="E304" s="168"/>
      <c r="F304" s="168"/>
      <c r="G304" s="168"/>
      <c r="H304" s="168"/>
      <c r="I304" s="168"/>
      <c r="J304" s="168"/>
      <c r="K304" s="168"/>
      <c r="L304" s="168"/>
      <c r="M304" s="168"/>
      <c r="N304" s="168"/>
      <c r="O304" s="168"/>
      <c r="P304" s="168"/>
      <c r="Q304" s="168"/>
      <c r="R304" s="168"/>
      <c r="S304" s="168"/>
      <c r="T304" s="168"/>
      <c r="U304" s="168"/>
    </row>
    <row r="305" spans="1:21" ht="42.75" customHeight="1">
      <c r="A305" s="168"/>
      <c r="B305" s="168"/>
      <c r="C305" s="168"/>
      <c r="D305" s="168"/>
      <c r="E305" s="168"/>
      <c r="F305" s="168"/>
      <c r="G305" s="168"/>
      <c r="H305" s="168"/>
      <c r="I305" s="168"/>
      <c r="J305" s="168"/>
      <c r="K305" s="168"/>
      <c r="L305" s="168"/>
      <c r="M305" s="168"/>
      <c r="N305" s="168"/>
      <c r="O305" s="168"/>
      <c r="P305" s="168"/>
      <c r="Q305" s="168"/>
      <c r="R305" s="168"/>
      <c r="S305" s="168"/>
      <c r="T305" s="168"/>
      <c r="U305" s="168"/>
    </row>
    <row r="306" spans="1:21" ht="42.75" customHeight="1">
      <c r="A306" s="168"/>
      <c r="B306" s="168"/>
      <c r="C306" s="168"/>
      <c r="D306" s="168"/>
      <c r="E306" s="168"/>
      <c r="F306" s="168"/>
      <c r="G306" s="168"/>
      <c r="H306" s="168"/>
      <c r="I306" s="168"/>
      <c r="J306" s="168"/>
      <c r="K306" s="168"/>
      <c r="L306" s="168"/>
      <c r="M306" s="168"/>
      <c r="N306" s="168"/>
      <c r="O306" s="168"/>
      <c r="P306" s="168"/>
      <c r="Q306" s="168"/>
      <c r="R306" s="168"/>
      <c r="S306" s="168"/>
      <c r="T306" s="168"/>
      <c r="U306" s="168"/>
    </row>
    <row r="307" spans="1:21" ht="42.75" customHeight="1">
      <c r="A307" s="168"/>
      <c r="B307" s="168"/>
      <c r="C307" s="168"/>
      <c r="D307" s="168"/>
      <c r="E307" s="168"/>
      <c r="F307" s="168"/>
      <c r="G307" s="168"/>
      <c r="H307" s="168"/>
      <c r="I307" s="168"/>
      <c r="J307" s="168"/>
      <c r="K307" s="168"/>
      <c r="L307" s="168"/>
      <c r="M307" s="168"/>
      <c r="N307" s="168"/>
      <c r="O307" s="168"/>
      <c r="P307" s="168"/>
      <c r="Q307" s="168"/>
      <c r="R307" s="168"/>
      <c r="S307" s="168"/>
      <c r="T307" s="168"/>
      <c r="U307" s="168"/>
    </row>
    <row r="308" spans="1:21" ht="42.75" customHeight="1">
      <c r="A308" s="168"/>
      <c r="B308" s="168"/>
      <c r="C308" s="168"/>
      <c r="D308" s="168"/>
      <c r="E308" s="168"/>
      <c r="F308" s="168"/>
      <c r="G308" s="168"/>
      <c r="H308" s="168"/>
      <c r="I308" s="168"/>
      <c r="J308" s="168"/>
      <c r="K308" s="168"/>
      <c r="L308" s="168"/>
      <c r="M308" s="168"/>
      <c r="N308" s="168"/>
      <c r="O308" s="168"/>
      <c r="P308" s="168"/>
      <c r="Q308" s="168"/>
      <c r="R308" s="168"/>
      <c r="S308" s="168"/>
      <c r="T308" s="168"/>
      <c r="U308" s="168"/>
    </row>
    <row r="309" spans="1:21" ht="42.75" customHeight="1">
      <c r="A309" s="168"/>
      <c r="B309" s="168"/>
      <c r="C309" s="168"/>
      <c r="D309" s="168"/>
      <c r="E309" s="168"/>
      <c r="F309" s="168"/>
      <c r="G309" s="168"/>
      <c r="H309" s="168"/>
      <c r="I309" s="168"/>
      <c r="J309" s="168"/>
      <c r="K309" s="168"/>
      <c r="L309" s="168"/>
      <c r="M309" s="168"/>
      <c r="N309" s="168"/>
      <c r="O309" s="168"/>
      <c r="P309" s="168"/>
      <c r="Q309" s="168"/>
      <c r="R309" s="168"/>
      <c r="S309" s="168"/>
      <c r="T309" s="168"/>
      <c r="U309" s="168"/>
    </row>
    <row r="310" spans="1:21" ht="42.75" customHeight="1">
      <c r="A310" s="168"/>
      <c r="B310" s="168"/>
      <c r="C310" s="168"/>
      <c r="D310" s="168"/>
      <c r="E310" s="168"/>
      <c r="F310" s="168"/>
      <c r="G310" s="168"/>
      <c r="H310" s="168"/>
      <c r="I310" s="168"/>
      <c r="J310" s="168"/>
      <c r="K310" s="168"/>
      <c r="L310" s="168"/>
      <c r="M310" s="168"/>
      <c r="N310" s="168"/>
      <c r="O310" s="168"/>
      <c r="P310" s="168"/>
      <c r="Q310" s="168"/>
      <c r="R310" s="168"/>
      <c r="S310" s="168"/>
      <c r="T310" s="168"/>
      <c r="U310" s="168"/>
    </row>
    <row r="311" spans="1:21" ht="42.75" customHeight="1">
      <c r="A311" s="168"/>
      <c r="B311" s="168"/>
      <c r="C311" s="168"/>
      <c r="D311" s="168"/>
      <c r="E311" s="168"/>
      <c r="F311" s="168"/>
      <c r="G311" s="168"/>
      <c r="H311" s="168"/>
      <c r="I311" s="168"/>
      <c r="J311" s="168"/>
      <c r="K311" s="168"/>
      <c r="L311" s="168"/>
      <c r="M311" s="168"/>
      <c r="N311" s="168"/>
      <c r="O311" s="168"/>
      <c r="P311" s="168"/>
      <c r="Q311" s="168"/>
      <c r="R311" s="168"/>
      <c r="S311" s="168"/>
      <c r="T311" s="168"/>
      <c r="U311" s="168"/>
    </row>
    <row r="312" spans="1:21" ht="42.75" customHeight="1">
      <c r="A312" s="168"/>
      <c r="B312" s="168"/>
      <c r="C312" s="168"/>
      <c r="D312" s="168"/>
      <c r="E312" s="168"/>
      <c r="F312" s="168"/>
      <c r="G312" s="168"/>
      <c r="H312" s="168"/>
      <c r="I312" s="168"/>
      <c r="J312" s="168"/>
      <c r="K312" s="168"/>
      <c r="L312" s="168"/>
      <c r="M312" s="168"/>
      <c r="N312" s="168"/>
      <c r="O312" s="168"/>
      <c r="P312" s="168"/>
      <c r="Q312" s="168"/>
      <c r="R312" s="168"/>
      <c r="S312" s="168"/>
      <c r="T312" s="168"/>
      <c r="U312" s="168"/>
    </row>
    <row r="313" spans="1:21" ht="42.75" customHeight="1">
      <c r="A313" s="168"/>
      <c r="B313" s="168"/>
      <c r="C313" s="168"/>
      <c r="D313" s="168"/>
      <c r="E313" s="168"/>
      <c r="F313" s="168"/>
      <c r="G313" s="168"/>
      <c r="H313" s="168"/>
      <c r="I313" s="168"/>
      <c r="J313" s="168"/>
      <c r="K313" s="168"/>
      <c r="L313" s="168"/>
      <c r="M313" s="168"/>
      <c r="N313" s="168"/>
      <c r="O313" s="168"/>
      <c r="P313" s="168"/>
      <c r="Q313" s="168"/>
      <c r="R313" s="168"/>
      <c r="S313" s="168"/>
      <c r="T313" s="168"/>
      <c r="U313" s="168"/>
    </row>
    <row r="314" spans="1:21" ht="42.75" customHeight="1">
      <c r="A314" s="168"/>
      <c r="B314" s="168"/>
      <c r="C314" s="168"/>
      <c r="D314" s="168"/>
      <c r="E314" s="168"/>
      <c r="F314" s="168"/>
      <c r="G314" s="168"/>
      <c r="H314" s="168"/>
      <c r="I314" s="168"/>
      <c r="J314" s="168"/>
      <c r="K314" s="168"/>
      <c r="L314" s="168"/>
      <c r="M314" s="168"/>
      <c r="N314" s="168"/>
      <c r="O314" s="168"/>
      <c r="P314" s="168"/>
      <c r="Q314" s="168"/>
      <c r="R314" s="168"/>
      <c r="S314" s="168"/>
      <c r="T314" s="168"/>
      <c r="U314" s="168"/>
    </row>
    <row r="315" spans="1:21" ht="42.75" customHeight="1">
      <c r="A315" s="168"/>
      <c r="B315" s="168"/>
      <c r="C315" s="168"/>
      <c r="D315" s="168"/>
      <c r="E315" s="168"/>
      <c r="F315" s="168"/>
      <c r="G315" s="168"/>
      <c r="H315" s="168"/>
      <c r="I315" s="168"/>
      <c r="J315" s="168"/>
      <c r="K315" s="168"/>
      <c r="L315" s="168"/>
      <c r="M315" s="168"/>
      <c r="N315" s="168"/>
      <c r="O315" s="168"/>
      <c r="P315" s="168"/>
      <c r="Q315" s="168"/>
      <c r="R315" s="168"/>
      <c r="S315" s="168"/>
      <c r="T315" s="168"/>
      <c r="U315" s="168"/>
    </row>
    <row r="316" spans="1:21" ht="42.75" customHeight="1">
      <c r="A316" s="168"/>
      <c r="B316" s="168"/>
      <c r="C316" s="168"/>
      <c r="D316" s="168"/>
      <c r="E316" s="168"/>
      <c r="F316" s="168"/>
      <c r="G316" s="168"/>
      <c r="H316" s="168"/>
      <c r="I316" s="168"/>
      <c r="J316" s="168"/>
      <c r="K316" s="168"/>
      <c r="L316" s="168"/>
      <c r="M316" s="168"/>
      <c r="N316" s="168"/>
      <c r="O316" s="168"/>
      <c r="P316" s="168"/>
      <c r="Q316" s="168"/>
      <c r="R316" s="168"/>
      <c r="S316" s="168"/>
      <c r="T316" s="168"/>
      <c r="U316" s="168"/>
    </row>
    <row r="317" spans="1:21" ht="42.75" customHeight="1">
      <c r="A317" s="168"/>
      <c r="B317" s="168"/>
      <c r="C317" s="168"/>
      <c r="D317" s="168"/>
      <c r="E317" s="168"/>
      <c r="F317" s="168"/>
      <c r="G317" s="168"/>
      <c r="H317" s="168"/>
      <c r="I317" s="168"/>
      <c r="J317" s="168"/>
      <c r="K317" s="168"/>
      <c r="L317" s="168"/>
      <c r="M317" s="168"/>
      <c r="N317" s="168"/>
      <c r="O317" s="168"/>
      <c r="P317" s="168"/>
      <c r="Q317" s="168"/>
      <c r="R317" s="168"/>
      <c r="S317" s="168"/>
      <c r="T317" s="168"/>
      <c r="U317" s="168"/>
    </row>
    <row r="318" spans="1:21" ht="42.75" customHeight="1">
      <c r="A318" s="168"/>
      <c r="B318" s="168"/>
      <c r="C318" s="168"/>
      <c r="D318" s="168"/>
      <c r="E318" s="168"/>
      <c r="F318" s="168"/>
      <c r="G318" s="168"/>
      <c r="H318" s="168"/>
      <c r="I318" s="168"/>
      <c r="J318" s="168"/>
      <c r="K318" s="168"/>
      <c r="L318" s="168"/>
      <c r="M318" s="168"/>
      <c r="N318" s="168"/>
      <c r="O318" s="168"/>
      <c r="P318" s="168"/>
      <c r="Q318" s="168"/>
      <c r="R318" s="168"/>
      <c r="S318" s="168"/>
      <c r="T318" s="168"/>
      <c r="U318" s="168"/>
    </row>
    <row r="319" spans="1:21" ht="42.75" customHeight="1">
      <c r="A319" s="168"/>
      <c r="B319" s="168"/>
      <c r="C319" s="168"/>
      <c r="D319" s="168"/>
      <c r="E319" s="168"/>
      <c r="F319" s="168"/>
      <c r="G319" s="168"/>
      <c r="H319" s="168"/>
      <c r="I319" s="168"/>
      <c r="J319" s="168"/>
      <c r="K319" s="168"/>
      <c r="L319" s="168"/>
      <c r="M319" s="168"/>
      <c r="N319" s="168"/>
      <c r="O319" s="168"/>
      <c r="P319" s="168"/>
      <c r="Q319" s="168"/>
      <c r="R319" s="168"/>
      <c r="S319" s="168"/>
      <c r="T319" s="168"/>
      <c r="U319" s="168"/>
    </row>
    <row r="320" spans="1:21" ht="42.75" customHeight="1">
      <c r="A320" s="168"/>
      <c r="B320" s="168"/>
      <c r="C320" s="168"/>
      <c r="D320" s="168"/>
      <c r="E320" s="168"/>
      <c r="F320" s="168"/>
      <c r="G320" s="168"/>
      <c r="H320" s="168"/>
      <c r="I320" s="168"/>
      <c r="J320" s="168"/>
      <c r="K320" s="168"/>
      <c r="L320" s="168"/>
      <c r="M320" s="168"/>
      <c r="N320" s="168"/>
      <c r="O320" s="168"/>
      <c r="P320" s="168"/>
      <c r="Q320" s="168"/>
      <c r="R320" s="168"/>
      <c r="S320" s="168"/>
      <c r="T320" s="168"/>
      <c r="U320" s="168"/>
    </row>
    <row r="321" spans="1:21" ht="42.75" customHeight="1">
      <c r="A321" s="168"/>
      <c r="B321" s="168"/>
      <c r="C321" s="168"/>
      <c r="D321" s="168"/>
      <c r="E321" s="168"/>
      <c r="F321" s="168"/>
      <c r="G321" s="168"/>
      <c r="H321" s="168"/>
      <c r="I321" s="168"/>
      <c r="J321" s="168"/>
      <c r="K321" s="168"/>
      <c r="L321" s="168"/>
      <c r="M321" s="168"/>
      <c r="N321" s="168"/>
      <c r="O321" s="168"/>
      <c r="P321" s="168"/>
      <c r="Q321" s="168"/>
      <c r="R321" s="168"/>
      <c r="S321" s="168"/>
      <c r="T321" s="168"/>
      <c r="U321" s="168"/>
    </row>
    <row r="322" spans="1:21" ht="42.75" customHeight="1">
      <c r="A322" s="168"/>
      <c r="B322" s="168"/>
      <c r="C322" s="168"/>
      <c r="D322" s="168"/>
      <c r="E322" s="168"/>
      <c r="F322" s="168"/>
      <c r="G322" s="168"/>
      <c r="H322" s="168"/>
      <c r="I322" s="168"/>
      <c r="J322" s="168"/>
      <c r="K322" s="168"/>
      <c r="L322" s="168"/>
      <c r="M322" s="168"/>
      <c r="N322" s="168"/>
      <c r="O322" s="168"/>
      <c r="P322" s="168"/>
      <c r="Q322" s="168"/>
      <c r="R322" s="168"/>
      <c r="S322" s="168"/>
      <c r="T322" s="168"/>
      <c r="U322" s="168"/>
    </row>
  </sheetData>
  <mergeCells count="37">
    <mergeCell ref="C9:C14"/>
    <mergeCell ref="D9:D14"/>
    <mergeCell ref="E9:E14"/>
    <mergeCell ref="A4:U4"/>
    <mergeCell ref="A3:U3"/>
    <mergeCell ref="A7:U7"/>
    <mergeCell ref="A8:A14"/>
    <mergeCell ref="B8:B14"/>
    <mergeCell ref="F8:L8"/>
    <mergeCell ref="U8:U14"/>
    <mergeCell ref="F9:F14"/>
    <mergeCell ref="G9:L9"/>
    <mergeCell ref="M9:M14"/>
    <mergeCell ref="N9:P9"/>
    <mergeCell ref="Q9:Q14"/>
    <mergeCell ref="R9:T9"/>
    <mergeCell ref="K11:L11"/>
    <mergeCell ref="N11:N14"/>
    <mergeCell ref="O11:O14"/>
    <mergeCell ref="R11:R14"/>
    <mergeCell ref="S11:S14"/>
    <mergeCell ref="A5:U5"/>
    <mergeCell ref="M8:P8"/>
    <mergeCell ref="Q8:T8"/>
    <mergeCell ref="H12:H14"/>
    <mergeCell ref="I12:J12"/>
    <mergeCell ref="K12:K14"/>
    <mergeCell ref="L12:L14"/>
    <mergeCell ref="I13:I14"/>
    <mergeCell ref="J13:J14"/>
    <mergeCell ref="N10:O10"/>
    <mergeCell ref="G10:G14"/>
    <mergeCell ref="H10:L10"/>
    <mergeCell ref="P10:P14"/>
    <mergeCell ref="R10:S10"/>
    <mergeCell ref="T10:T14"/>
    <mergeCell ref="H11:J11"/>
  </mergeCells>
  <printOptions horizontalCentered="1"/>
  <pageMargins left="0.2" right="0.21" top="0.54" bottom="0.21" header="0.24" footer="0.17"/>
  <pageSetup paperSize="9" scale="62" orientation="landscape" r:id="rId1"/>
  <headerFooter>
    <oddHeader>&amp;C10</oddHeader>
  </headerFooter>
</worksheet>
</file>

<file path=xl/worksheets/sheet7.xml><?xml version="1.0" encoding="utf-8"?>
<worksheet xmlns="http://schemas.openxmlformats.org/spreadsheetml/2006/main" xmlns:r="http://schemas.openxmlformats.org/officeDocument/2006/relationships">
  <sheetPr>
    <pageSetUpPr fitToPage="1"/>
  </sheetPr>
  <dimension ref="A1:K95"/>
  <sheetViews>
    <sheetView topLeftCell="A10" workbookViewId="0">
      <selection activeCell="B60" sqref="B60"/>
    </sheetView>
  </sheetViews>
  <sheetFormatPr defaultColWidth="9" defaultRowHeight="15.75"/>
  <cols>
    <col min="1" max="1" width="3.625" style="324" customWidth="1"/>
    <col min="2" max="2" width="0" style="4" hidden="1" customWidth="1"/>
    <col min="3" max="3" width="48" style="4" customWidth="1"/>
    <col min="4" max="10" width="11.875" style="4" customWidth="1"/>
    <col min="11" max="16384" width="9" style="4"/>
  </cols>
  <sheetData>
    <row r="1" spans="1:11" s="315" customFormat="1" ht="18.75">
      <c r="A1" s="460"/>
      <c r="D1" s="316"/>
      <c r="J1" s="39" t="s">
        <v>168</v>
      </c>
    </row>
    <row r="2" spans="1:11" s="315" customFormat="1" ht="21" customHeight="1">
      <c r="A2" s="317" t="s">
        <v>299</v>
      </c>
      <c r="B2" s="318"/>
      <c r="C2" s="318"/>
      <c r="D2" s="318"/>
      <c r="E2" s="318"/>
      <c r="F2" s="318"/>
      <c r="G2" s="318"/>
      <c r="H2" s="319"/>
      <c r="I2" s="319"/>
      <c r="J2" s="319"/>
    </row>
    <row r="3" spans="1:11" s="315" customFormat="1" ht="21" customHeight="1">
      <c r="A3" s="3" t="s">
        <v>435</v>
      </c>
      <c r="B3" s="318"/>
      <c r="C3" s="318"/>
      <c r="D3" s="318"/>
      <c r="E3" s="318"/>
      <c r="F3" s="318"/>
      <c r="G3" s="318"/>
      <c r="H3" s="319"/>
      <c r="I3" s="319"/>
      <c r="J3" s="319"/>
    </row>
    <row r="4" spans="1:11" ht="19.5" thickBot="1">
      <c r="D4" s="321"/>
      <c r="E4" s="322"/>
      <c r="F4" s="323"/>
      <c r="G4" s="323"/>
      <c r="J4" s="38" t="s">
        <v>187</v>
      </c>
      <c r="K4" s="503"/>
    </row>
    <row r="5" spans="1:11" s="474" customFormat="1" ht="20.25" customHeight="1">
      <c r="A5" s="894" t="s">
        <v>205</v>
      </c>
      <c r="B5" s="897" t="s">
        <v>288</v>
      </c>
      <c r="C5" s="897" t="s">
        <v>11</v>
      </c>
      <c r="D5" s="897" t="s">
        <v>298</v>
      </c>
      <c r="E5" s="897" t="s">
        <v>424</v>
      </c>
      <c r="F5" s="900" t="s">
        <v>111</v>
      </c>
      <c r="G5" s="900"/>
      <c r="H5" s="897" t="s">
        <v>390</v>
      </c>
      <c r="I5" s="897" t="s">
        <v>294</v>
      </c>
      <c r="J5" s="903" t="s">
        <v>295</v>
      </c>
    </row>
    <row r="6" spans="1:11" s="474" customFormat="1" ht="20.25" customHeight="1">
      <c r="A6" s="895"/>
      <c r="B6" s="898"/>
      <c r="C6" s="898"/>
      <c r="D6" s="898"/>
      <c r="E6" s="898"/>
      <c r="F6" s="906" t="s">
        <v>196</v>
      </c>
      <c r="G6" s="906" t="s">
        <v>197</v>
      </c>
      <c r="H6" s="901"/>
      <c r="I6" s="898"/>
      <c r="J6" s="904"/>
    </row>
    <row r="7" spans="1:11" s="474" customFormat="1" ht="20.25" customHeight="1">
      <c r="A7" s="895"/>
      <c r="B7" s="898"/>
      <c r="C7" s="898"/>
      <c r="D7" s="898"/>
      <c r="E7" s="898"/>
      <c r="F7" s="813"/>
      <c r="G7" s="813"/>
      <c r="H7" s="901"/>
      <c r="I7" s="898"/>
      <c r="J7" s="904"/>
    </row>
    <row r="8" spans="1:11" s="475" customFormat="1" ht="20.25" customHeight="1">
      <c r="A8" s="896"/>
      <c r="B8" s="899"/>
      <c r="C8" s="899"/>
      <c r="D8" s="899"/>
      <c r="E8" s="899"/>
      <c r="F8" s="814"/>
      <c r="G8" s="814"/>
      <c r="H8" s="902"/>
      <c r="I8" s="899"/>
      <c r="J8" s="905"/>
    </row>
    <row r="9" spans="1:11" s="476" customFormat="1" ht="17.25" customHeight="1">
      <c r="A9" s="33" t="s">
        <v>15</v>
      </c>
      <c r="B9" s="34" t="s">
        <v>16</v>
      </c>
      <c r="C9" s="34" t="s">
        <v>16</v>
      </c>
      <c r="D9" s="35">
        <v>1</v>
      </c>
      <c r="E9" s="35">
        <v>2</v>
      </c>
      <c r="F9" s="440" t="s">
        <v>198</v>
      </c>
      <c r="G9" s="440" t="s">
        <v>199</v>
      </c>
      <c r="H9" s="35">
        <v>5</v>
      </c>
      <c r="I9" s="35">
        <v>6</v>
      </c>
      <c r="J9" s="100">
        <v>7</v>
      </c>
    </row>
    <row r="10" spans="1:11" s="324" customFormat="1" ht="31.5" customHeight="1">
      <c r="A10" s="528" t="s">
        <v>15</v>
      </c>
      <c r="B10" s="481"/>
      <c r="C10" s="482" t="s">
        <v>300</v>
      </c>
      <c r="D10" s="481"/>
      <c r="E10" s="481"/>
      <c r="F10" s="483"/>
      <c r="G10" s="483"/>
      <c r="H10" s="481"/>
      <c r="I10" s="481"/>
      <c r="J10" s="484"/>
    </row>
    <row r="11" spans="1:11" s="324" customFormat="1" ht="31.5" customHeight="1">
      <c r="A11" s="11" t="s">
        <v>32</v>
      </c>
      <c r="B11" s="72" t="s">
        <v>195</v>
      </c>
      <c r="C11" s="72" t="s">
        <v>91</v>
      </c>
      <c r="D11" s="485"/>
      <c r="E11" s="485"/>
      <c r="F11" s="486"/>
      <c r="G11" s="486"/>
      <c r="H11" s="485"/>
      <c r="I11" s="485"/>
      <c r="J11" s="487"/>
    </row>
    <row r="12" spans="1:11" s="324" customFormat="1" ht="31.5" customHeight="1">
      <c r="A12" s="11" t="s">
        <v>33</v>
      </c>
      <c r="B12" s="72" t="s">
        <v>68</v>
      </c>
      <c r="C12" s="72" t="s">
        <v>68</v>
      </c>
      <c r="D12" s="485"/>
      <c r="E12" s="485"/>
      <c r="F12" s="486"/>
      <c r="G12" s="486"/>
      <c r="H12" s="485"/>
      <c r="I12" s="485"/>
      <c r="J12" s="487"/>
    </row>
    <row r="13" spans="1:11" s="324" customFormat="1" ht="31.5" customHeight="1">
      <c r="A13" s="30">
        <v>1</v>
      </c>
      <c r="B13" s="70" t="s">
        <v>177</v>
      </c>
      <c r="C13" s="70" t="s">
        <v>177</v>
      </c>
      <c r="D13" s="485"/>
      <c r="E13" s="485"/>
      <c r="F13" s="486"/>
      <c r="G13" s="486"/>
      <c r="H13" s="485"/>
      <c r="I13" s="485"/>
      <c r="J13" s="487"/>
    </row>
    <row r="14" spans="1:11" s="324" customFormat="1" ht="31.5" customHeight="1">
      <c r="A14" s="30">
        <f>A13+1</f>
        <v>2</v>
      </c>
      <c r="B14" s="70" t="s">
        <v>184</v>
      </c>
      <c r="C14" s="70" t="s">
        <v>184</v>
      </c>
      <c r="D14" s="485"/>
      <c r="E14" s="485"/>
      <c r="F14" s="486"/>
      <c r="G14" s="486"/>
      <c r="H14" s="485"/>
      <c r="I14" s="485"/>
      <c r="J14" s="487"/>
    </row>
    <row r="15" spans="1:11" s="325" customFormat="1" ht="31.5" customHeight="1">
      <c r="A15" s="11" t="s">
        <v>34</v>
      </c>
      <c r="B15" s="72" t="s">
        <v>202</v>
      </c>
      <c r="C15" s="72" t="s">
        <v>202</v>
      </c>
      <c r="D15" s="488"/>
      <c r="E15" s="488"/>
      <c r="F15" s="452"/>
      <c r="G15" s="452"/>
      <c r="H15" s="488"/>
      <c r="I15" s="488"/>
      <c r="J15" s="489"/>
    </row>
    <row r="16" spans="1:11" s="326" customFormat="1" ht="31.5" customHeight="1">
      <c r="A16" s="11" t="s">
        <v>35</v>
      </c>
      <c r="B16" s="72" t="s">
        <v>65</v>
      </c>
      <c r="C16" s="72" t="s">
        <v>65</v>
      </c>
      <c r="D16" s="490"/>
      <c r="E16" s="490"/>
      <c r="F16" s="454"/>
      <c r="G16" s="454"/>
      <c r="H16" s="490"/>
      <c r="I16" s="490"/>
      <c r="J16" s="491"/>
    </row>
    <row r="17" spans="1:10" s="327" customFormat="1" ht="31.5" customHeight="1">
      <c r="A17" s="11" t="s">
        <v>36</v>
      </c>
      <c r="B17" s="72" t="s">
        <v>155</v>
      </c>
      <c r="C17" s="72" t="s">
        <v>155</v>
      </c>
      <c r="D17" s="490"/>
      <c r="E17" s="490"/>
      <c r="F17" s="454"/>
      <c r="G17" s="454"/>
      <c r="H17" s="490"/>
      <c r="I17" s="490"/>
      <c r="J17" s="491"/>
    </row>
    <row r="18" spans="1:10" s="473" customFormat="1" ht="31.5" customHeight="1">
      <c r="A18" s="492" t="s">
        <v>16</v>
      </c>
      <c r="B18" s="493"/>
      <c r="C18" s="494" t="s">
        <v>261</v>
      </c>
      <c r="D18" s="495"/>
      <c r="E18" s="495"/>
      <c r="F18" s="496"/>
      <c r="G18" s="496"/>
      <c r="H18" s="495"/>
      <c r="I18" s="495"/>
      <c r="J18" s="497"/>
    </row>
    <row r="19" spans="1:10" s="327" customFormat="1" ht="31.5" customHeight="1">
      <c r="A19" s="11" t="s">
        <v>32</v>
      </c>
      <c r="B19" s="72" t="s">
        <v>66</v>
      </c>
      <c r="C19" s="72" t="s">
        <v>66</v>
      </c>
      <c r="D19" s="498"/>
      <c r="E19" s="498"/>
      <c r="F19" s="456"/>
      <c r="G19" s="456"/>
      <c r="H19" s="498"/>
      <c r="I19" s="498"/>
      <c r="J19" s="499"/>
    </row>
    <row r="20" spans="1:10" s="327" customFormat="1" ht="31.5" customHeight="1">
      <c r="A20" s="30">
        <v>1</v>
      </c>
      <c r="B20" s="70" t="s">
        <v>64</v>
      </c>
      <c r="C20" s="70" t="s">
        <v>380</v>
      </c>
      <c r="D20" s="498"/>
      <c r="E20" s="498"/>
      <c r="F20" s="456"/>
      <c r="G20" s="456"/>
      <c r="H20" s="498"/>
      <c r="I20" s="498"/>
      <c r="J20" s="499"/>
    </row>
    <row r="21" spans="1:10" s="327" customFormat="1" ht="31.5" customHeight="1">
      <c r="A21" s="30">
        <f>A20+1</f>
        <v>2</v>
      </c>
      <c r="B21" s="70" t="s">
        <v>42</v>
      </c>
      <c r="C21" s="70" t="s">
        <v>42</v>
      </c>
      <c r="D21" s="498"/>
      <c r="E21" s="498"/>
      <c r="F21" s="456"/>
      <c r="G21" s="456"/>
      <c r="H21" s="498"/>
      <c r="I21" s="498"/>
      <c r="J21" s="499"/>
    </row>
    <row r="22" spans="1:10" s="327" customFormat="1" ht="31.5" customHeight="1">
      <c r="A22" s="30">
        <f>A21+1</f>
        <v>3</v>
      </c>
      <c r="B22" s="70" t="s">
        <v>157</v>
      </c>
      <c r="C22" s="70" t="s">
        <v>157</v>
      </c>
      <c r="D22" s="498"/>
      <c r="E22" s="498"/>
      <c r="F22" s="456"/>
      <c r="G22" s="456"/>
      <c r="H22" s="498"/>
      <c r="I22" s="498"/>
      <c r="J22" s="499"/>
    </row>
    <row r="23" spans="1:10" s="327" customFormat="1" ht="31.5" customHeight="1">
      <c r="A23" s="30">
        <f>A22+1</f>
        <v>4</v>
      </c>
      <c r="B23" s="70" t="s">
        <v>43</v>
      </c>
      <c r="C23" s="70" t="s">
        <v>43</v>
      </c>
      <c r="D23" s="498"/>
      <c r="E23" s="498"/>
      <c r="F23" s="456"/>
      <c r="G23" s="456"/>
      <c r="H23" s="498"/>
      <c r="I23" s="498"/>
      <c r="J23" s="499"/>
    </row>
    <row r="24" spans="1:10" s="327" customFormat="1" ht="31.5" customHeight="1">
      <c r="A24" s="30">
        <f>A23+1</f>
        <v>5</v>
      </c>
      <c r="B24" s="70" t="s">
        <v>44</v>
      </c>
      <c r="C24" s="70" t="s">
        <v>44</v>
      </c>
      <c r="D24" s="498"/>
      <c r="E24" s="498"/>
      <c r="F24" s="456"/>
      <c r="G24" s="456"/>
      <c r="H24" s="498"/>
      <c r="I24" s="498"/>
      <c r="J24" s="499"/>
    </row>
    <row r="25" spans="1:10" s="327" customFormat="1" ht="31.5" customHeight="1">
      <c r="A25" s="30">
        <f>A24+1</f>
        <v>6</v>
      </c>
      <c r="B25" s="70" t="s">
        <v>160</v>
      </c>
      <c r="C25" s="70" t="s">
        <v>160</v>
      </c>
      <c r="D25" s="498"/>
      <c r="E25" s="498"/>
      <c r="F25" s="456"/>
      <c r="G25" s="456"/>
      <c r="H25" s="498"/>
      <c r="I25" s="498"/>
      <c r="J25" s="499"/>
    </row>
    <row r="26" spans="1:10" s="327" customFormat="1" ht="31.5" customHeight="1">
      <c r="A26" s="11" t="s">
        <v>33</v>
      </c>
      <c r="B26" s="72" t="s">
        <v>114</v>
      </c>
      <c r="C26" s="72" t="s">
        <v>301</v>
      </c>
      <c r="D26" s="490"/>
      <c r="E26" s="490"/>
      <c r="F26" s="454"/>
      <c r="G26" s="454"/>
      <c r="H26" s="490"/>
      <c r="I26" s="490"/>
      <c r="J26" s="491"/>
    </row>
    <row r="27" spans="1:10" s="327" customFormat="1" ht="31.5" customHeight="1">
      <c r="A27" s="30">
        <v>1</v>
      </c>
      <c r="B27" s="70" t="s">
        <v>207</v>
      </c>
      <c r="C27" s="70" t="s">
        <v>302</v>
      </c>
      <c r="D27" s="490"/>
      <c r="E27" s="490"/>
      <c r="F27" s="454"/>
      <c r="G27" s="454"/>
      <c r="H27" s="490"/>
      <c r="I27" s="490"/>
      <c r="J27" s="491"/>
    </row>
    <row r="28" spans="1:10" s="328" customFormat="1" ht="31.5" customHeight="1">
      <c r="A28" s="30">
        <f>A27+1</f>
        <v>2</v>
      </c>
      <c r="B28" s="70" t="s">
        <v>114</v>
      </c>
      <c r="C28" s="70" t="s">
        <v>303</v>
      </c>
      <c r="D28" s="500"/>
      <c r="E28" s="500"/>
      <c r="F28" s="501"/>
      <c r="G28" s="501"/>
      <c r="H28" s="500"/>
      <c r="I28" s="500"/>
      <c r="J28" s="502"/>
    </row>
    <row r="29" spans="1:10" s="327" customFormat="1" ht="31.5" customHeight="1">
      <c r="A29" s="11" t="s">
        <v>34</v>
      </c>
      <c r="B29" s="72" t="s">
        <v>119</v>
      </c>
      <c r="C29" s="72" t="s">
        <v>119</v>
      </c>
      <c r="D29" s="490"/>
      <c r="E29" s="490"/>
      <c r="F29" s="454"/>
      <c r="G29" s="454"/>
      <c r="H29" s="490"/>
      <c r="I29" s="490"/>
      <c r="J29" s="491"/>
    </row>
    <row r="30" spans="1:10" s="327" customFormat="1" ht="31.5" customHeight="1">
      <c r="A30" s="67" t="s">
        <v>37</v>
      </c>
      <c r="B30" s="72"/>
      <c r="C30" s="72" t="s">
        <v>304</v>
      </c>
      <c r="D30" s="490"/>
      <c r="E30" s="490"/>
      <c r="F30" s="454"/>
      <c r="G30" s="454"/>
      <c r="H30" s="490"/>
      <c r="I30" s="490"/>
      <c r="J30" s="491"/>
    </row>
    <row r="31" spans="1:10" s="327" customFormat="1" ht="31.5" customHeight="1">
      <c r="A31" s="11" t="s">
        <v>63</v>
      </c>
      <c r="B31" s="72" t="s">
        <v>263</v>
      </c>
      <c r="C31" s="72" t="s">
        <v>324</v>
      </c>
      <c r="D31" s="490"/>
      <c r="E31" s="490"/>
      <c r="F31" s="454"/>
      <c r="G31" s="454"/>
      <c r="H31" s="490"/>
      <c r="I31" s="490"/>
      <c r="J31" s="491"/>
    </row>
    <row r="32" spans="1:10" s="327" customFormat="1" ht="31.5" customHeight="1">
      <c r="A32" s="11" t="s">
        <v>32</v>
      </c>
      <c r="B32" s="72" t="s">
        <v>124</v>
      </c>
      <c r="C32" s="72" t="s">
        <v>124</v>
      </c>
      <c r="D32" s="490"/>
      <c r="E32" s="490"/>
      <c r="F32" s="454"/>
      <c r="G32" s="454"/>
      <c r="H32" s="490"/>
      <c r="I32" s="490"/>
      <c r="J32" s="491"/>
    </row>
    <row r="33" spans="1:10" s="327" customFormat="1" ht="31.5" customHeight="1">
      <c r="A33" s="11" t="s">
        <v>33</v>
      </c>
      <c r="B33" s="72" t="s">
        <v>191</v>
      </c>
      <c r="C33" s="72" t="s">
        <v>191</v>
      </c>
      <c r="D33" s="490"/>
      <c r="E33" s="490"/>
      <c r="F33" s="454"/>
      <c r="G33" s="454"/>
      <c r="H33" s="490"/>
      <c r="I33" s="490"/>
      <c r="J33" s="491"/>
    </row>
    <row r="34" spans="1:10" s="327" customFormat="1" ht="31.5" customHeight="1">
      <c r="A34" s="67" t="s">
        <v>34</v>
      </c>
      <c r="B34" s="72"/>
      <c r="C34" s="72" t="s">
        <v>325</v>
      </c>
      <c r="D34" s="490"/>
      <c r="E34" s="490"/>
      <c r="F34" s="454"/>
      <c r="G34" s="454"/>
      <c r="H34" s="490"/>
      <c r="I34" s="490"/>
      <c r="J34" s="491"/>
    </row>
    <row r="35" spans="1:10" s="327" customFormat="1" ht="31.5" customHeight="1">
      <c r="A35" s="11">
        <v>1</v>
      </c>
      <c r="B35" s="72"/>
      <c r="C35" s="72" t="s">
        <v>258</v>
      </c>
      <c r="D35" s="490"/>
      <c r="E35" s="490"/>
      <c r="F35" s="454"/>
      <c r="G35" s="454"/>
      <c r="H35" s="490"/>
      <c r="I35" s="490"/>
      <c r="J35" s="491"/>
    </row>
    <row r="36" spans="1:10" s="327" customFormat="1" ht="31.5" customHeight="1">
      <c r="A36" s="11">
        <f>A35+1</f>
        <v>2</v>
      </c>
      <c r="B36" s="72"/>
      <c r="C36" s="72" t="s">
        <v>305</v>
      </c>
      <c r="D36" s="490"/>
      <c r="E36" s="490"/>
      <c r="F36" s="454"/>
      <c r="G36" s="454"/>
      <c r="H36" s="490"/>
      <c r="I36" s="490"/>
      <c r="J36" s="491"/>
    </row>
    <row r="37" spans="1:10" s="327" customFormat="1" ht="31.5" customHeight="1">
      <c r="A37" s="11" t="s">
        <v>35</v>
      </c>
      <c r="B37" s="72"/>
      <c r="C37" s="72" t="s">
        <v>326</v>
      </c>
      <c r="D37" s="490"/>
      <c r="E37" s="490"/>
      <c r="F37" s="454"/>
      <c r="G37" s="454"/>
      <c r="H37" s="490"/>
      <c r="I37" s="490"/>
      <c r="J37" s="491"/>
    </row>
    <row r="38" spans="1:10" s="327" customFormat="1" ht="31.5" customHeight="1">
      <c r="A38" s="11">
        <v>1</v>
      </c>
      <c r="B38" s="72"/>
      <c r="C38" s="72" t="s">
        <v>227</v>
      </c>
      <c r="D38" s="490"/>
      <c r="E38" s="490"/>
      <c r="F38" s="454"/>
      <c r="G38" s="454"/>
      <c r="H38" s="490"/>
      <c r="I38" s="490"/>
      <c r="J38" s="491"/>
    </row>
    <row r="39" spans="1:10" s="327" customFormat="1" ht="31.5" customHeight="1">
      <c r="A39" s="11">
        <f>A38+1</f>
        <v>2</v>
      </c>
      <c r="B39" s="72"/>
      <c r="C39" s="72" t="s">
        <v>228</v>
      </c>
      <c r="D39" s="490"/>
      <c r="E39" s="490"/>
      <c r="F39" s="454"/>
      <c r="G39" s="454"/>
      <c r="H39" s="490"/>
      <c r="I39" s="490"/>
      <c r="J39" s="491"/>
    </row>
    <row r="40" spans="1:10" s="327" customFormat="1" ht="31.5" customHeight="1">
      <c r="A40" s="11" t="s">
        <v>36</v>
      </c>
      <c r="B40" s="72"/>
      <c r="C40" s="72" t="s">
        <v>194</v>
      </c>
      <c r="D40" s="490"/>
      <c r="E40" s="490"/>
      <c r="F40" s="454"/>
      <c r="G40" s="454"/>
      <c r="H40" s="490"/>
      <c r="I40" s="490"/>
      <c r="J40" s="491"/>
    </row>
    <row r="41" spans="1:10" s="327" customFormat="1" ht="16.5" thickBot="1">
      <c r="A41" s="477"/>
      <c r="B41" s="478"/>
      <c r="C41" s="478"/>
      <c r="D41" s="479"/>
      <c r="E41" s="479"/>
      <c r="F41" s="448"/>
      <c r="G41" s="448"/>
      <c r="H41" s="479"/>
      <c r="I41" s="479"/>
      <c r="J41" s="480"/>
    </row>
    <row r="42" spans="1:10" s="327" customFormat="1" ht="40.5" customHeight="1">
      <c r="A42" s="893" t="s">
        <v>450</v>
      </c>
      <c r="B42" s="893"/>
      <c r="C42" s="893"/>
      <c r="D42" s="893"/>
      <c r="E42" s="893"/>
      <c r="F42" s="893"/>
      <c r="G42" s="893"/>
      <c r="H42" s="893"/>
      <c r="I42" s="893"/>
      <c r="J42" s="893"/>
    </row>
    <row r="43" spans="1:10" s="327" customFormat="1" ht="15.75" customHeight="1">
      <c r="A43" s="461"/>
      <c r="B43" s="329"/>
      <c r="C43" s="892" t="s">
        <v>391</v>
      </c>
      <c r="D43" s="892"/>
      <c r="E43" s="892"/>
      <c r="F43" s="892"/>
      <c r="G43" s="892"/>
      <c r="H43" s="892"/>
      <c r="I43" s="892"/>
      <c r="J43" s="892"/>
    </row>
    <row r="44" spans="1:10" s="315" customFormat="1">
      <c r="A44" s="460"/>
      <c r="D44" s="332"/>
      <c r="E44" s="332"/>
      <c r="F44" s="332"/>
      <c r="G44" s="332"/>
      <c r="H44" s="332"/>
    </row>
    <row r="45" spans="1:10">
      <c r="D45" s="333"/>
      <c r="E45" s="333"/>
      <c r="F45" s="333"/>
      <c r="G45" s="333"/>
      <c r="H45" s="333"/>
    </row>
    <row r="46" spans="1:10">
      <c r="D46" s="333"/>
      <c r="E46" s="333"/>
      <c r="F46" s="333"/>
      <c r="G46" s="333"/>
      <c r="H46" s="333"/>
    </row>
    <row r="47" spans="1:10">
      <c r="A47" s="103" t="s">
        <v>269</v>
      </c>
      <c r="D47" s="333"/>
      <c r="E47" s="333"/>
      <c r="F47" s="333"/>
      <c r="G47" s="333"/>
      <c r="H47" s="333"/>
    </row>
    <row r="48" spans="1:10">
      <c r="D48" s="333"/>
      <c r="E48" s="333"/>
      <c r="F48" s="333"/>
      <c r="G48" s="333"/>
      <c r="H48" s="333"/>
    </row>
    <row r="49" spans="4:8">
      <c r="D49" s="333"/>
      <c r="E49" s="333"/>
      <c r="F49" s="333"/>
      <c r="G49" s="333"/>
      <c r="H49" s="333"/>
    </row>
    <row r="50" spans="4:8">
      <c r="D50" s="333"/>
      <c r="E50" s="333"/>
      <c r="F50" s="333"/>
      <c r="G50" s="333"/>
      <c r="H50" s="333"/>
    </row>
    <row r="51" spans="4:8">
      <c r="D51" s="333"/>
      <c r="E51" s="333"/>
      <c r="F51" s="333"/>
      <c r="G51" s="333"/>
      <c r="H51" s="333"/>
    </row>
    <row r="52" spans="4:8">
      <c r="D52" s="333"/>
      <c r="E52" s="333"/>
      <c r="F52" s="333"/>
      <c r="G52" s="333"/>
      <c r="H52" s="333"/>
    </row>
    <row r="53" spans="4:8">
      <c r="D53" s="333"/>
      <c r="E53" s="333"/>
      <c r="F53" s="333"/>
      <c r="G53" s="333"/>
      <c r="H53" s="333"/>
    </row>
    <row r="54" spans="4:8">
      <c r="D54" s="333"/>
      <c r="E54" s="333"/>
      <c r="F54" s="333"/>
      <c r="G54" s="333"/>
      <c r="H54" s="333"/>
    </row>
    <row r="55" spans="4:8">
      <c r="D55" s="333"/>
      <c r="E55" s="333"/>
      <c r="F55" s="333"/>
      <c r="G55" s="333"/>
      <c r="H55" s="333"/>
    </row>
    <row r="56" spans="4:8">
      <c r="D56" s="333"/>
      <c r="E56" s="333"/>
      <c r="F56" s="333"/>
      <c r="G56" s="333"/>
      <c r="H56" s="333"/>
    </row>
    <row r="57" spans="4:8">
      <c r="D57" s="333"/>
      <c r="E57" s="333"/>
      <c r="F57" s="333"/>
      <c r="G57" s="333"/>
      <c r="H57" s="333"/>
    </row>
    <row r="58" spans="4:8">
      <c r="D58" s="333"/>
      <c r="E58" s="333"/>
      <c r="F58" s="333"/>
      <c r="G58" s="333"/>
      <c r="H58" s="333"/>
    </row>
    <row r="59" spans="4:8">
      <c r="D59" s="333"/>
      <c r="E59" s="333"/>
      <c r="F59" s="333"/>
      <c r="G59" s="333"/>
      <c r="H59" s="333"/>
    </row>
    <row r="60" spans="4:8">
      <c r="D60" s="333"/>
      <c r="E60" s="333"/>
      <c r="F60" s="333"/>
      <c r="G60" s="333"/>
      <c r="H60" s="333"/>
    </row>
    <row r="61" spans="4:8">
      <c r="D61" s="333"/>
      <c r="E61" s="333"/>
      <c r="F61" s="333"/>
      <c r="G61" s="333"/>
      <c r="H61" s="333"/>
    </row>
    <row r="62" spans="4:8">
      <c r="D62" s="333"/>
      <c r="E62" s="333"/>
      <c r="F62" s="333"/>
      <c r="G62" s="333"/>
      <c r="H62" s="333"/>
    </row>
    <row r="63" spans="4:8">
      <c r="D63" s="333"/>
      <c r="E63" s="333"/>
      <c r="F63" s="333"/>
      <c r="G63" s="333"/>
      <c r="H63" s="333"/>
    </row>
    <row r="64" spans="4:8">
      <c r="D64" s="333"/>
      <c r="E64" s="333"/>
      <c r="F64" s="333"/>
      <c r="G64" s="333"/>
      <c r="H64" s="333"/>
    </row>
    <row r="65" spans="4:8">
      <c r="D65" s="333"/>
      <c r="E65" s="333"/>
      <c r="F65" s="333"/>
      <c r="G65" s="333"/>
      <c r="H65" s="333"/>
    </row>
    <row r="66" spans="4:8">
      <c r="D66" s="333"/>
      <c r="E66" s="333"/>
      <c r="F66" s="333"/>
      <c r="G66" s="333"/>
      <c r="H66" s="333"/>
    </row>
    <row r="67" spans="4:8">
      <c r="D67" s="333"/>
      <c r="E67" s="333"/>
      <c r="F67" s="333"/>
      <c r="G67" s="333"/>
      <c r="H67" s="333"/>
    </row>
    <row r="68" spans="4:8">
      <c r="D68" s="333"/>
      <c r="E68" s="333"/>
      <c r="F68" s="333"/>
      <c r="G68" s="333"/>
      <c r="H68" s="333"/>
    </row>
    <row r="69" spans="4:8">
      <c r="D69" s="333"/>
      <c r="E69" s="333"/>
      <c r="F69" s="333"/>
      <c r="G69" s="333"/>
      <c r="H69" s="333"/>
    </row>
    <row r="70" spans="4:8">
      <c r="D70" s="333"/>
      <c r="E70" s="333"/>
      <c r="F70" s="333"/>
      <c r="G70" s="333"/>
      <c r="H70" s="333"/>
    </row>
    <row r="71" spans="4:8">
      <c r="D71" s="333"/>
      <c r="E71" s="333"/>
      <c r="F71" s="333"/>
      <c r="G71" s="333"/>
      <c r="H71" s="333"/>
    </row>
    <row r="72" spans="4:8">
      <c r="D72" s="333"/>
      <c r="E72" s="333"/>
      <c r="F72" s="333"/>
      <c r="G72" s="333"/>
      <c r="H72" s="333"/>
    </row>
    <row r="73" spans="4:8">
      <c r="D73" s="333"/>
      <c r="E73" s="333"/>
      <c r="F73" s="333"/>
      <c r="G73" s="333"/>
      <c r="H73" s="333"/>
    </row>
    <row r="74" spans="4:8">
      <c r="D74" s="333"/>
      <c r="E74" s="333"/>
      <c r="F74" s="333"/>
      <c r="G74" s="333"/>
      <c r="H74" s="333"/>
    </row>
    <row r="75" spans="4:8">
      <c r="D75" s="333"/>
      <c r="E75" s="333"/>
      <c r="F75" s="333"/>
      <c r="G75" s="333"/>
      <c r="H75" s="333"/>
    </row>
    <row r="76" spans="4:8">
      <c r="D76" s="333"/>
      <c r="E76" s="333"/>
      <c r="F76" s="333"/>
      <c r="G76" s="333"/>
      <c r="H76" s="333"/>
    </row>
    <row r="77" spans="4:8">
      <c r="D77" s="333"/>
      <c r="E77" s="333"/>
      <c r="F77" s="333"/>
      <c r="G77" s="333"/>
      <c r="H77" s="333"/>
    </row>
    <row r="78" spans="4:8">
      <c r="D78" s="333"/>
      <c r="E78" s="333"/>
      <c r="F78" s="333"/>
      <c r="G78" s="333"/>
      <c r="H78" s="333"/>
    </row>
    <row r="79" spans="4:8">
      <c r="D79" s="333"/>
      <c r="E79" s="333"/>
      <c r="F79" s="333"/>
      <c r="G79" s="333"/>
      <c r="H79" s="333"/>
    </row>
    <row r="88" spans="1:8" s="320" customFormat="1">
      <c r="A88" s="324"/>
      <c r="B88" s="4"/>
      <c r="C88" s="4"/>
      <c r="D88" s="4"/>
      <c r="E88" s="4"/>
      <c r="F88" s="4"/>
      <c r="G88" s="4"/>
      <c r="H88" s="4"/>
    </row>
    <row r="89" spans="1:8" s="320" customFormat="1">
      <c r="A89" s="324"/>
      <c r="B89" s="4"/>
      <c r="C89" s="4"/>
      <c r="D89" s="4"/>
      <c r="E89" s="4"/>
      <c r="F89" s="4"/>
      <c r="G89" s="4"/>
      <c r="H89" s="4"/>
    </row>
    <row r="90" spans="1:8" s="320" customFormat="1">
      <c r="A90" s="324"/>
      <c r="B90" s="4"/>
      <c r="C90" s="4"/>
      <c r="D90" s="4"/>
      <c r="E90" s="4"/>
      <c r="F90" s="4"/>
      <c r="G90" s="4"/>
      <c r="H90" s="4"/>
    </row>
    <row r="91" spans="1:8" s="320" customFormat="1">
      <c r="A91" s="324"/>
      <c r="B91" s="4"/>
      <c r="C91" s="4"/>
      <c r="D91" s="4"/>
      <c r="E91" s="4"/>
      <c r="F91" s="4"/>
      <c r="G91" s="4"/>
      <c r="H91" s="4"/>
    </row>
    <row r="92" spans="1:8" s="320" customFormat="1">
      <c r="A92" s="324"/>
      <c r="B92" s="4"/>
      <c r="C92" s="4"/>
      <c r="D92" s="4"/>
      <c r="E92" s="4"/>
      <c r="F92" s="4"/>
      <c r="G92" s="4"/>
      <c r="H92" s="4"/>
    </row>
    <row r="93" spans="1:8" s="320" customFormat="1">
      <c r="A93" s="324"/>
      <c r="B93" s="4"/>
      <c r="C93" s="4"/>
      <c r="D93" s="4"/>
      <c r="E93" s="4"/>
      <c r="F93" s="4"/>
      <c r="G93" s="4"/>
      <c r="H93" s="4"/>
    </row>
    <row r="94" spans="1:8" s="320" customFormat="1">
      <c r="A94" s="324"/>
      <c r="B94" s="4"/>
      <c r="C94" s="4"/>
      <c r="D94" s="4"/>
      <c r="E94" s="4"/>
      <c r="F94" s="4"/>
      <c r="G94" s="4"/>
      <c r="H94" s="4"/>
    </row>
    <row r="95" spans="1:8" s="320" customFormat="1">
      <c r="A95" s="324"/>
      <c r="B95" s="4"/>
      <c r="C95" s="4"/>
      <c r="D95" s="4"/>
      <c r="E95" s="4"/>
      <c r="F95" s="4"/>
      <c r="G95" s="4"/>
      <c r="H95" s="4"/>
    </row>
  </sheetData>
  <mergeCells count="13">
    <mergeCell ref="C43:J43"/>
    <mergeCell ref="A42:J42"/>
    <mergeCell ref="A5:A8"/>
    <mergeCell ref="B5:B8"/>
    <mergeCell ref="C5:C8"/>
    <mergeCell ref="D5:D8"/>
    <mergeCell ref="E5:E8"/>
    <mergeCell ref="F5:G5"/>
    <mergeCell ref="H5:H8"/>
    <mergeCell ref="I5:I8"/>
    <mergeCell ref="J5:J8"/>
    <mergeCell ref="F6:F8"/>
    <mergeCell ref="G6:G8"/>
  </mergeCells>
  <printOptions horizontalCentered="1"/>
  <pageMargins left="0.23" right="0.25" top="0.42" bottom="0.21" header="0.34" footer="0.17"/>
  <pageSetup paperSize="9" scale="68" orientation="portrait" r:id="rId1"/>
  <headerFooter>
    <oddHeader>&amp;C11</oddHeader>
  </headerFooter>
</worksheet>
</file>

<file path=xl/worksheets/sheet8.xml><?xml version="1.0" encoding="utf-8"?>
<worksheet xmlns="http://schemas.openxmlformats.org/spreadsheetml/2006/main" xmlns:r="http://schemas.openxmlformats.org/officeDocument/2006/relationships">
  <sheetPr>
    <pageSetUpPr fitToPage="1"/>
  </sheetPr>
  <dimension ref="A1:J97"/>
  <sheetViews>
    <sheetView topLeftCell="A28" workbookViewId="0">
      <selection activeCell="I48" sqref="I48"/>
    </sheetView>
  </sheetViews>
  <sheetFormatPr defaultColWidth="9" defaultRowHeight="15.75"/>
  <cols>
    <col min="1" max="1" width="6.5" style="443" customWidth="1"/>
    <col min="2" max="2" width="46.25" style="75" customWidth="1"/>
    <col min="3" max="6" width="11.25" style="75" customWidth="1"/>
    <col min="7" max="7" width="12.25" style="75" customWidth="1"/>
    <col min="8" max="16384" width="9" style="75"/>
  </cols>
  <sheetData>
    <row r="1" spans="1:7" ht="18.75">
      <c r="B1" s="334"/>
      <c r="C1" s="335"/>
      <c r="G1" s="39" t="s">
        <v>169</v>
      </c>
    </row>
    <row r="2" spans="1:7" ht="21" customHeight="1">
      <c r="A2" s="444" t="s">
        <v>346</v>
      </c>
      <c r="B2" s="336"/>
      <c r="C2" s="336"/>
      <c r="D2" s="336"/>
      <c r="E2" s="337"/>
      <c r="F2" s="337"/>
      <c r="G2" s="337"/>
    </row>
    <row r="3" spans="1:7" ht="21" customHeight="1">
      <c r="A3" s="3" t="s">
        <v>435</v>
      </c>
      <c r="B3" s="336"/>
      <c r="C3" s="336"/>
      <c r="D3" s="336"/>
      <c r="E3" s="337"/>
      <c r="F3" s="337"/>
      <c r="G3" s="337"/>
    </row>
    <row r="4" spans="1:7" ht="19.5" thickBot="1">
      <c r="C4" s="338"/>
      <c r="D4" s="339"/>
      <c r="G4" s="38" t="s">
        <v>187</v>
      </c>
    </row>
    <row r="5" spans="1:7" s="340" customFormat="1" ht="21" customHeight="1">
      <c r="A5" s="907" t="s">
        <v>110</v>
      </c>
      <c r="B5" s="897" t="s">
        <v>11</v>
      </c>
      <c r="C5" s="897" t="s">
        <v>298</v>
      </c>
      <c r="D5" s="897" t="s">
        <v>424</v>
      </c>
      <c r="E5" s="897" t="s">
        <v>398</v>
      </c>
      <c r="F5" s="897" t="s">
        <v>294</v>
      </c>
      <c r="G5" s="903" t="s">
        <v>295</v>
      </c>
    </row>
    <row r="6" spans="1:7" s="340" customFormat="1" ht="21" customHeight="1">
      <c r="A6" s="908"/>
      <c r="B6" s="898"/>
      <c r="C6" s="898"/>
      <c r="D6" s="898"/>
      <c r="E6" s="898"/>
      <c r="F6" s="898"/>
      <c r="G6" s="904"/>
    </row>
    <row r="7" spans="1:7" s="340" customFormat="1" ht="21" customHeight="1">
      <c r="A7" s="908"/>
      <c r="B7" s="898"/>
      <c r="C7" s="898"/>
      <c r="D7" s="898"/>
      <c r="E7" s="898"/>
      <c r="F7" s="898"/>
      <c r="G7" s="904"/>
    </row>
    <row r="8" spans="1:7" s="341" customFormat="1" ht="21" customHeight="1">
      <c r="A8" s="909"/>
      <c r="B8" s="899"/>
      <c r="C8" s="899"/>
      <c r="D8" s="899"/>
      <c r="E8" s="899"/>
      <c r="F8" s="899"/>
      <c r="G8" s="905"/>
    </row>
    <row r="9" spans="1:7" s="442" customFormat="1" ht="17.25" customHeight="1">
      <c r="A9" s="445" t="s">
        <v>15</v>
      </c>
      <c r="B9" s="440" t="s">
        <v>16</v>
      </c>
      <c r="C9" s="441">
        <v>1</v>
      </c>
      <c r="D9" s="441">
        <v>2</v>
      </c>
      <c r="E9" s="441">
        <v>3</v>
      </c>
      <c r="F9" s="441">
        <v>4</v>
      </c>
      <c r="G9" s="505">
        <v>5</v>
      </c>
    </row>
    <row r="10" spans="1:7" s="342" customFormat="1" ht="23.25" customHeight="1">
      <c r="A10" s="411" t="s">
        <v>15</v>
      </c>
      <c r="B10" s="504" t="s">
        <v>308</v>
      </c>
      <c r="C10" s="454"/>
      <c r="D10" s="454"/>
      <c r="E10" s="454"/>
      <c r="F10" s="454"/>
      <c r="G10" s="455"/>
    </row>
    <row r="11" spans="1:7" s="343" customFormat="1" ht="23.25" customHeight="1">
      <c r="A11" s="11" t="s">
        <v>32</v>
      </c>
      <c r="B11" s="69" t="s">
        <v>411</v>
      </c>
      <c r="C11" s="452"/>
      <c r="D11" s="452"/>
      <c r="E11" s="452"/>
      <c r="F11" s="452"/>
      <c r="G11" s="453"/>
    </row>
    <row r="12" spans="1:7" s="344" customFormat="1" ht="23.25" customHeight="1">
      <c r="A12" s="30">
        <v>1</v>
      </c>
      <c r="B12" s="70" t="s">
        <v>79</v>
      </c>
      <c r="C12" s="454"/>
      <c r="D12" s="454"/>
      <c r="E12" s="454"/>
      <c r="F12" s="454"/>
      <c r="G12" s="455"/>
    </row>
    <row r="13" spans="1:7" s="344" customFormat="1" ht="23.25" customHeight="1">
      <c r="A13" s="27">
        <f>A12+1</f>
        <v>2</v>
      </c>
      <c r="B13" s="70" t="s">
        <v>68</v>
      </c>
      <c r="C13" s="456"/>
      <c r="D13" s="456"/>
      <c r="E13" s="456"/>
      <c r="F13" s="456"/>
      <c r="G13" s="457"/>
    </row>
    <row r="14" spans="1:7" s="344" customFormat="1" ht="23.25" customHeight="1">
      <c r="A14" s="30" t="s">
        <v>24</v>
      </c>
      <c r="B14" s="70" t="s">
        <v>177</v>
      </c>
      <c r="C14" s="456"/>
      <c r="D14" s="456"/>
      <c r="E14" s="456"/>
      <c r="F14" s="456"/>
      <c r="G14" s="457"/>
    </row>
    <row r="15" spans="1:7" s="344" customFormat="1" ht="23.25" customHeight="1">
      <c r="A15" s="30" t="s">
        <v>24</v>
      </c>
      <c r="B15" s="70" t="s">
        <v>184</v>
      </c>
      <c r="C15" s="456"/>
      <c r="D15" s="456"/>
      <c r="E15" s="456"/>
      <c r="F15" s="456"/>
      <c r="G15" s="457"/>
    </row>
    <row r="16" spans="1:7" s="343" customFormat="1" ht="23.25" customHeight="1">
      <c r="A16" s="27">
        <f>A13+1</f>
        <v>3</v>
      </c>
      <c r="B16" s="70" t="s">
        <v>202</v>
      </c>
      <c r="C16" s="450"/>
      <c r="D16" s="450"/>
      <c r="E16" s="450"/>
      <c r="F16" s="450"/>
      <c r="G16" s="451"/>
    </row>
    <row r="17" spans="1:7" s="342" customFormat="1" ht="23.25" customHeight="1">
      <c r="A17" s="27">
        <f>A16+1</f>
        <v>4</v>
      </c>
      <c r="B17" s="70" t="s">
        <v>65</v>
      </c>
      <c r="C17" s="454"/>
      <c r="D17" s="454"/>
      <c r="E17" s="454"/>
      <c r="F17" s="454"/>
      <c r="G17" s="455"/>
    </row>
    <row r="18" spans="1:7" s="342" customFormat="1" ht="23.25" customHeight="1">
      <c r="A18" s="27">
        <f>A17+1</f>
        <v>5</v>
      </c>
      <c r="B18" s="70" t="s">
        <v>155</v>
      </c>
      <c r="C18" s="454"/>
      <c r="D18" s="454"/>
      <c r="E18" s="454"/>
      <c r="F18" s="454"/>
      <c r="G18" s="455"/>
    </row>
    <row r="19" spans="1:7" s="342" customFormat="1" ht="23.25" customHeight="1">
      <c r="A19" s="11" t="s">
        <v>33</v>
      </c>
      <c r="B19" s="69" t="s">
        <v>78</v>
      </c>
      <c r="C19" s="454"/>
      <c r="D19" s="454"/>
      <c r="E19" s="454"/>
      <c r="F19" s="454"/>
      <c r="G19" s="455"/>
    </row>
    <row r="20" spans="1:7" s="342" customFormat="1" ht="23.25" customHeight="1">
      <c r="A20" s="30">
        <v>1</v>
      </c>
      <c r="B20" s="70" t="s">
        <v>309</v>
      </c>
      <c r="C20" s="454"/>
      <c r="D20" s="454"/>
      <c r="E20" s="454"/>
      <c r="F20" s="454"/>
      <c r="G20" s="455"/>
    </row>
    <row r="21" spans="1:7" s="342" customFormat="1" ht="23.25" customHeight="1">
      <c r="A21" s="27">
        <f>A20+1</f>
        <v>2</v>
      </c>
      <c r="B21" s="70" t="s">
        <v>176</v>
      </c>
      <c r="C21" s="454"/>
      <c r="D21" s="454"/>
      <c r="E21" s="454"/>
      <c r="F21" s="454"/>
      <c r="G21" s="455"/>
    </row>
    <row r="22" spans="1:7" s="342" customFormat="1" ht="23.25" customHeight="1">
      <c r="A22" s="30" t="s">
        <v>24</v>
      </c>
      <c r="B22" s="70" t="s">
        <v>412</v>
      </c>
      <c r="C22" s="454"/>
      <c r="D22" s="454"/>
      <c r="E22" s="454"/>
      <c r="F22" s="454"/>
      <c r="G22" s="455"/>
    </row>
    <row r="23" spans="1:7" s="342" customFormat="1" ht="23.25" customHeight="1">
      <c r="A23" s="30" t="s">
        <v>24</v>
      </c>
      <c r="B23" s="70" t="s">
        <v>185</v>
      </c>
      <c r="C23" s="454"/>
      <c r="D23" s="454"/>
      <c r="E23" s="454"/>
      <c r="F23" s="454"/>
      <c r="G23" s="455"/>
    </row>
    <row r="24" spans="1:7" s="342" customFormat="1" ht="23.25" customHeight="1">
      <c r="A24" s="27">
        <f>A21+1</f>
        <v>3</v>
      </c>
      <c r="B24" s="70" t="s">
        <v>119</v>
      </c>
      <c r="C24" s="454"/>
      <c r="D24" s="454"/>
      <c r="E24" s="454"/>
      <c r="F24" s="454"/>
      <c r="G24" s="455"/>
    </row>
    <row r="25" spans="1:7" s="342" customFormat="1" ht="23.25" customHeight="1">
      <c r="A25" s="67" t="s">
        <v>34</v>
      </c>
      <c r="B25" s="74" t="s">
        <v>310</v>
      </c>
      <c r="C25" s="454"/>
      <c r="D25" s="454"/>
      <c r="E25" s="454"/>
      <c r="F25" s="454"/>
      <c r="G25" s="455"/>
    </row>
    <row r="26" spans="1:7" s="342" customFormat="1" ht="23.25" customHeight="1">
      <c r="A26" s="11" t="s">
        <v>16</v>
      </c>
      <c r="B26" s="72" t="s">
        <v>311</v>
      </c>
      <c r="C26" s="454"/>
      <c r="D26" s="454"/>
      <c r="E26" s="454"/>
      <c r="F26" s="454"/>
      <c r="G26" s="455"/>
    </row>
    <row r="27" spans="1:7" s="342" customFormat="1" ht="23.25" customHeight="1">
      <c r="A27" s="11" t="s">
        <v>32</v>
      </c>
      <c r="B27" s="69" t="s">
        <v>411</v>
      </c>
      <c r="C27" s="454"/>
      <c r="D27" s="454"/>
      <c r="E27" s="454"/>
      <c r="F27" s="454"/>
      <c r="G27" s="455"/>
    </row>
    <row r="28" spans="1:7" s="342" customFormat="1" ht="23.25" customHeight="1">
      <c r="A28" s="30">
        <v>1</v>
      </c>
      <c r="B28" s="70" t="s">
        <v>79</v>
      </c>
      <c r="C28" s="454"/>
      <c r="D28" s="454"/>
      <c r="E28" s="454"/>
      <c r="F28" s="454"/>
      <c r="G28" s="455"/>
    </row>
    <row r="29" spans="1:7" s="342" customFormat="1" ht="23.25" customHeight="1">
      <c r="A29" s="27">
        <f>A28+1</f>
        <v>2</v>
      </c>
      <c r="B29" s="70" t="s">
        <v>68</v>
      </c>
      <c r="C29" s="454"/>
      <c r="D29" s="454"/>
      <c r="E29" s="454"/>
      <c r="F29" s="454"/>
      <c r="G29" s="455"/>
    </row>
    <row r="30" spans="1:7" s="342" customFormat="1" ht="23.25" customHeight="1">
      <c r="A30" s="30" t="s">
        <v>24</v>
      </c>
      <c r="B30" s="70" t="s">
        <v>177</v>
      </c>
      <c r="C30" s="454"/>
      <c r="D30" s="454"/>
      <c r="E30" s="454"/>
      <c r="F30" s="454"/>
      <c r="G30" s="455"/>
    </row>
    <row r="31" spans="1:7" s="344" customFormat="1" ht="23.25" customHeight="1">
      <c r="A31" s="30" t="s">
        <v>24</v>
      </c>
      <c r="B31" s="70" t="s">
        <v>184</v>
      </c>
      <c r="C31" s="456"/>
      <c r="D31" s="456"/>
      <c r="E31" s="456"/>
      <c r="F31" s="456"/>
      <c r="G31" s="457"/>
    </row>
    <row r="32" spans="1:7" s="345" customFormat="1" ht="23.25" customHeight="1">
      <c r="A32" s="27">
        <f>A29+1</f>
        <v>3</v>
      </c>
      <c r="B32" s="70" t="s">
        <v>65</v>
      </c>
      <c r="C32" s="458"/>
      <c r="D32" s="458"/>
      <c r="E32" s="458"/>
      <c r="F32" s="458"/>
      <c r="G32" s="459"/>
    </row>
    <row r="33" spans="1:10" s="345" customFormat="1" ht="23.25" customHeight="1">
      <c r="A33" s="27">
        <f>A32+1</f>
        <v>4</v>
      </c>
      <c r="B33" s="70" t="s">
        <v>155</v>
      </c>
      <c r="C33" s="458"/>
      <c r="D33" s="458"/>
      <c r="E33" s="458"/>
      <c r="F33" s="458"/>
      <c r="G33" s="459"/>
    </row>
    <row r="34" spans="1:10" s="342" customFormat="1" ht="23.25" customHeight="1">
      <c r="A34" s="11" t="s">
        <v>33</v>
      </c>
      <c r="B34" s="69" t="s">
        <v>78</v>
      </c>
      <c r="C34" s="454"/>
      <c r="D34" s="454"/>
      <c r="E34" s="454"/>
      <c r="F34" s="454"/>
      <c r="G34" s="455"/>
    </row>
    <row r="35" spans="1:10" s="343" customFormat="1" ht="23.25" customHeight="1">
      <c r="A35" s="30">
        <v>1</v>
      </c>
      <c r="B35" s="70" t="s">
        <v>312</v>
      </c>
      <c r="C35" s="452"/>
      <c r="D35" s="452"/>
      <c r="E35" s="452"/>
      <c r="F35" s="452"/>
      <c r="G35" s="453"/>
    </row>
    <row r="36" spans="1:10" s="346" customFormat="1" ht="23.25" customHeight="1">
      <c r="A36" s="27">
        <f>A35+1</f>
        <v>2</v>
      </c>
      <c r="B36" s="70" t="s">
        <v>176</v>
      </c>
      <c r="C36" s="454"/>
      <c r="D36" s="454"/>
      <c r="E36" s="454"/>
      <c r="F36" s="454"/>
      <c r="G36" s="455"/>
    </row>
    <row r="37" spans="1:10" s="346" customFormat="1" ht="23.25" customHeight="1">
      <c r="A37" s="30" t="s">
        <v>24</v>
      </c>
      <c r="B37" s="70" t="s">
        <v>412</v>
      </c>
      <c r="C37" s="454"/>
      <c r="D37" s="454"/>
      <c r="E37" s="454"/>
      <c r="F37" s="454"/>
      <c r="G37" s="455"/>
    </row>
    <row r="38" spans="1:10" s="346" customFormat="1" ht="23.25" customHeight="1">
      <c r="A38" s="30" t="s">
        <v>24</v>
      </c>
      <c r="B38" s="70" t="s">
        <v>185</v>
      </c>
      <c r="C38" s="454"/>
      <c r="D38" s="454"/>
      <c r="E38" s="454"/>
      <c r="F38" s="454"/>
      <c r="G38" s="455"/>
    </row>
    <row r="39" spans="1:10" s="343" customFormat="1" ht="23.25" customHeight="1">
      <c r="A39" s="27">
        <f>A36+1</f>
        <v>3</v>
      </c>
      <c r="B39" s="70" t="s">
        <v>119</v>
      </c>
      <c r="C39" s="452"/>
      <c r="D39" s="452"/>
      <c r="E39" s="452"/>
      <c r="F39" s="452"/>
      <c r="G39" s="453"/>
    </row>
    <row r="40" spans="1:10" s="342" customFormat="1" ht="16.5" thickBot="1">
      <c r="A40" s="446"/>
      <c r="B40" s="447"/>
      <c r="C40" s="448"/>
      <c r="D40" s="448"/>
      <c r="E40" s="448"/>
      <c r="F40" s="448"/>
      <c r="G40" s="449"/>
    </row>
    <row r="41" spans="1:10" s="342" customFormat="1" ht="26.25" customHeight="1">
      <c r="A41" s="546" t="s">
        <v>436</v>
      </c>
      <c r="B41" s="329"/>
      <c r="C41" s="329"/>
      <c r="D41" s="330"/>
      <c r="E41" s="545"/>
      <c r="F41" s="545"/>
      <c r="G41" s="545"/>
      <c r="H41" s="331"/>
      <c r="I41" s="327"/>
      <c r="J41" s="327"/>
    </row>
    <row r="42" spans="1:10">
      <c r="A42" s="461"/>
      <c r="B42" s="103"/>
      <c r="C42" s="534"/>
      <c r="D42" s="534"/>
      <c r="E42" s="534"/>
      <c r="F42" s="534"/>
      <c r="G42" s="534"/>
      <c r="H42" s="534"/>
      <c r="I42" s="534"/>
      <c r="J42" s="534"/>
    </row>
    <row r="43" spans="1:10">
      <c r="C43" s="347"/>
      <c r="D43" s="347"/>
      <c r="E43" s="347"/>
    </row>
    <row r="44" spans="1:10">
      <c r="C44" s="347"/>
      <c r="D44" s="347"/>
      <c r="E44" s="347"/>
    </row>
    <row r="45" spans="1:10">
      <c r="C45" s="347"/>
      <c r="D45" s="347"/>
      <c r="E45" s="347"/>
    </row>
    <row r="46" spans="1:10">
      <c r="C46" s="347"/>
      <c r="D46" s="347"/>
      <c r="E46" s="347"/>
    </row>
    <row r="47" spans="1:10">
      <c r="C47" s="347"/>
      <c r="D47" s="347"/>
      <c r="E47" s="347"/>
    </row>
    <row r="48" spans="1:10">
      <c r="C48" s="347"/>
      <c r="D48" s="347"/>
      <c r="E48" s="347"/>
    </row>
    <row r="49" spans="3:5">
      <c r="C49" s="347"/>
      <c r="D49" s="347"/>
      <c r="E49" s="347"/>
    </row>
    <row r="50" spans="3:5">
      <c r="C50" s="347"/>
      <c r="D50" s="347"/>
      <c r="E50" s="347"/>
    </row>
    <row r="51" spans="3:5">
      <c r="C51" s="347"/>
      <c r="D51" s="347"/>
      <c r="E51" s="347"/>
    </row>
    <row r="52" spans="3:5">
      <c r="C52" s="347"/>
      <c r="D52" s="347"/>
      <c r="E52" s="347"/>
    </row>
    <row r="53" spans="3:5">
      <c r="C53" s="347"/>
      <c r="D53" s="347"/>
      <c r="E53" s="347"/>
    </row>
    <row r="54" spans="3:5">
      <c r="C54" s="347"/>
      <c r="D54" s="347"/>
      <c r="E54" s="347"/>
    </row>
    <row r="55" spans="3:5">
      <c r="C55" s="347"/>
      <c r="D55" s="347"/>
      <c r="E55" s="347"/>
    </row>
    <row r="56" spans="3:5">
      <c r="C56" s="347"/>
      <c r="D56" s="347"/>
      <c r="E56" s="347"/>
    </row>
    <row r="57" spans="3:5">
      <c r="C57" s="347"/>
      <c r="D57" s="347"/>
      <c r="E57" s="347"/>
    </row>
    <row r="58" spans="3:5">
      <c r="C58" s="347"/>
      <c r="D58" s="347"/>
      <c r="E58" s="347"/>
    </row>
    <row r="59" spans="3:5">
      <c r="C59" s="347"/>
      <c r="D59" s="347"/>
      <c r="E59" s="347"/>
    </row>
    <row r="60" spans="3:5">
      <c r="C60" s="347"/>
      <c r="D60" s="347"/>
      <c r="E60" s="347"/>
    </row>
    <row r="61" spans="3:5">
      <c r="C61" s="347"/>
      <c r="D61" s="347"/>
      <c r="E61" s="347"/>
    </row>
    <row r="62" spans="3:5">
      <c r="C62" s="347"/>
      <c r="D62" s="347"/>
      <c r="E62" s="347"/>
    </row>
    <row r="63" spans="3:5">
      <c r="C63" s="347"/>
      <c r="D63" s="347"/>
      <c r="E63" s="347"/>
    </row>
    <row r="64" spans="3:5">
      <c r="C64" s="347"/>
      <c r="D64" s="347"/>
      <c r="E64" s="347"/>
    </row>
    <row r="65" spans="3:5">
      <c r="C65" s="347"/>
      <c r="D65" s="347"/>
      <c r="E65" s="347"/>
    </row>
    <row r="66" spans="3:5">
      <c r="C66" s="347"/>
      <c r="D66" s="347"/>
      <c r="E66" s="347"/>
    </row>
    <row r="67" spans="3:5">
      <c r="C67" s="347"/>
      <c r="D67" s="347"/>
      <c r="E67" s="347"/>
    </row>
    <row r="68" spans="3:5">
      <c r="C68" s="347"/>
      <c r="D68" s="347"/>
      <c r="E68" s="347"/>
    </row>
    <row r="69" spans="3:5">
      <c r="C69" s="347"/>
      <c r="D69" s="347"/>
      <c r="E69" s="347"/>
    </row>
    <row r="70" spans="3:5">
      <c r="C70" s="347"/>
      <c r="D70" s="347"/>
      <c r="E70" s="347"/>
    </row>
    <row r="71" spans="3:5">
      <c r="C71" s="347"/>
      <c r="D71" s="347"/>
      <c r="E71" s="347"/>
    </row>
    <row r="72" spans="3:5">
      <c r="C72" s="347"/>
      <c r="D72" s="347"/>
      <c r="E72" s="347"/>
    </row>
    <row r="73" spans="3:5">
      <c r="C73" s="347"/>
      <c r="D73" s="347"/>
      <c r="E73" s="347"/>
    </row>
    <row r="74" spans="3:5">
      <c r="C74" s="347"/>
      <c r="D74" s="347"/>
      <c r="E74" s="347"/>
    </row>
    <row r="75" spans="3:5">
      <c r="C75" s="347"/>
      <c r="D75" s="347"/>
      <c r="E75" s="347"/>
    </row>
    <row r="76" spans="3:5">
      <c r="C76" s="347"/>
      <c r="D76" s="347"/>
      <c r="E76" s="347"/>
    </row>
    <row r="77" spans="3:5">
      <c r="C77" s="347"/>
      <c r="D77" s="347"/>
      <c r="E77" s="347"/>
    </row>
    <row r="78" spans="3:5">
      <c r="C78" s="347"/>
      <c r="D78" s="347"/>
      <c r="E78" s="347"/>
    </row>
    <row r="79" spans="3:5">
      <c r="C79" s="347"/>
      <c r="D79" s="347"/>
      <c r="E79" s="347"/>
    </row>
    <row r="80" spans="3:5">
      <c r="C80" s="347"/>
      <c r="D80" s="347"/>
      <c r="E80" s="347"/>
    </row>
    <row r="81" spans="1:5">
      <c r="C81" s="347"/>
      <c r="D81" s="347"/>
      <c r="E81" s="347"/>
    </row>
    <row r="84" spans="1:5" s="348" customFormat="1">
      <c r="A84" s="443"/>
      <c r="B84" s="75"/>
      <c r="C84" s="75"/>
      <c r="D84" s="75"/>
      <c r="E84" s="75"/>
    </row>
    <row r="85" spans="1:5" s="348" customFormat="1">
      <c r="A85" s="443"/>
      <c r="B85" s="75"/>
      <c r="C85" s="75"/>
      <c r="D85" s="75"/>
      <c r="E85" s="75"/>
    </row>
    <row r="86" spans="1:5" s="348" customFormat="1">
      <c r="A86" s="443"/>
      <c r="B86" s="75"/>
      <c r="C86" s="75"/>
      <c r="D86" s="75"/>
      <c r="E86" s="75"/>
    </row>
    <row r="87" spans="1:5" s="348" customFormat="1">
      <c r="A87" s="443"/>
      <c r="B87" s="75"/>
      <c r="C87" s="75"/>
      <c r="D87" s="75"/>
      <c r="E87" s="75"/>
    </row>
    <row r="88" spans="1:5" s="348" customFormat="1">
      <c r="A88" s="443"/>
      <c r="B88" s="75"/>
      <c r="C88" s="75"/>
      <c r="D88" s="75"/>
      <c r="E88" s="75"/>
    </row>
    <row r="89" spans="1:5" s="348" customFormat="1">
      <c r="A89" s="443"/>
      <c r="B89" s="75"/>
      <c r="C89" s="75"/>
      <c r="D89" s="75"/>
      <c r="E89" s="75"/>
    </row>
    <row r="90" spans="1:5" s="348" customFormat="1">
      <c r="A90" s="443"/>
      <c r="B90" s="75"/>
      <c r="C90" s="75"/>
      <c r="D90" s="75"/>
      <c r="E90" s="75"/>
    </row>
    <row r="91" spans="1:5" s="348" customFormat="1">
      <c r="A91" s="443"/>
      <c r="B91" s="75"/>
      <c r="C91" s="75"/>
      <c r="D91" s="75"/>
      <c r="E91" s="75"/>
    </row>
    <row r="92" spans="1:5" s="348" customFormat="1">
      <c r="A92" s="443"/>
      <c r="B92" s="75"/>
      <c r="C92" s="75"/>
      <c r="D92" s="75"/>
      <c r="E92" s="75"/>
    </row>
    <row r="93" spans="1:5" s="348" customFormat="1">
      <c r="A93" s="443"/>
      <c r="B93" s="75"/>
      <c r="C93" s="75"/>
      <c r="D93" s="75"/>
      <c r="E93" s="75"/>
    </row>
    <row r="94" spans="1:5" s="348" customFormat="1">
      <c r="A94" s="443"/>
      <c r="B94" s="75"/>
      <c r="C94" s="75"/>
      <c r="D94" s="75"/>
      <c r="E94" s="75"/>
    </row>
    <row r="95" spans="1:5" s="348" customFormat="1">
      <c r="A95" s="443"/>
      <c r="B95" s="75"/>
      <c r="C95" s="75"/>
      <c r="D95" s="75"/>
      <c r="E95" s="75"/>
    </row>
    <row r="96" spans="1:5" s="348" customFormat="1">
      <c r="A96" s="443"/>
      <c r="B96" s="75"/>
      <c r="C96" s="75"/>
      <c r="D96" s="75"/>
      <c r="E96" s="75"/>
    </row>
    <row r="97" spans="1:5" s="348" customFormat="1">
      <c r="A97" s="443"/>
      <c r="B97" s="75"/>
      <c r="C97" s="75"/>
      <c r="D97" s="75"/>
      <c r="E97" s="75"/>
    </row>
  </sheetData>
  <mergeCells count="7">
    <mergeCell ref="F5:F8"/>
    <mergeCell ref="G5:G8"/>
    <mergeCell ref="A5:A8"/>
    <mergeCell ref="B5:B8"/>
    <mergeCell ref="C5:C8"/>
    <mergeCell ref="D5:D8"/>
    <mergeCell ref="E5:E8"/>
  </mergeCells>
  <printOptions horizontalCentered="1"/>
  <pageMargins left="0.17" right="0.16" top="0.68" bottom="0.23" header="0.44" footer="0.17"/>
  <pageSetup paperSize="9" scale="86" orientation="portrait" r:id="rId1"/>
  <headerFooter>
    <oddHeader>&amp;C13</oddHeader>
  </headerFooter>
</worksheet>
</file>

<file path=xl/worksheets/sheet9.xml><?xml version="1.0" encoding="utf-8"?>
<worksheet xmlns="http://schemas.openxmlformats.org/spreadsheetml/2006/main" xmlns:r="http://schemas.openxmlformats.org/officeDocument/2006/relationships">
  <sheetPr>
    <pageSetUpPr fitToPage="1"/>
  </sheetPr>
  <dimension ref="A1:J31"/>
  <sheetViews>
    <sheetView topLeftCell="A22" workbookViewId="0">
      <selection activeCell="I48" sqref="I48"/>
    </sheetView>
  </sheetViews>
  <sheetFormatPr defaultColWidth="10" defaultRowHeight="16.5"/>
  <cols>
    <col min="1" max="1" width="4.625" style="432" customWidth="1"/>
    <col min="2" max="2" width="73.5" style="355" customWidth="1"/>
    <col min="3" max="3" width="11.25" style="355" customWidth="1"/>
    <col min="4" max="7" width="11.125" style="355" customWidth="1"/>
    <col min="8" max="16384" width="10" style="355"/>
  </cols>
  <sheetData>
    <row r="1" spans="1:7" s="351" customFormat="1" ht="18.75">
      <c r="A1" s="349"/>
      <c r="B1" s="350"/>
      <c r="E1" s="352"/>
      <c r="G1" s="39" t="s">
        <v>170</v>
      </c>
    </row>
    <row r="2" spans="1:7" ht="21" customHeight="1">
      <c r="A2" s="353" t="s">
        <v>313</v>
      </c>
      <c r="B2" s="353"/>
      <c r="C2" s="353"/>
      <c r="D2" s="353"/>
      <c r="E2" s="353"/>
      <c r="F2" s="354"/>
      <c r="G2" s="354"/>
    </row>
    <row r="3" spans="1:7" ht="21" customHeight="1">
      <c r="A3" s="3" t="s">
        <v>435</v>
      </c>
      <c r="B3" s="353"/>
      <c r="C3" s="353"/>
      <c r="D3" s="353"/>
      <c r="E3" s="353"/>
      <c r="F3" s="354"/>
      <c r="G3" s="354"/>
    </row>
    <row r="4" spans="1:7" ht="12.75" customHeight="1">
      <c r="A4" s="3"/>
      <c r="B4" s="353"/>
      <c r="C4" s="353"/>
      <c r="D4" s="353"/>
      <c r="E4" s="353"/>
      <c r="F4" s="354"/>
      <c r="G4" s="354"/>
    </row>
    <row r="5" spans="1:7" ht="20.25" thickBot="1">
      <c r="B5" s="356"/>
      <c r="C5" s="356"/>
      <c r="D5" s="910"/>
      <c r="E5" s="910"/>
      <c r="G5" s="38" t="s">
        <v>187</v>
      </c>
    </row>
    <row r="6" spans="1:7" s="506" customFormat="1" ht="19.5" customHeight="1">
      <c r="A6" s="911" t="s">
        <v>425</v>
      </c>
      <c r="B6" s="897" t="s">
        <v>11</v>
      </c>
      <c r="C6" s="897" t="s">
        <v>298</v>
      </c>
      <c r="D6" s="897" t="s">
        <v>399</v>
      </c>
      <c r="E6" s="914" t="s">
        <v>111</v>
      </c>
      <c r="F6" s="897" t="s">
        <v>294</v>
      </c>
      <c r="G6" s="903" t="s">
        <v>295</v>
      </c>
    </row>
    <row r="7" spans="1:7" s="506" customFormat="1" ht="19.5" customHeight="1">
      <c r="A7" s="912"/>
      <c r="B7" s="898"/>
      <c r="C7" s="898"/>
      <c r="D7" s="898"/>
      <c r="E7" s="915"/>
      <c r="F7" s="898"/>
      <c r="G7" s="904"/>
    </row>
    <row r="8" spans="1:7" s="506" customFormat="1" ht="19.5" customHeight="1">
      <c r="A8" s="912"/>
      <c r="B8" s="898"/>
      <c r="C8" s="898"/>
      <c r="D8" s="898"/>
      <c r="E8" s="915"/>
      <c r="F8" s="898"/>
      <c r="G8" s="904"/>
    </row>
    <row r="9" spans="1:7" s="506" customFormat="1" ht="19.5" customHeight="1">
      <c r="A9" s="913"/>
      <c r="B9" s="899"/>
      <c r="C9" s="899"/>
      <c r="D9" s="899"/>
      <c r="E9" s="916"/>
      <c r="F9" s="899"/>
      <c r="G9" s="905"/>
    </row>
    <row r="10" spans="1:7" s="438" customFormat="1" ht="17.25" customHeight="1">
      <c r="A10" s="433" t="s">
        <v>15</v>
      </c>
      <c r="B10" s="434" t="s">
        <v>16</v>
      </c>
      <c r="C10" s="434">
        <v>1</v>
      </c>
      <c r="D10" s="434">
        <v>2</v>
      </c>
      <c r="E10" s="435" t="s">
        <v>84</v>
      </c>
      <c r="F10" s="436">
        <v>4</v>
      </c>
      <c r="G10" s="437">
        <v>5</v>
      </c>
    </row>
    <row r="11" spans="1:7" s="512" customFormat="1" ht="50.25" customHeight="1">
      <c r="A11" s="507"/>
      <c r="B11" s="513" t="s">
        <v>314</v>
      </c>
      <c r="C11" s="508"/>
      <c r="D11" s="508"/>
      <c r="E11" s="509"/>
      <c r="F11" s="510"/>
      <c r="G11" s="511"/>
    </row>
    <row r="12" spans="1:7" s="357" customFormat="1" ht="50.25" customHeight="1">
      <c r="A12" s="424" t="s">
        <v>15</v>
      </c>
      <c r="B12" s="517" t="s">
        <v>413</v>
      </c>
      <c r="C12" s="407"/>
      <c r="D12" s="407"/>
      <c r="E12" s="408"/>
      <c r="F12" s="409"/>
      <c r="G12" s="410"/>
    </row>
    <row r="13" spans="1:7" s="357" customFormat="1" ht="50.25" customHeight="1">
      <c r="A13" s="411" t="s">
        <v>32</v>
      </c>
      <c r="B13" s="518" t="s">
        <v>412</v>
      </c>
      <c r="C13" s="407"/>
      <c r="D13" s="407"/>
      <c r="E13" s="408"/>
      <c r="F13" s="409"/>
      <c r="G13" s="410"/>
    </row>
    <row r="14" spans="1:7" s="357" customFormat="1" ht="50.25" customHeight="1">
      <c r="A14" s="424" t="s">
        <v>33</v>
      </c>
      <c r="B14" s="518" t="s">
        <v>185</v>
      </c>
      <c r="C14" s="407"/>
      <c r="D14" s="407"/>
      <c r="E14" s="408"/>
      <c r="F14" s="409"/>
      <c r="G14" s="410"/>
    </row>
    <row r="15" spans="1:7" s="357" customFormat="1" ht="50.25" customHeight="1">
      <c r="A15" s="424" t="s">
        <v>16</v>
      </c>
      <c r="B15" s="517" t="s">
        <v>322</v>
      </c>
      <c r="C15" s="407"/>
      <c r="D15" s="407"/>
      <c r="E15" s="408"/>
      <c r="F15" s="409"/>
      <c r="G15" s="410"/>
    </row>
    <row r="16" spans="1:7" s="358" customFormat="1" ht="50.25" customHeight="1">
      <c r="A16" s="411" t="s">
        <v>32</v>
      </c>
      <c r="B16" s="514" t="s">
        <v>380</v>
      </c>
      <c r="C16" s="412"/>
      <c r="D16" s="412"/>
      <c r="E16" s="413"/>
      <c r="F16" s="414"/>
      <c r="G16" s="415"/>
    </row>
    <row r="17" spans="1:10" s="359" customFormat="1" ht="50.25" customHeight="1">
      <c r="A17" s="411">
        <v>1</v>
      </c>
      <c r="B17" s="515" t="s">
        <v>159</v>
      </c>
      <c r="C17" s="416"/>
      <c r="D17" s="416"/>
      <c r="E17" s="417"/>
      <c r="F17" s="418"/>
      <c r="G17" s="419"/>
    </row>
    <row r="18" spans="1:10" s="359" customFormat="1" ht="50.25" customHeight="1">
      <c r="A18" s="411"/>
      <c r="B18" s="542" t="s">
        <v>62</v>
      </c>
      <c r="C18" s="416"/>
      <c r="D18" s="416"/>
      <c r="E18" s="417"/>
      <c r="F18" s="418"/>
      <c r="G18" s="419"/>
    </row>
    <row r="19" spans="1:10" s="359" customFormat="1" ht="50.25" customHeight="1">
      <c r="A19" s="541" t="s">
        <v>24</v>
      </c>
      <c r="B19" s="543" t="s">
        <v>302</v>
      </c>
      <c r="C19" s="416"/>
      <c r="D19" s="416"/>
      <c r="E19" s="417"/>
      <c r="F19" s="418"/>
      <c r="G19" s="419"/>
    </row>
    <row r="20" spans="1:10" s="359" customFormat="1" ht="50.25" customHeight="1">
      <c r="A20" s="541" t="s">
        <v>24</v>
      </c>
      <c r="B20" s="543" t="s">
        <v>303</v>
      </c>
      <c r="C20" s="416"/>
      <c r="D20" s="416"/>
      <c r="E20" s="417"/>
      <c r="F20" s="418"/>
      <c r="G20" s="419"/>
    </row>
    <row r="21" spans="1:10" s="360" customFormat="1" ht="70.5" customHeight="1">
      <c r="A21" s="424">
        <v>2</v>
      </c>
      <c r="B21" s="102" t="s">
        <v>315</v>
      </c>
      <c r="C21" s="420"/>
      <c r="D21" s="420"/>
      <c r="E21" s="421"/>
      <c r="F21" s="422"/>
      <c r="G21" s="423"/>
    </row>
    <row r="22" spans="1:10" s="358" customFormat="1" ht="50.25" customHeight="1">
      <c r="A22" s="424" t="s">
        <v>33</v>
      </c>
      <c r="B22" s="516" t="s">
        <v>42</v>
      </c>
      <c r="C22" s="425"/>
      <c r="D22" s="425"/>
      <c r="E22" s="413"/>
      <c r="F22" s="426"/>
      <c r="G22" s="427"/>
    </row>
    <row r="23" spans="1:10" s="359" customFormat="1" ht="50.25" customHeight="1">
      <c r="A23" s="411"/>
      <c r="B23" s="542" t="s">
        <v>62</v>
      </c>
      <c r="C23" s="416"/>
      <c r="D23" s="416"/>
      <c r="E23" s="417"/>
      <c r="F23" s="418"/>
      <c r="G23" s="419"/>
    </row>
    <row r="24" spans="1:10" s="359" customFormat="1" ht="50.25" customHeight="1">
      <c r="A24" s="541" t="s">
        <v>24</v>
      </c>
      <c r="B24" s="543" t="s">
        <v>302</v>
      </c>
      <c r="C24" s="416"/>
      <c r="D24" s="416"/>
      <c r="E24" s="417"/>
      <c r="F24" s="418"/>
      <c r="G24" s="419"/>
    </row>
    <row r="25" spans="1:10" s="359" customFormat="1" ht="50.25" customHeight="1">
      <c r="A25" s="541" t="s">
        <v>24</v>
      </c>
      <c r="B25" s="543" t="s">
        <v>303</v>
      </c>
      <c r="C25" s="416"/>
      <c r="D25" s="416"/>
      <c r="E25" s="417"/>
      <c r="F25" s="418"/>
      <c r="G25" s="419"/>
    </row>
    <row r="26" spans="1:10" s="361" customFormat="1" ht="50.25" customHeight="1">
      <c r="A26" s="424" t="s">
        <v>34</v>
      </c>
      <c r="B26" s="516" t="s">
        <v>160</v>
      </c>
      <c r="C26" s="428"/>
      <c r="D26" s="428"/>
      <c r="E26" s="429"/>
      <c r="F26" s="430"/>
      <c r="G26" s="431"/>
    </row>
    <row r="27" spans="1:10" s="365" customFormat="1" ht="17.25" thickBot="1">
      <c r="A27" s="439"/>
      <c r="B27" s="362"/>
      <c r="C27" s="362"/>
      <c r="D27" s="362"/>
      <c r="E27" s="362"/>
      <c r="F27" s="363"/>
      <c r="G27" s="364"/>
    </row>
    <row r="28" spans="1:10" s="365" customFormat="1" ht="27.75" customHeight="1">
      <c r="A28" s="820" t="s">
        <v>445</v>
      </c>
      <c r="B28" s="820"/>
      <c r="C28" s="820"/>
      <c r="D28" s="820"/>
      <c r="E28" s="820"/>
      <c r="F28" s="820"/>
      <c r="G28" s="820"/>
      <c r="H28" s="552"/>
      <c r="I28" s="552"/>
      <c r="J28" s="552"/>
    </row>
    <row r="29" spans="1:10" s="365" customFormat="1" ht="16.5" customHeight="1">
      <c r="A29" s="550"/>
      <c r="B29" s="917" t="s">
        <v>446</v>
      </c>
      <c r="C29" s="917"/>
      <c r="D29" s="917"/>
      <c r="E29" s="917"/>
      <c r="F29" s="917"/>
      <c r="G29" s="917"/>
      <c r="H29" s="551"/>
      <c r="I29" s="551"/>
      <c r="J29" s="551"/>
    </row>
    <row r="30" spans="1:10" s="365" customFormat="1" ht="16.5" customHeight="1">
      <c r="A30" s="358"/>
      <c r="B30" s="892" t="s">
        <v>447</v>
      </c>
      <c r="C30" s="892"/>
      <c r="D30" s="892"/>
      <c r="E30" s="892"/>
      <c r="F30" s="892"/>
      <c r="G30" s="892"/>
      <c r="H30" s="534"/>
      <c r="I30" s="534"/>
    </row>
    <row r="31" spans="1:10" s="365" customFormat="1">
      <c r="A31" s="358"/>
    </row>
  </sheetData>
  <mergeCells count="11">
    <mergeCell ref="A28:G28"/>
    <mergeCell ref="B29:G29"/>
    <mergeCell ref="B30:G30"/>
    <mergeCell ref="F6:F9"/>
    <mergeCell ref="G6:G9"/>
    <mergeCell ref="D5:E5"/>
    <mergeCell ref="A6:A9"/>
    <mergeCell ref="B6:B9"/>
    <mergeCell ref="C6:C9"/>
    <mergeCell ref="D6:D9"/>
    <mergeCell ref="E6:E9"/>
  </mergeCells>
  <printOptions horizontalCentered="1"/>
  <pageMargins left="0.19" right="0.3" top="0.63" bottom="0.26" header="0.34" footer="0.17"/>
  <pageSetup paperSize="9" scale="69" orientation="portrait" r:id="rId1"/>
  <headerFooter>
    <oddHeader>&amp;C14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A448EE-11FD-44CE-B83B-6F3D0A1AC6AE}">
  <ds:schemaRefs>
    <ds:schemaRef ds:uri="http://schemas.microsoft.com/sharepoint/v3/contenttype/forms"/>
  </ds:schemaRefs>
</ds:datastoreItem>
</file>

<file path=customXml/itemProps2.xml><?xml version="1.0" encoding="utf-8"?>
<ds:datastoreItem xmlns:ds="http://schemas.openxmlformats.org/officeDocument/2006/customXml" ds:itemID="{18840685-6E84-4B35-A5DA-61F22C65EB8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C4787AD3-3B07-41AE-BD4C-7F4F350E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34</vt:i4>
      </vt:variant>
    </vt:vector>
  </HeadingPairs>
  <TitlesOfParts>
    <vt:vector size="56" baseType="lpstr">
      <vt:lpstr>PL0101</vt:lpstr>
      <vt:lpstr>PL0202 - Thue</vt:lpstr>
      <vt:lpstr>PL0300</vt:lpstr>
      <vt:lpstr>PL0400</vt:lpstr>
      <vt:lpstr>PL0500</vt:lpstr>
      <vt:lpstr>PL0603</vt:lpstr>
      <vt:lpstr>PL0700</vt:lpstr>
      <vt:lpstr>PL0900</vt:lpstr>
      <vt:lpstr>PL1000</vt:lpstr>
      <vt:lpstr>PL1100</vt:lpstr>
      <vt:lpstr>PL48</vt:lpstr>
      <vt:lpstr>PL50</vt:lpstr>
      <vt:lpstr>PL51</vt:lpstr>
      <vt:lpstr>PL52</vt:lpstr>
      <vt:lpstr>PL53</vt:lpstr>
      <vt:lpstr>PL53 (2)</vt:lpstr>
      <vt:lpstr>PL54</vt:lpstr>
      <vt:lpstr>PL54 (2)</vt:lpstr>
      <vt:lpstr>PL54 (3)</vt:lpstr>
      <vt:lpstr>PL58</vt:lpstr>
      <vt:lpstr>PL59</vt:lpstr>
      <vt:lpstr>PL61</vt:lpstr>
      <vt:lpstr>'PL0101'!Print_Area</vt:lpstr>
      <vt:lpstr>'PL0202 - Thue'!Print_Area</vt:lpstr>
      <vt:lpstr>'PL0300'!Print_Area</vt:lpstr>
      <vt:lpstr>'PL0400'!Print_Area</vt:lpstr>
      <vt:lpstr>'PL0500'!Print_Area</vt:lpstr>
      <vt:lpstr>'PL0603'!Print_Area</vt:lpstr>
      <vt:lpstr>'PL0700'!Print_Area</vt:lpstr>
      <vt:lpstr>'PL0900'!Print_Area</vt:lpstr>
      <vt:lpstr>'PL1000'!Print_Area</vt:lpstr>
      <vt:lpstr>'PL1100'!Print_Area</vt:lpstr>
      <vt:lpstr>'PL48'!Print_Area</vt:lpstr>
      <vt:lpstr>'PL50'!Print_Area</vt:lpstr>
      <vt:lpstr>'PL51'!Print_Area</vt:lpstr>
      <vt:lpstr>'PL52'!Print_Area</vt:lpstr>
      <vt:lpstr>'PL53'!Print_Area</vt:lpstr>
      <vt:lpstr>'PL53 (2)'!Print_Area</vt:lpstr>
      <vt:lpstr>'PL54'!Print_Area</vt:lpstr>
      <vt:lpstr>'PL54 (2)'!Print_Area</vt:lpstr>
      <vt:lpstr>'PL54 (3)'!Print_Area</vt:lpstr>
      <vt:lpstr>'PL58'!Print_Area</vt:lpstr>
      <vt:lpstr>'PL0101'!Print_Titles</vt:lpstr>
      <vt:lpstr>'PL0202 - Thue'!Print_Titles</vt:lpstr>
      <vt:lpstr>'PL48'!Print_Titles</vt:lpstr>
      <vt:lpstr>'PL50'!Print_Titles</vt:lpstr>
      <vt:lpstr>'PL51'!Print_Titles</vt:lpstr>
      <vt:lpstr>'PL52'!Print_Titles</vt:lpstr>
      <vt:lpstr>'PL53'!Print_Titles</vt:lpstr>
      <vt:lpstr>'PL53 (2)'!Print_Titles</vt:lpstr>
      <vt:lpstr>'PL54'!Print_Titles</vt:lpstr>
      <vt:lpstr>'PL54 (2)'!Print_Titles</vt:lpstr>
      <vt:lpstr>'PL54 (3)'!Print_Titles</vt:lpstr>
      <vt:lpstr>'PL58'!Print_Titles</vt:lpstr>
      <vt:lpstr>'PL59'!Print_Titles</vt:lpstr>
      <vt:lpstr>'PL61'!Print_Titles</vt:lpstr>
    </vt:vector>
  </TitlesOfParts>
  <Company>Ministry of Finance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 Viet Hung</dc:creator>
  <cp:lastModifiedBy>nguyenvonhathang</cp:lastModifiedBy>
  <cp:lastPrinted>2019-12-31T08:16:08Z</cp:lastPrinted>
  <dcterms:created xsi:type="dcterms:W3CDTF">2001-01-04T01:21:32Z</dcterms:created>
  <dcterms:modified xsi:type="dcterms:W3CDTF">2020-01-06T02:31:39Z</dcterms:modified>
</cp:coreProperties>
</file>