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xl/comments1.xml" ContentType="application/vnd.openxmlformats-officedocument.spreadsheetml.comments+xml"/>
  <Override PartName="/docProps/app.xml" ContentType="application/vnd.openxmlformats-officedocument.extended-properties+xml"/>
  <Override PartName="/xl/calcChain.xml" ContentType="application/vnd.openxmlformats-officedocument.spreadsheetml.calcChain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H.TRANG\Nhiệm vụ cá nhân năm 2019\Công khai dự toán\CÔNG KHAI NGÂN SÁCH\CÔNG KHAI LÊN CTT\2019\BC QT NSĐP năm 2018\"/>
    </mc:Choice>
  </mc:AlternateContent>
  <bookViews>
    <workbookView xWindow="0" yWindow="0" windowWidth="20490" windowHeight="7755"/>
  </bookViews>
  <sheets>
    <sheet name="Biểu số 66" sheetId="1" r:id="rId1"/>
  </sheets>
  <definedNames>
    <definedName name="chuong_phuluc_54" localSheetId="0">'Biểu số 66'!$AF$1</definedName>
    <definedName name="chuong_phuluc_54_name" localSheetId="0">'Biểu số 66'!$A$2</definedName>
    <definedName name="_xlnm.Print_Titles" localSheetId="0">'Biểu số 66'!$6:$8</definedName>
  </definedNames>
  <calcPr calcId="152511" fullCalcOnLoad="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V100" i="1" l="1"/>
  <c r="T100" i="1"/>
  <c r="Q100" i="1" s="1"/>
  <c r="N100" i="1"/>
  <c r="C100" i="1"/>
  <c r="V99" i="1"/>
  <c r="Q99" i="1"/>
  <c r="N99" i="1"/>
  <c r="I99" i="1"/>
  <c r="C99" i="1"/>
  <c r="V98" i="1"/>
  <c r="T98" i="1"/>
  <c r="Q98" i="1"/>
  <c r="N98" i="1"/>
  <c r="I98" i="1"/>
  <c r="D98" i="1"/>
  <c r="C98" i="1"/>
  <c r="V97" i="1"/>
  <c r="T97" i="1"/>
  <c r="Q97" i="1" s="1"/>
  <c r="N97" i="1"/>
  <c r="C97" i="1"/>
  <c r="V96" i="1"/>
  <c r="T96" i="1"/>
  <c r="N96" i="1"/>
  <c r="C96" i="1"/>
  <c r="C90" i="1" s="1"/>
  <c r="V95" i="1"/>
  <c r="Q95" i="1"/>
  <c r="N95" i="1"/>
  <c r="I95" i="1"/>
  <c r="C95" i="1"/>
  <c r="V94" i="1"/>
  <c r="T94" i="1"/>
  <c r="Q94" i="1"/>
  <c r="N94" i="1"/>
  <c r="I94" i="1"/>
  <c r="C94" i="1"/>
  <c r="V93" i="1"/>
  <c r="T93" i="1"/>
  <c r="Q93" i="1"/>
  <c r="N93" i="1"/>
  <c r="I93" i="1"/>
  <c r="C93" i="1"/>
  <c r="V92" i="1"/>
  <c r="T92" i="1"/>
  <c r="Q92" i="1"/>
  <c r="N92" i="1"/>
  <c r="I92" i="1"/>
  <c r="C92" i="1"/>
  <c r="V91" i="1"/>
  <c r="T91" i="1"/>
  <c r="Q91" i="1"/>
  <c r="N91" i="1"/>
  <c r="I91" i="1"/>
  <c r="C91" i="1"/>
  <c r="S90" i="1"/>
  <c r="R90" i="1"/>
  <c r="P90" i="1"/>
  <c r="O90" i="1"/>
  <c r="M90" i="1"/>
  <c r="L90" i="1"/>
  <c r="K90" i="1"/>
  <c r="J90" i="1"/>
  <c r="G90" i="1"/>
  <c r="F90" i="1"/>
  <c r="E90" i="1"/>
  <c r="D90" i="1"/>
  <c r="V90" i="1" s="1"/>
  <c r="W89" i="1"/>
  <c r="Q89" i="1"/>
  <c r="N89" i="1"/>
  <c r="I89" i="1" s="1"/>
  <c r="C89" i="1"/>
  <c r="W88" i="1"/>
  <c r="Q88" i="1"/>
  <c r="N88" i="1"/>
  <c r="I88" i="1" s="1"/>
  <c r="U88" i="1" s="1"/>
  <c r="C88" i="1"/>
  <c r="W87" i="1"/>
  <c r="Q87" i="1"/>
  <c r="N87" i="1"/>
  <c r="I87" i="1" s="1"/>
  <c r="U87" i="1" s="1"/>
  <c r="C87" i="1"/>
  <c r="W86" i="1"/>
  <c r="Q86" i="1"/>
  <c r="N86" i="1"/>
  <c r="I86" i="1" s="1"/>
  <c r="U86" i="1" s="1"/>
  <c r="C86" i="1"/>
  <c r="W85" i="1"/>
  <c r="Q85" i="1"/>
  <c r="N85" i="1"/>
  <c r="I85" i="1" s="1"/>
  <c r="U85" i="1" s="1"/>
  <c r="C85" i="1"/>
  <c r="W84" i="1"/>
  <c r="Q84" i="1"/>
  <c r="N84" i="1"/>
  <c r="I84" i="1" s="1"/>
  <c r="U84" i="1" s="1"/>
  <c r="C84" i="1"/>
  <c r="W83" i="1"/>
  <c r="Q83" i="1"/>
  <c r="N83" i="1"/>
  <c r="I83" i="1" s="1"/>
  <c r="U83" i="1" s="1"/>
  <c r="C83" i="1"/>
  <c r="Q82" i="1"/>
  <c r="N82" i="1"/>
  <c r="K82" i="1"/>
  <c r="W82" i="1" s="1"/>
  <c r="I82" i="1"/>
  <c r="U82" i="1" s="1"/>
  <c r="C82" i="1"/>
  <c r="W81" i="1"/>
  <c r="Q81" i="1"/>
  <c r="N81" i="1"/>
  <c r="I81" i="1"/>
  <c r="U81" i="1" s="1"/>
  <c r="C81" i="1"/>
  <c r="W80" i="1"/>
  <c r="Q80" i="1"/>
  <c r="N80" i="1"/>
  <c r="I80" i="1"/>
  <c r="U80" i="1" s="1"/>
  <c r="C80" i="1"/>
  <c r="Q79" i="1"/>
  <c r="Q77" i="1" s="1"/>
  <c r="N79" i="1"/>
  <c r="K79" i="1"/>
  <c r="I79" i="1" s="1"/>
  <c r="E79" i="1"/>
  <c r="W78" i="1"/>
  <c r="Q78" i="1"/>
  <c r="N78" i="1"/>
  <c r="K78" i="1"/>
  <c r="I78" i="1" s="1"/>
  <c r="C78" i="1"/>
  <c r="T77" i="1"/>
  <c r="S77" i="1"/>
  <c r="R77" i="1"/>
  <c r="P77" i="1"/>
  <c r="O77" i="1"/>
  <c r="M77" i="1"/>
  <c r="L77" i="1"/>
  <c r="K77" i="1"/>
  <c r="J77" i="1"/>
  <c r="I77" i="1"/>
  <c r="G77" i="1"/>
  <c r="F77" i="1"/>
  <c r="F9" i="1" s="1"/>
  <c r="V76" i="1"/>
  <c r="Q76" i="1"/>
  <c r="I76" i="1"/>
  <c r="U76" i="1" s="1"/>
  <c r="C76" i="1"/>
  <c r="V75" i="1"/>
  <c r="Q75" i="1"/>
  <c r="I75" i="1" s="1"/>
  <c r="U75" i="1" s="1"/>
  <c r="C75" i="1"/>
  <c r="Q74" i="1"/>
  <c r="K74" i="1"/>
  <c r="C74" i="1"/>
  <c r="W73" i="1"/>
  <c r="Q73" i="1"/>
  <c r="I73" i="1"/>
  <c r="U73" i="1" s="1"/>
  <c r="C73" i="1"/>
  <c r="V72" i="1"/>
  <c r="Q72" i="1"/>
  <c r="I72" i="1" s="1"/>
  <c r="U72" i="1" s="1"/>
  <c r="C72" i="1"/>
  <c r="Q71" i="1"/>
  <c r="I71" i="1"/>
  <c r="C71" i="1"/>
  <c r="Q70" i="1"/>
  <c r="I70" i="1" s="1"/>
  <c r="C70" i="1"/>
  <c r="V69" i="1"/>
  <c r="Q69" i="1"/>
  <c r="I69" i="1"/>
  <c r="U69" i="1" s="1"/>
  <c r="C69" i="1"/>
  <c r="V68" i="1"/>
  <c r="Q68" i="1"/>
  <c r="I68" i="1" s="1"/>
  <c r="C68" i="1"/>
  <c r="V67" i="1"/>
  <c r="Q67" i="1"/>
  <c r="I67" i="1"/>
  <c r="U67" i="1" s="1"/>
  <c r="C67" i="1"/>
  <c r="W66" i="1"/>
  <c r="V66" i="1"/>
  <c r="T66" i="1"/>
  <c r="Q66" i="1"/>
  <c r="I66" i="1" s="1"/>
  <c r="U66" i="1" s="1"/>
  <c r="C66" i="1"/>
  <c r="V65" i="1"/>
  <c r="T65" i="1"/>
  <c r="Q65" i="1"/>
  <c r="I65" i="1" s="1"/>
  <c r="U65" i="1" s="1"/>
  <c r="C65" i="1"/>
  <c r="V64" i="1"/>
  <c r="T64" i="1"/>
  <c r="Q64" i="1"/>
  <c r="I64" i="1" s="1"/>
  <c r="U64" i="1" s="1"/>
  <c r="C64" i="1"/>
  <c r="Q63" i="1"/>
  <c r="I63" i="1"/>
  <c r="C63" i="1"/>
  <c r="Q62" i="1"/>
  <c r="N62" i="1"/>
  <c r="I62" i="1"/>
  <c r="C62" i="1"/>
  <c r="X61" i="1"/>
  <c r="Q61" i="1"/>
  <c r="I61" i="1" s="1"/>
  <c r="U61" i="1" s="1"/>
  <c r="C61" i="1"/>
  <c r="Q60" i="1"/>
  <c r="I60" i="1"/>
  <c r="C60" i="1"/>
  <c r="W59" i="1"/>
  <c r="Q59" i="1"/>
  <c r="N59" i="1"/>
  <c r="I59" i="1"/>
  <c r="U59" i="1" s="1"/>
  <c r="C59" i="1"/>
  <c r="Q58" i="1"/>
  <c r="N58" i="1"/>
  <c r="I58" i="1"/>
  <c r="C58" i="1"/>
  <c r="Q57" i="1"/>
  <c r="N57" i="1"/>
  <c r="K57" i="1"/>
  <c r="I57" i="1" s="1"/>
  <c r="C57" i="1"/>
  <c r="V56" i="1"/>
  <c r="Q56" i="1"/>
  <c r="N56" i="1"/>
  <c r="K56" i="1"/>
  <c r="C56" i="1"/>
  <c r="V55" i="1"/>
  <c r="Q55" i="1"/>
  <c r="N55" i="1"/>
  <c r="K55" i="1"/>
  <c r="C55" i="1"/>
  <c r="Q54" i="1"/>
  <c r="N54" i="1"/>
  <c r="K54" i="1"/>
  <c r="W54" i="1" s="1"/>
  <c r="J54" i="1"/>
  <c r="I54" i="1" s="1"/>
  <c r="C54" i="1"/>
  <c r="Q53" i="1"/>
  <c r="N53" i="1"/>
  <c r="K53" i="1"/>
  <c r="W53" i="1" s="1"/>
  <c r="I53" i="1"/>
  <c r="U53" i="1" s="1"/>
  <c r="C53" i="1"/>
  <c r="W52" i="1"/>
  <c r="Q52" i="1"/>
  <c r="N52" i="1"/>
  <c r="K52" i="1"/>
  <c r="I52" i="1" s="1"/>
  <c r="C52" i="1"/>
  <c r="Q51" i="1"/>
  <c r="N51" i="1"/>
  <c r="I51" i="1" s="1"/>
  <c r="C51" i="1"/>
  <c r="W50" i="1"/>
  <c r="Q50" i="1"/>
  <c r="N50" i="1"/>
  <c r="I50" i="1" s="1"/>
  <c r="U50" i="1" s="1"/>
  <c r="C50" i="1"/>
  <c r="N49" i="1"/>
  <c r="Z49" i="1" s="1"/>
  <c r="I49" i="1"/>
  <c r="U49" i="1" s="1"/>
  <c r="C49" i="1"/>
  <c r="I48" i="1"/>
  <c r="C48" i="1"/>
  <c r="W47" i="1"/>
  <c r="N47" i="1"/>
  <c r="I47" i="1" s="1"/>
  <c r="U47" i="1" s="1"/>
  <c r="C47" i="1"/>
  <c r="W46" i="1"/>
  <c r="V46" i="1"/>
  <c r="Q46" i="1"/>
  <c r="N46" i="1"/>
  <c r="I46" i="1"/>
  <c r="U46" i="1" s="1"/>
  <c r="C46" i="1"/>
  <c r="W45" i="1"/>
  <c r="Q45" i="1"/>
  <c r="N45" i="1"/>
  <c r="I45" i="1"/>
  <c r="U45" i="1" s="1"/>
  <c r="C45" i="1"/>
  <c r="W44" i="1"/>
  <c r="Q44" i="1"/>
  <c r="N44" i="1"/>
  <c r="I44" i="1"/>
  <c r="U44" i="1" s="1"/>
  <c r="C44" i="1"/>
  <c r="Y43" i="1"/>
  <c r="Q43" i="1"/>
  <c r="N43" i="1"/>
  <c r="I43" i="1"/>
  <c r="U43" i="1" s="1"/>
  <c r="C43" i="1"/>
  <c r="W42" i="1"/>
  <c r="Q42" i="1"/>
  <c r="N42" i="1"/>
  <c r="I42" i="1"/>
  <c r="U42" i="1" s="1"/>
  <c r="C42" i="1"/>
  <c r="W41" i="1"/>
  <c r="Q41" i="1"/>
  <c r="N41" i="1"/>
  <c r="K41" i="1"/>
  <c r="I41" i="1" s="1"/>
  <c r="C41" i="1"/>
  <c r="Q40" i="1"/>
  <c r="N40" i="1"/>
  <c r="Z40" i="1" s="1"/>
  <c r="K40" i="1"/>
  <c r="I40" i="1" s="1"/>
  <c r="U40" i="1" s="1"/>
  <c r="E40" i="1"/>
  <c r="C40" i="1" s="1"/>
  <c r="Z39" i="1"/>
  <c r="Q39" i="1"/>
  <c r="N39" i="1"/>
  <c r="K39" i="1"/>
  <c r="W39" i="1" s="1"/>
  <c r="I39" i="1"/>
  <c r="U39" i="1" s="1"/>
  <c r="E39" i="1"/>
  <c r="C39" i="1"/>
  <c r="W38" i="1"/>
  <c r="Q38" i="1"/>
  <c r="N38" i="1"/>
  <c r="Z38" i="1" s="1"/>
  <c r="I38" i="1"/>
  <c r="E38" i="1"/>
  <c r="C38" i="1"/>
  <c r="Q37" i="1"/>
  <c r="N37" i="1"/>
  <c r="K37" i="1"/>
  <c r="W37" i="1" s="1"/>
  <c r="I37" i="1"/>
  <c r="U37" i="1" s="1"/>
  <c r="C37" i="1"/>
  <c r="W36" i="1"/>
  <c r="V36" i="1"/>
  <c r="Q36" i="1"/>
  <c r="N36" i="1"/>
  <c r="K36" i="1"/>
  <c r="I36" i="1"/>
  <c r="U36" i="1" s="1"/>
  <c r="C36" i="1"/>
  <c r="W35" i="1"/>
  <c r="Q35" i="1"/>
  <c r="N35" i="1"/>
  <c r="K35" i="1"/>
  <c r="I35" i="1" s="1"/>
  <c r="C35" i="1"/>
  <c r="V34" i="1"/>
  <c r="Q34" i="1"/>
  <c r="N34" i="1"/>
  <c r="K34" i="1"/>
  <c r="C34" i="1"/>
  <c r="Q33" i="1"/>
  <c r="N33" i="1"/>
  <c r="K33" i="1"/>
  <c r="W33" i="1" s="1"/>
  <c r="I33" i="1"/>
  <c r="U33" i="1" s="1"/>
  <c r="C33" i="1"/>
  <c r="Z32" i="1"/>
  <c r="V32" i="1"/>
  <c r="Q32" i="1"/>
  <c r="N32" i="1"/>
  <c r="K32" i="1"/>
  <c r="E32" i="1"/>
  <c r="C32" i="1" s="1"/>
  <c r="W31" i="1"/>
  <c r="V31" i="1"/>
  <c r="Q31" i="1"/>
  <c r="N31" i="1"/>
  <c r="I31" i="1" s="1"/>
  <c r="U31" i="1" s="1"/>
  <c r="C31" i="1"/>
  <c r="W30" i="1"/>
  <c r="V30" i="1"/>
  <c r="Q30" i="1"/>
  <c r="N30" i="1"/>
  <c r="K30" i="1"/>
  <c r="I30" i="1"/>
  <c r="U30" i="1" s="1"/>
  <c r="C30" i="1"/>
  <c r="Q29" i="1"/>
  <c r="N29" i="1"/>
  <c r="Z29" i="1" s="1"/>
  <c r="K29" i="1"/>
  <c r="W29" i="1" s="1"/>
  <c r="I29" i="1"/>
  <c r="U29" i="1" s="1"/>
  <c r="E29" i="1"/>
  <c r="C29" i="1"/>
  <c r="W28" i="1"/>
  <c r="V28" i="1"/>
  <c r="Q28" i="1"/>
  <c r="N28" i="1"/>
  <c r="Z28" i="1" s="1"/>
  <c r="K28" i="1"/>
  <c r="I28" i="1"/>
  <c r="U28" i="1" s="1"/>
  <c r="E28" i="1"/>
  <c r="C28" i="1"/>
  <c r="T27" i="1"/>
  <c r="Q27" i="1"/>
  <c r="N27" i="1"/>
  <c r="Z27" i="1" s="1"/>
  <c r="K27" i="1"/>
  <c r="W27" i="1" s="1"/>
  <c r="J27" i="1"/>
  <c r="V27" i="1" s="1"/>
  <c r="I27" i="1"/>
  <c r="E27" i="1"/>
  <c r="D27" i="1"/>
  <c r="C27" i="1" s="1"/>
  <c r="W26" i="1"/>
  <c r="V26" i="1"/>
  <c r="Q26" i="1"/>
  <c r="N26" i="1"/>
  <c r="K26" i="1"/>
  <c r="I26" i="1"/>
  <c r="U26" i="1" s="1"/>
  <c r="C26" i="1"/>
  <c r="W25" i="1"/>
  <c r="Q25" i="1"/>
  <c r="N25" i="1"/>
  <c r="I25" i="1"/>
  <c r="U25" i="1" s="1"/>
  <c r="C25" i="1"/>
  <c r="Z24" i="1"/>
  <c r="V24" i="1"/>
  <c r="Q24" i="1"/>
  <c r="N24" i="1"/>
  <c r="K24" i="1"/>
  <c r="W24" i="1" s="1"/>
  <c r="E24" i="1"/>
  <c r="C24" i="1" s="1"/>
  <c r="W23" i="1"/>
  <c r="Q23" i="1"/>
  <c r="N23" i="1"/>
  <c r="I23" i="1"/>
  <c r="U23" i="1" s="1"/>
  <c r="C23" i="1"/>
  <c r="Q22" i="1"/>
  <c r="N22" i="1"/>
  <c r="Z22" i="1" s="1"/>
  <c r="K22" i="1"/>
  <c r="W22" i="1" s="1"/>
  <c r="I22" i="1"/>
  <c r="U22" i="1" s="1"/>
  <c r="E22" i="1"/>
  <c r="C22" i="1"/>
  <c r="Q21" i="1"/>
  <c r="N21" i="1"/>
  <c r="K21" i="1"/>
  <c r="W21" i="1" s="1"/>
  <c r="I21" i="1"/>
  <c r="U21" i="1" s="1"/>
  <c r="C21" i="1"/>
  <c r="Q20" i="1"/>
  <c r="N20" i="1"/>
  <c r="K20" i="1"/>
  <c r="I20" i="1" s="1"/>
  <c r="U20" i="1" s="1"/>
  <c r="C20" i="1"/>
  <c r="Q19" i="1"/>
  <c r="N19" i="1"/>
  <c r="K19" i="1"/>
  <c r="W19" i="1" s="1"/>
  <c r="I19" i="1"/>
  <c r="U19" i="1" s="1"/>
  <c r="C19" i="1"/>
  <c r="Z18" i="1"/>
  <c r="V18" i="1"/>
  <c r="Q18" i="1"/>
  <c r="N18" i="1"/>
  <c r="K18" i="1"/>
  <c r="W18" i="1" s="1"/>
  <c r="E18" i="1"/>
  <c r="C18" i="1" s="1"/>
  <c r="W17" i="1"/>
  <c r="V17" i="1"/>
  <c r="Q17" i="1"/>
  <c r="N17" i="1"/>
  <c r="K17" i="1"/>
  <c r="I17" i="1"/>
  <c r="U17" i="1" s="1"/>
  <c r="C17" i="1"/>
  <c r="W16" i="1"/>
  <c r="Q16" i="1"/>
  <c r="N16" i="1"/>
  <c r="K16" i="1"/>
  <c r="J16" i="1"/>
  <c r="V16" i="1" s="1"/>
  <c r="C16" i="1"/>
  <c r="Q15" i="1"/>
  <c r="N15" i="1"/>
  <c r="K15" i="1"/>
  <c r="W15" i="1" s="1"/>
  <c r="I15" i="1"/>
  <c r="U15" i="1" s="1"/>
  <c r="C15" i="1"/>
  <c r="W14" i="1"/>
  <c r="V14" i="1"/>
  <c r="Q14" i="1"/>
  <c r="N14" i="1"/>
  <c r="N10" i="1" s="1"/>
  <c r="K14" i="1"/>
  <c r="I14" i="1"/>
  <c r="U14" i="1" s="1"/>
  <c r="C14" i="1"/>
  <c r="W13" i="1"/>
  <c r="Q13" i="1"/>
  <c r="N13" i="1"/>
  <c r="I13" i="1"/>
  <c r="U13" i="1" s="1"/>
  <c r="C13" i="1"/>
  <c r="V12" i="1"/>
  <c r="T12" i="1"/>
  <c r="Q12" i="1"/>
  <c r="N12" i="1"/>
  <c r="K12" i="1"/>
  <c r="I12" i="1" s="1"/>
  <c r="C12" i="1"/>
  <c r="V11" i="1"/>
  <c r="Q11" i="1"/>
  <c r="N11" i="1"/>
  <c r="K11" i="1"/>
  <c r="W11" i="1" s="1"/>
  <c r="J11" i="1"/>
  <c r="I11" i="1"/>
  <c r="U11" i="1" s="1"/>
  <c r="D11" i="1"/>
  <c r="C11" i="1"/>
  <c r="T10" i="1"/>
  <c r="S10" i="1"/>
  <c r="R10" i="1"/>
  <c r="Q10" i="1"/>
  <c r="P10" i="1"/>
  <c r="O10" i="1"/>
  <c r="M10" i="1"/>
  <c r="Y10" i="1" s="1"/>
  <c r="L10" i="1"/>
  <c r="X10" i="1" s="1"/>
  <c r="K10" i="1"/>
  <c r="W10" i="1" s="1"/>
  <c r="H10" i="1"/>
  <c r="G10" i="1"/>
  <c r="F10" i="1"/>
  <c r="E10" i="1"/>
  <c r="S9" i="1"/>
  <c r="R9" i="1"/>
  <c r="P9" i="1"/>
  <c r="O9" i="1"/>
  <c r="M9" i="1"/>
  <c r="Y9" i="1" s="1"/>
  <c r="L9" i="1"/>
  <c r="X9" i="1" s="1"/>
  <c r="K9" i="1"/>
  <c r="H9" i="1"/>
  <c r="G9" i="1"/>
  <c r="U12" i="1" l="1"/>
  <c r="U27" i="1"/>
  <c r="W9" i="1"/>
  <c r="Z10" i="1"/>
  <c r="N9" i="1"/>
  <c r="Z9" i="1" s="1"/>
  <c r="C10" i="1"/>
  <c r="W12" i="1"/>
  <c r="W20" i="1"/>
  <c r="W32" i="1"/>
  <c r="I32" i="1"/>
  <c r="U32" i="1" s="1"/>
  <c r="W34" i="1"/>
  <c r="I34" i="1"/>
  <c r="U34" i="1" s="1"/>
  <c r="V54" i="1"/>
  <c r="W55" i="1"/>
  <c r="I55" i="1"/>
  <c r="U55" i="1" s="1"/>
  <c r="W74" i="1"/>
  <c r="I74" i="1"/>
  <c r="U74" i="1" s="1"/>
  <c r="W77" i="1"/>
  <c r="Q96" i="1"/>
  <c r="T90" i="1"/>
  <c r="D10" i="1"/>
  <c r="D9" i="1" s="1"/>
  <c r="J10" i="1"/>
  <c r="I16" i="1"/>
  <c r="U16" i="1" s="1"/>
  <c r="I18" i="1"/>
  <c r="U18" i="1" s="1"/>
  <c r="I24" i="1"/>
  <c r="U24" i="1" s="1"/>
  <c r="U35" i="1"/>
  <c r="U38" i="1"/>
  <c r="W40" i="1"/>
  <c r="U41" i="1"/>
  <c r="U52" i="1"/>
  <c r="W56" i="1"/>
  <c r="I56" i="1"/>
  <c r="U56" i="1" s="1"/>
  <c r="U68" i="1"/>
  <c r="U78" i="1"/>
  <c r="C79" i="1"/>
  <c r="C77" i="1" s="1"/>
  <c r="U77" i="1" s="1"/>
  <c r="E77" i="1"/>
  <c r="E9" i="1" s="1"/>
  <c r="W79" i="1"/>
  <c r="N77" i="1"/>
  <c r="I96" i="1"/>
  <c r="N90" i="1"/>
  <c r="I97" i="1"/>
  <c r="I100" i="1"/>
  <c r="I90" i="1" l="1"/>
  <c r="I10" i="1"/>
  <c r="V10" i="1"/>
  <c r="J9" i="1"/>
  <c r="V9" i="1" s="1"/>
  <c r="Q90" i="1"/>
  <c r="Q9" i="1" s="1"/>
  <c r="T9" i="1"/>
  <c r="U79" i="1"/>
  <c r="C9" i="1"/>
  <c r="U10" i="1" l="1"/>
  <c r="I9" i="1"/>
  <c r="U9" i="1" s="1"/>
</calcChain>
</file>

<file path=xl/comments1.xml><?xml version="1.0" encoding="utf-8"?>
<comments xmlns="http://schemas.openxmlformats.org/spreadsheetml/2006/main">
  <authors>
    <author>AutoBVT</author>
  </authors>
  <commentList>
    <comment ref="D11" authorId="0" shapeId="0">
      <text>
        <r>
          <rPr>
            <b/>
            <sz val="9"/>
            <color indexed="81"/>
            <rFont val="Tahoma"/>
            <charset val="163"/>
          </rPr>
          <t>AutoBVT:</t>
        </r>
        <r>
          <rPr>
            <sz val="9"/>
            <color indexed="81"/>
            <rFont val="Tahoma"/>
            <charset val="163"/>
          </rPr>
          <t xml:space="preserve">
Bao gồm cả dân chính đảng; ban bảo vệ chăm sóc SK cán bộ tỉnh</t>
        </r>
      </text>
    </comment>
    <comment ref="D27" authorId="0" shapeId="0">
      <text>
        <r>
          <rPr>
            <b/>
            <sz val="9"/>
            <color indexed="81"/>
            <rFont val="Tahoma"/>
            <charset val="163"/>
          </rPr>
          <t>AutoBVT:</t>
        </r>
        <r>
          <rPr>
            <sz val="9"/>
            <color indexed="81"/>
            <rFont val="Tahoma"/>
            <charset val="163"/>
          </rPr>
          <t xml:space="preserve">
Bao gồm cả trường CĐSP</t>
        </r>
      </text>
    </comment>
    <comment ref="E79" authorId="0" shapeId="0">
      <text>
        <r>
          <rPr>
            <b/>
            <sz val="9"/>
            <color indexed="81"/>
            <rFont val="Tahoma"/>
            <charset val="163"/>
          </rPr>
          <t>AutoBVT:</t>
        </r>
        <r>
          <rPr>
            <sz val="9"/>
            <color indexed="81"/>
            <rFont val="Tahoma"/>
            <charset val="163"/>
          </rPr>
          <t xml:space="preserve">
Giảm DT 500tr tại QĐ 873</t>
        </r>
      </text>
    </comment>
  </commentList>
</comments>
</file>

<file path=xl/sharedStrings.xml><?xml version="1.0" encoding="utf-8"?>
<sst xmlns="http://schemas.openxmlformats.org/spreadsheetml/2006/main" count="138" uniqueCount="128">
  <si>
    <t>UBND TỈNH ĐIỆN BIÊN</t>
  </si>
  <si>
    <t>Biểu số 66/CK-NSNN</t>
  </si>
  <si>
    <t>QUYẾT TOÁN CHI NGÂN SÁCH CẤP TỈNH CHO TỪNG CƠ QUAN, TỔ CHỨC THEO LĨNH VỰC NĂM 2018</t>
  </si>
  <si>
    <t>Đơn vị tính: Triệu đồng</t>
  </si>
  <si>
    <t>STT</t>
  </si>
  <si>
    <t>Tên đơn vị</t>
  </si>
  <si>
    <t>Dự toán năm  2018</t>
  </si>
  <si>
    <t>Quyết toán</t>
  </si>
  <si>
    <t>So sánh (%)</t>
  </si>
  <si>
    <t>Tổng số</t>
  </si>
  <si>
    <t>Chi đầu tư phát triển</t>
  </si>
  <si>
    <t>Chi thường xuyên</t>
  </si>
  <si>
    <t>Chi trả nợ lãi và phí vay đầu tư cơ sở hạ tầng</t>
  </si>
  <si>
    <t>Chi bổ sung quỹ dự trữ tài chính</t>
  </si>
  <si>
    <t>Chi Chương trình MTQG</t>
  </si>
  <si>
    <t>Chi đầu tư phát triển (không kể chương trình MTQG)</t>
  </si>
  <si>
    <t>Chi thường xuyên (không kể chương trình MTQG)</t>
  </si>
  <si>
    <t>Chi chương trình MTQG</t>
  </si>
  <si>
    <t>Chi chuyển nguồn sang ngân sách năm sau</t>
  </si>
  <si>
    <t>HCSN</t>
  </si>
  <si>
    <t>QLNS</t>
  </si>
  <si>
    <t>Đầu tư</t>
  </si>
  <si>
    <t>Chi đầu tư</t>
  </si>
  <si>
    <t>Chi sự nghiệp</t>
  </si>
  <si>
    <t>A</t>
  </si>
  <si>
    <t>B</t>
  </si>
  <si>
    <t>1=2+3+4+5+6</t>
  </si>
  <si>
    <t>7=8+9+10+11+12+15</t>
  </si>
  <si>
    <t>17=8/2</t>
  </si>
  <si>
    <t>18=9/3</t>
  </si>
  <si>
    <t>19=10/4</t>
  </si>
  <si>
    <t>20=11/5</t>
  </si>
  <si>
    <t>21=12/6</t>
  </si>
  <si>
    <t>Tổng</t>
  </si>
  <si>
    <t>Các cơ quan, đơn vị của tỉnh</t>
  </si>
  <si>
    <t>Tỉnh ủy</t>
  </si>
  <si>
    <t>Văn phòng UBND tỉnh</t>
  </si>
  <si>
    <t>Văn phòng Đoàn Đại biểu quốc hội</t>
  </si>
  <si>
    <t>Văn phòng HĐND tỉnh</t>
  </si>
  <si>
    <t>Sở Văn hóa- Thể thao và DL</t>
  </si>
  <si>
    <t>Sở Công thương</t>
  </si>
  <si>
    <t>Sở Giao thông vận tải</t>
  </si>
  <si>
    <t>Sở Nội vụ</t>
  </si>
  <si>
    <t>Sở Ngoại vụ</t>
  </si>
  <si>
    <t>Sở Kế hoạch và Đầu tư</t>
  </si>
  <si>
    <t>Sở Xây dựng</t>
  </si>
  <si>
    <t>Sở Tư pháp</t>
  </si>
  <si>
    <t>Sở Tài chính</t>
  </si>
  <si>
    <t>Sở Thông tin và truyền thông</t>
  </si>
  <si>
    <t>Sở Khoa học và công nghệ</t>
  </si>
  <si>
    <t>Sở Tài nguyên và Môi trường</t>
  </si>
  <si>
    <t>Sở Giáo dục và Đào tạo</t>
  </si>
  <si>
    <t>Sở Nông nghiệp và PTNT</t>
  </si>
  <si>
    <t>Sở Lao động - TB XH</t>
  </si>
  <si>
    <t>Sở Y tế</t>
  </si>
  <si>
    <t>Đài Phát thanh và TH tỉnh</t>
  </si>
  <si>
    <t>Ban dân tộc</t>
  </si>
  <si>
    <t>Thanh tra tỉnh</t>
  </si>
  <si>
    <t>Trường CĐ KTKT</t>
  </si>
  <si>
    <t>Trường cao Đẳng nghề</t>
  </si>
  <si>
    <t>Trường Chính trị tỉnh</t>
  </si>
  <si>
    <t>Văn phòng Ban an toàn giao thông</t>
  </si>
  <si>
    <t>Uỷ ban Mặt trận tổ quốc tỉnh</t>
  </si>
  <si>
    <t>Hội liên hiệp phụ nữ tỉnh</t>
  </si>
  <si>
    <t>Hội Nông dân</t>
  </si>
  <si>
    <t>Tỉnh Đoàn thanh niên</t>
  </si>
  <si>
    <t>Hội cựu chiến binh</t>
  </si>
  <si>
    <t>Quỹ dự  trữ tài chính</t>
  </si>
  <si>
    <t>Quỹ xúc tiến thương mại</t>
  </si>
  <si>
    <t>Quỹ Bảo vệ môi trường</t>
  </si>
  <si>
    <t>Quỹ Phát triển đất đai</t>
  </si>
  <si>
    <t>Quỹ bảo trì đường bộ</t>
  </si>
  <si>
    <t>Quỹ phòng chống thiên tai</t>
  </si>
  <si>
    <t>Văn phòng Điều phối Chương trình MTQG xây dựng Nông thôn mới</t>
  </si>
  <si>
    <t>Cục Thi hành án dân sự</t>
  </si>
  <si>
    <t>Cục thống kê</t>
  </si>
  <si>
    <t>Tòa án nhân dân tỉnh</t>
  </si>
  <si>
    <t>Viện kiểm soát nhân dân</t>
  </si>
  <si>
    <t>Công an tỉnh</t>
  </si>
  <si>
    <t>Bộ CHQS tỉnh</t>
  </si>
  <si>
    <t>BCH Biên phòng tỉnh</t>
  </si>
  <si>
    <t>Đoàn 379</t>
  </si>
  <si>
    <t>Bảo hiểm Xã hội tỉnh</t>
  </si>
  <si>
    <t xml:space="preserve">Ngân hàng chính sách xã hội </t>
  </si>
  <si>
    <t>Kho Bạc nhà nước huyện Điện Biên (DA cánh đồng lúa lớn)</t>
  </si>
  <si>
    <t>Chi nhánh ngân hàng phát triển và các đơn vị phát sinh</t>
  </si>
  <si>
    <t xml:space="preserve">Chi hoàn trả các khoản thu năm trước (hoàn thuế thu nhập cá nhân) </t>
  </si>
  <si>
    <t>Chi đền bù GPMB từ nguồn đối trừ số thu tiền cho thuê đất</t>
  </si>
  <si>
    <t xml:space="preserve">Ban QLDA các công trình Nông nghiêp và Phát triển NT </t>
  </si>
  <si>
    <t>Ban Quản lý các công trình dân dụng và công nghiệp</t>
  </si>
  <si>
    <t>Ban QLDA các công trình giao thông</t>
  </si>
  <si>
    <t>Ban QLDA giảm nghèo tỉnh</t>
  </si>
  <si>
    <t>Ban QLDA bạn hữu trẻ em</t>
  </si>
  <si>
    <t xml:space="preserve">Ban QLDA phát triển CSHT du lịch tiểu vùng sông Mê Công </t>
  </si>
  <si>
    <t>Hợp tác xã dịch vụ TH Thanh Yên (DA cánh đồng lúa lớn)</t>
  </si>
  <si>
    <t>Liên đoàn lao động tỉnh</t>
  </si>
  <si>
    <t xml:space="preserve">Ban QLDA di dân TĐC thủy điện Sơn La </t>
  </si>
  <si>
    <t>Công ty TNHH quản lý Thủy Nông</t>
  </si>
  <si>
    <t>Công ty cổ phần xây dựng Thủy lợi</t>
  </si>
  <si>
    <t>Công ty CP cấp nước Điện Biên</t>
  </si>
  <si>
    <t>Trung tâm Quy hoạch xây dựng</t>
  </si>
  <si>
    <t>II</t>
  </si>
  <si>
    <t>Hỗ trợ các tổ chức xã hội</t>
  </si>
  <si>
    <t>Hội Chữ thập đỏ</t>
  </si>
  <si>
    <t>Hội Văn học  nghệ thuật</t>
  </si>
  <si>
    <t>Hội Khuyến học</t>
  </si>
  <si>
    <t>Hội cựu Thanh niên xung phong</t>
  </si>
  <si>
    <t>Hội  Người cao tuổi</t>
  </si>
  <si>
    <t>Hội Luật gia tỉnh</t>
  </si>
  <si>
    <t>Hội Đông y</t>
  </si>
  <si>
    <t>Hội Nhà báo</t>
  </si>
  <si>
    <t>Liên hiệp các hội khoa học và KT</t>
  </si>
  <si>
    <t>Hội NN Chất độc da cam/Dioxin</t>
  </si>
  <si>
    <t>Liên minh các  HTX</t>
  </si>
  <si>
    <t>Hội bảo trợ người tàn tật và trẻ em mồ côi</t>
  </si>
  <si>
    <t>III</t>
  </si>
  <si>
    <t>Khối huyện</t>
  </si>
  <si>
    <t>Huyện Điện Biên</t>
  </si>
  <si>
    <t>Huyện Tuần giáo</t>
  </si>
  <si>
    <t>Huyện Mường Ảng</t>
  </si>
  <si>
    <t>Huyện Mường Chà</t>
  </si>
  <si>
    <t>Huyện Tủa Chùa</t>
  </si>
  <si>
    <t>Huyện Mường Nhé</t>
  </si>
  <si>
    <t>Huyện Điện Biên Đông</t>
  </si>
  <si>
    <t>TP.Điện Biên phủ</t>
  </si>
  <si>
    <t>Thị xã Mường Lay</t>
  </si>
  <si>
    <t>Huyện Nậm Pồ</t>
  </si>
  <si>
    <t>(Kèm theo Quyết định số 1303/QĐ-UBND ngày 20 tháng 12 năm 2019 của UBND tỉnh)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</si>
</sst>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00000"/>
    <numFmt numFmtId="165" formatCode="_(* #,##0.00_);_(* \(#,##0.00\);_(* &quot;-&quot;??_);_(@_)"/>
  </numFmts>
  <fonts count="12" x14ac:knownFonts="1">
    <font>
      <sz val="11"/>
      <color theme="1"/>
      <name val="Calibri"/>
      <family val="2"/>
      <charset val="163"/>
      <scheme val="minor"/>
    </font>
    <font>
      <b/>
      <sz val="14"/>
      <name val="Times New Roman"/>
      <family val="1"/>
    </font>
    <font>
      <sz val="10"/>
      <name val="Times New Roman"/>
      <family val="1"/>
    </font>
    <font>
      <b/>
      <sz val="12"/>
      <name val="Times New Roman"/>
      <family val="1"/>
    </font>
    <font>
      <i/>
      <sz val="14"/>
      <name val="Times New Roman"/>
      <family val="1"/>
    </font>
    <font>
      <i/>
      <sz val="12"/>
      <color indexed="8"/>
      <name val="Times New Roman"/>
      <family val="1"/>
    </font>
    <font>
      <b/>
      <sz val="10"/>
      <name val="Times New Roman"/>
      <family val="1"/>
    </font>
    <font>
      <sz val="12"/>
      <name val="Times New Roman"/>
      <family val="1"/>
    </font>
    <font>
      <sz val="11"/>
      <color indexed="8"/>
      <name val="Calibri"/>
      <family val="2"/>
      <charset val="163"/>
    </font>
    <font>
      <sz val="11"/>
      <name val="Times New Roman"/>
      <family val="1"/>
    </font>
    <font>
      <b/>
      <sz val="9"/>
      <color indexed="81"/>
      <name val="Tahoma"/>
      <charset val="163"/>
    </font>
    <font>
      <sz val="9"/>
      <color indexed="81"/>
      <name val="Tahoma"/>
      <charset val="163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/>
      <diagonal/>
    </border>
  </borders>
  <cellStyleXfs count="3">
    <xf numFmtId="0" fontId="0" fillId="0" borderId="0"/>
    <xf numFmtId="165" fontId="8" fillId="0" borderId="0" applyFont="0" applyFill="0" applyBorder="0" applyAlignment="0" applyProtection="0"/>
    <xf numFmtId="9" fontId="8" fillId="0" borderId="0" applyFont="0" applyFill="0" applyBorder="0" applyAlignment="0" applyProtection="0"/>
  </cellStyleXfs>
  <cellXfs count="101">
    <xf numFmtId="0" fontId="0" fillId="0" borderId="0" xfId="0"/>
    <xf numFmtId="0" fontId="1" fillId="2" borderId="0" xfId="0" applyFont="1" applyFill="1" applyAlignment="1">
      <alignment horizontal="left" vertical="center"/>
    </xf>
    <xf numFmtId="0" fontId="2" fillId="2" borderId="0" xfId="0" applyFont="1" applyFill="1"/>
    <xf numFmtId="3" fontId="2" fillId="2" borderId="0" xfId="0" applyNumberFormat="1" applyFont="1" applyFill="1"/>
    <xf numFmtId="0" fontId="3" fillId="2" borderId="0" xfId="0" applyFont="1" applyFill="1" applyAlignment="1">
      <alignment vertical="center"/>
    </xf>
    <xf numFmtId="0" fontId="3" fillId="2" borderId="0" xfId="0" applyFont="1" applyFill="1" applyAlignment="1">
      <alignment horizontal="right" vertical="center"/>
    </xf>
    <xf numFmtId="0" fontId="2" fillId="2" borderId="0" xfId="0" applyFont="1" applyFill="1" applyBorder="1"/>
    <xf numFmtId="0" fontId="3" fillId="2" borderId="0" xfId="0" applyFont="1" applyFill="1" applyAlignment="1">
      <alignment horizontal="center" vertical="center" wrapText="1"/>
    </xf>
    <xf numFmtId="0" fontId="4" fillId="2" borderId="0" xfId="0" applyFont="1" applyFill="1" applyBorder="1" applyAlignment="1">
      <alignment horizontal="center" vertical="center" wrapText="1"/>
    </xf>
    <xf numFmtId="0" fontId="4" fillId="2" borderId="0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/>
    </xf>
    <xf numFmtId="0" fontId="6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3" fontId="6" fillId="2" borderId="6" xfId="0" applyNumberFormat="1" applyFont="1" applyFill="1" applyBorder="1" applyAlignment="1">
      <alignment horizontal="center" vertical="center" wrapText="1"/>
    </xf>
    <xf numFmtId="3" fontId="6" fillId="2" borderId="2" xfId="0" applyNumberFormat="1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center" vertical="center" wrapText="1"/>
    </xf>
    <xf numFmtId="0" fontId="6" fillId="2" borderId="5" xfId="0" applyFont="1" applyFill="1" applyBorder="1" applyAlignment="1">
      <alignment horizontal="center" vertical="center" wrapText="1"/>
    </xf>
    <xf numFmtId="0" fontId="7" fillId="2" borderId="0" xfId="0" applyFont="1" applyFill="1" applyBorder="1"/>
    <xf numFmtId="0" fontId="7" fillId="2" borderId="0" xfId="0" applyFont="1" applyFill="1"/>
    <xf numFmtId="3" fontId="6" fillId="2" borderId="7" xfId="0" applyNumberFormat="1" applyFont="1" applyFill="1" applyBorder="1" applyAlignment="1">
      <alignment horizontal="center" vertical="center" wrapText="1"/>
    </xf>
    <xf numFmtId="0" fontId="6" fillId="2" borderId="7" xfId="0" applyFont="1" applyFill="1" applyBorder="1" applyAlignment="1">
      <alignment horizontal="center" vertical="center" wrapText="1"/>
    </xf>
    <xf numFmtId="0" fontId="6" fillId="2" borderId="7" xfId="0" applyFont="1" applyFill="1" applyBorder="1" applyAlignment="1">
      <alignment horizontal="center" vertical="center" wrapText="1"/>
    </xf>
    <xf numFmtId="0" fontId="6" fillId="2" borderId="7" xfId="0" applyFont="1" applyFill="1" applyBorder="1" applyAlignment="1">
      <alignment vertical="center" wrapText="1"/>
    </xf>
    <xf numFmtId="0" fontId="6" fillId="2" borderId="2" xfId="0" applyFont="1" applyFill="1" applyBorder="1" applyAlignment="1">
      <alignment horizontal="center" vertical="center" wrapText="1"/>
    </xf>
    <xf numFmtId="3" fontId="6" fillId="2" borderId="2" xfId="0" applyNumberFormat="1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vertical="center" wrapText="1"/>
    </xf>
    <xf numFmtId="0" fontId="6" fillId="2" borderId="8" xfId="0" applyFont="1" applyFill="1" applyBorder="1" applyAlignment="1">
      <alignment horizontal="center" vertical="center" wrapText="1"/>
    </xf>
    <xf numFmtId="4" fontId="3" fillId="2" borderId="8" xfId="0" applyNumberFormat="1" applyFont="1" applyFill="1" applyBorder="1" applyAlignment="1">
      <alignment vertical="center" wrapText="1"/>
    </xf>
    <xf numFmtId="3" fontId="3" fillId="2" borderId="8" xfId="0" applyNumberFormat="1" applyFont="1" applyFill="1" applyBorder="1" applyAlignment="1">
      <alignment vertical="center" wrapText="1"/>
    </xf>
    <xf numFmtId="164" fontId="3" fillId="2" borderId="8" xfId="0" applyNumberFormat="1" applyFont="1" applyFill="1" applyBorder="1" applyAlignment="1">
      <alignment vertical="center" wrapText="1"/>
    </xf>
    <xf numFmtId="9" fontId="3" fillId="2" borderId="9" xfId="2" applyFont="1" applyFill="1" applyBorder="1" applyAlignment="1"/>
    <xf numFmtId="9" fontId="6" fillId="2" borderId="8" xfId="2" applyFont="1" applyFill="1" applyBorder="1" applyAlignment="1">
      <alignment horizontal="center" vertical="center" wrapText="1"/>
    </xf>
    <xf numFmtId="9" fontId="3" fillId="2" borderId="8" xfId="2" applyFont="1" applyFill="1" applyBorder="1" applyAlignment="1">
      <alignment horizontal="center" vertical="center" wrapText="1"/>
    </xf>
    <xf numFmtId="0" fontId="2" fillId="2" borderId="0" xfId="0" applyFont="1" applyFill="1" applyBorder="1" applyAlignment="1"/>
    <xf numFmtId="0" fontId="2" fillId="2" borderId="0" xfId="0" applyFont="1" applyFill="1" applyAlignment="1"/>
    <xf numFmtId="0" fontId="6" fillId="2" borderId="9" xfId="0" applyFont="1" applyFill="1" applyBorder="1" applyAlignment="1">
      <alignment horizontal="center" vertical="center" wrapText="1"/>
    </xf>
    <xf numFmtId="0" fontId="6" fillId="2" borderId="9" xfId="0" applyFont="1" applyFill="1" applyBorder="1" applyAlignment="1">
      <alignment horizontal="left" vertical="center" wrapText="1"/>
    </xf>
    <xf numFmtId="4" fontId="3" fillId="2" borderId="9" xfId="0" applyNumberFormat="1" applyFont="1" applyFill="1" applyBorder="1" applyAlignment="1">
      <alignment vertical="center" wrapText="1"/>
    </xf>
    <xf numFmtId="3" fontId="3" fillId="2" borderId="9" xfId="0" applyNumberFormat="1" applyFont="1" applyFill="1" applyBorder="1" applyAlignment="1">
      <alignment vertical="center" wrapText="1"/>
    </xf>
    <xf numFmtId="164" fontId="3" fillId="2" borderId="9" xfId="0" applyNumberFormat="1" applyFont="1" applyFill="1" applyBorder="1" applyAlignment="1">
      <alignment vertical="center" wrapText="1"/>
    </xf>
    <xf numFmtId="9" fontId="6" fillId="2" borderId="9" xfId="2" applyFont="1" applyFill="1" applyBorder="1" applyAlignment="1">
      <alignment horizontal="center" vertical="center" wrapText="1"/>
    </xf>
    <xf numFmtId="9" fontId="3" fillId="2" borderId="9" xfId="2" applyFont="1" applyFill="1" applyBorder="1" applyAlignment="1">
      <alignment horizontal="center" vertical="center" wrapText="1"/>
    </xf>
    <xf numFmtId="0" fontId="6" fillId="2" borderId="0" xfId="0" applyFont="1" applyFill="1" applyBorder="1"/>
    <xf numFmtId="0" fontId="6" fillId="2" borderId="0" xfId="0" applyFont="1" applyFill="1"/>
    <xf numFmtId="0" fontId="7" fillId="2" borderId="9" xfId="0" applyFont="1" applyFill="1" applyBorder="1" applyAlignment="1">
      <alignment horizontal="center" vertical="center" wrapText="1"/>
    </xf>
    <xf numFmtId="0" fontId="7" fillId="2" borderId="9" xfId="0" applyFont="1" applyFill="1" applyBorder="1" applyAlignment="1">
      <alignment horizontal="left" vertical="center" wrapText="1"/>
    </xf>
    <xf numFmtId="4" fontId="7" fillId="2" borderId="9" xfId="0" applyNumberFormat="1" applyFont="1" applyFill="1" applyBorder="1" applyAlignment="1">
      <alignment vertical="center" wrapText="1"/>
    </xf>
    <xf numFmtId="3" fontId="7" fillId="2" borderId="9" xfId="0" applyNumberFormat="1" applyFont="1" applyFill="1" applyBorder="1" applyAlignment="1">
      <alignment vertical="center" wrapText="1"/>
    </xf>
    <xf numFmtId="3" fontId="7" fillId="2" borderId="9" xfId="1" applyNumberFormat="1" applyFont="1" applyFill="1" applyBorder="1" applyAlignment="1"/>
    <xf numFmtId="164" fontId="7" fillId="2" borderId="9" xfId="0" applyNumberFormat="1" applyFont="1" applyFill="1" applyBorder="1" applyAlignment="1">
      <alignment vertical="center" wrapText="1"/>
    </xf>
    <xf numFmtId="9" fontId="7" fillId="2" borderId="9" xfId="2" applyFont="1" applyFill="1" applyBorder="1" applyAlignment="1"/>
    <xf numFmtId="164" fontId="2" fillId="2" borderId="9" xfId="0" applyNumberFormat="1" applyFont="1" applyFill="1" applyBorder="1" applyAlignment="1">
      <alignment horizontal="center" vertical="center" wrapText="1"/>
    </xf>
    <xf numFmtId="9" fontId="2" fillId="2" borderId="9" xfId="2" applyFont="1" applyFill="1" applyBorder="1" applyAlignment="1">
      <alignment horizontal="center" vertical="center" wrapText="1"/>
    </xf>
    <xf numFmtId="0" fontId="7" fillId="2" borderId="9" xfId="0" applyFont="1" applyFill="1" applyBorder="1" applyAlignment="1">
      <alignment wrapText="1"/>
    </xf>
    <xf numFmtId="4" fontId="7" fillId="2" borderId="9" xfId="1" applyNumberFormat="1" applyFont="1" applyFill="1" applyBorder="1" applyAlignment="1"/>
    <xf numFmtId="164" fontId="7" fillId="2" borderId="9" xfId="1" applyNumberFormat="1" applyFont="1" applyFill="1" applyBorder="1" applyAlignment="1"/>
    <xf numFmtId="9" fontId="2" fillId="2" borderId="9" xfId="2" applyFont="1" applyFill="1" applyBorder="1"/>
    <xf numFmtId="0" fontId="2" fillId="2" borderId="10" xfId="0" applyFont="1" applyFill="1" applyBorder="1"/>
    <xf numFmtId="0" fontId="2" fillId="2" borderId="11" xfId="0" applyFont="1" applyFill="1" applyBorder="1"/>
    <xf numFmtId="0" fontId="9" fillId="2" borderId="0" xfId="0" applyFont="1" applyFill="1" applyBorder="1"/>
    <xf numFmtId="0" fontId="9" fillId="2" borderId="11" xfId="0" applyFont="1" applyFill="1" applyBorder="1"/>
    <xf numFmtId="0" fontId="7" fillId="2" borderId="9" xfId="0" applyFont="1" applyFill="1" applyBorder="1" applyAlignment="1">
      <alignment vertical="center" wrapText="1"/>
    </xf>
    <xf numFmtId="0" fontId="7" fillId="2" borderId="9" xfId="0" applyFont="1" applyFill="1" applyBorder="1"/>
    <xf numFmtId="3" fontId="7" fillId="2" borderId="9" xfId="0" applyNumberFormat="1" applyFont="1" applyFill="1" applyBorder="1" applyAlignment="1"/>
    <xf numFmtId="0" fontId="3" fillId="2" borderId="9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wrapText="1"/>
    </xf>
    <xf numFmtId="4" fontId="3" fillId="2" borderId="9" xfId="1" applyNumberFormat="1" applyFont="1" applyFill="1" applyBorder="1" applyAlignment="1"/>
    <xf numFmtId="3" fontId="3" fillId="2" borderId="9" xfId="1" applyNumberFormat="1" applyFont="1" applyFill="1" applyBorder="1" applyAlignment="1"/>
    <xf numFmtId="164" fontId="3" fillId="2" borderId="9" xfId="1" applyNumberFormat="1" applyFont="1" applyFill="1" applyBorder="1" applyAlignment="1"/>
    <xf numFmtId="9" fontId="6" fillId="2" borderId="9" xfId="2" applyFont="1" applyFill="1" applyBorder="1"/>
    <xf numFmtId="0" fontId="6" fillId="2" borderId="11" xfId="0" applyFont="1" applyFill="1" applyBorder="1"/>
    <xf numFmtId="0" fontId="7" fillId="2" borderId="9" xfId="0" applyFont="1" applyFill="1" applyBorder="1" applyAlignment="1">
      <alignment horizontal="center" vertical="center"/>
    </xf>
    <xf numFmtId="0" fontId="7" fillId="2" borderId="9" xfId="0" applyFont="1" applyFill="1" applyBorder="1" applyAlignment="1">
      <alignment vertical="center"/>
    </xf>
    <xf numFmtId="0" fontId="7" fillId="2" borderId="12" xfId="0" applyFont="1" applyFill="1" applyBorder="1" applyAlignment="1">
      <alignment horizontal="center" vertical="center" wrapText="1"/>
    </xf>
    <xf numFmtId="0" fontId="7" fillId="2" borderId="12" xfId="0" applyFont="1" applyFill="1" applyBorder="1" applyAlignment="1">
      <alignment wrapText="1"/>
    </xf>
    <xf numFmtId="164" fontId="7" fillId="2" borderId="12" xfId="1" applyNumberFormat="1" applyFont="1" applyFill="1" applyBorder="1" applyAlignment="1"/>
    <xf numFmtId="3" fontId="7" fillId="2" borderId="12" xfId="1" applyNumberFormat="1" applyFont="1" applyFill="1" applyBorder="1" applyAlignment="1"/>
    <xf numFmtId="4" fontId="7" fillId="2" borderId="12" xfId="1" applyNumberFormat="1" applyFont="1" applyFill="1" applyBorder="1" applyAlignment="1"/>
    <xf numFmtId="9" fontId="7" fillId="2" borderId="12" xfId="2" applyFont="1" applyFill="1" applyBorder="1" applyAlignment="1"/>
    <xf numFmtId="9" fontId="2" fillId="2" borderId="12" xfId="2" applyFont="1" applyFill="1" applyBorder="1"/>
    <xf numFmtId="0" fontId="7" fillId="2" borderId="0" xfId="0" applyFont="1" applyFill="1" applyBorder="1" applyAlignment="1">
      <alignment horizontal="center" vertical="center"/>
    </xf>
    <xf numFmtId="0" fontId="7" fillId="2" borderId="0" xfId="0" applyFont="1" applyFill="1" applyBorder="1" applyAlignment="1">
      <alignment vertical="center"/>
    </xf>
    <xf numFmtId="4" fontId="2" fillId="2" borderId="0" xfId="1" applyNumberFormat="1" applyFont="1" applyFill="1" applyBorder="1" applyAlignment="1">
      <alignment horizontal="right"/>
    </xf>
    <xf numFmtId="3" fontId="2" fillId="2" borderId="0" xfId="1" applyNumberFormat="1" applyFont="1" applyFill="1" applyBorder="1" applyAlignment="1">
      <alignment horizontal="right"/>
    </xf>
    <xf numFmtId="4" fontId="2" fillId="2" borderId="0" xfId="0" applyNumberFormat="1" applyFont="1" applyFill="1" applyBorder="1" applyAlignment="1">
      <alignment horizontal="right" vertical="center" wrapText="1"/>
    </xf>
    <xf numFmtId="164" fontId="2" fillId="2" borderId="0" xfId="1" applyNumberFormat="1" applyFont="1" applyFill="1" applyBorder="1" applyAlignment="1">
      <alignment horizontal="right"/>
    </xf>
    <xf numFmtId="9" fontId="2" fillId="2" borderId="0" xfId="2" applyFont="1" applyFill="1" applyBorder="1" applyAlignment="1">
      <alignment horizontal="right"/>
    </xf>
    <xf numFmtId="9" fontId="2" fillId="2" borderId="0" xfId="2" applyFont="1" applyFill="1" applyBorder="1"/>
    <xf numFmtId="0" fontId="7" fillId="2" borderId="0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wrapText="1"/>
    </xf>
    <xf numFmtId="164" fontId="2" fillId="2" borderId="0" xfId="1" applyNumberFormat="1" applyFont="1" applyFill="1" applyBorder="1"/>
    <xf numFmtId="3" fontId="2" fillId="2" borderId="0" xfId="1" applyNumberFormat="1" applyFont="1" applyFill="1" applyBorder="1"/>
    <xf numFmtId="4" fontId="2" fillId="2" borderId="0" xfId="1" applyNumberFormat="1" applyFont="1" applyFill="1" applyBorder="1"/>
    <xf numFmtId="0" fontId="2" fillId="2" borderId="13" xfId="0" applyFont="1" applyFill="1" applyBorder="1"/>
    <xf numFmtId="3" fontId="2" fillId="2" borderId="0" xfId="0" applyNumberFormat="1" applyFont="1" applyFill="1" applyBorder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indexed="33"/>
  </sheetPr>
  <dimension ref="A1:AA155"/>
  <sheetViews>
    <sheetView tabSelected="1" zoomScale="75" workbookViewId="0">
      <pane xSplit="2" ySplit="9" topLeftCell="G89" activePane="bottomRight" state="frozen"/>
      <selection pane="topRight" activeCell="C1" sqref="C1"/>
      <selection pane="bottomLeft" activeCell="A14" sqref="A14"/>
      <selection pane="bottomRight" activeCell="A3" sqref="A3:AA3"/>
    </sheetView>
  </sheetViews>
  <sheetFormatPr defaultRowHeight="12.75" x14ac:dyDescent="0.2"/>
  <cols>
    <col min="1" max="1" width="6" style="2" customWidth="1"/>
    <col min="2" max="2" width="44" style="2" customWidth="1"/>
    <col min="3" max="3" width="15" style="2" customWidth="1"/>
    <col min="4" max="4" width="12.7109375" style="3" customWidth="1"/>
    <col min="5" max="5" width="11.5703125" style="3" customWidth="1"/>
    <col min="6" max="6" width="9.85546875" style="3" customWidth="1"/>
    <col min="7" max="7" width="11.42578125" style="3" customWidth="1"/>
    <col min="8" max="8" width="10" style="3" customWidth="1"/>
    <col min="9" max="9" width="14.140625" style="2" customWidth="1"/>
    <col min="10" max="10" width="15.42578125" style="2" customWidth="1"/>
    <col min="11" max="11" width="15.28515625" style="2" customWidth="1"/>
    <col min="12" max="13" width="11.140625" style="2" customWidth="1"/>
    <col min="14" max="15" width="13" style="2" customWidth="1"/>
    <col min="16" max="16" width="12.85546875" style="2" customWidth="1"/>
    <col min="17" max="17" width="13.42578125" style="2" customWidth="1"/>
    <col min="18" max="20" width="15.5703125" style="2" hidden="1" customWidth="1"/>
    <col min="21" max="21" width="11.28515625" style="2" customWidth="1"/>
    <col min="22" max="22" width="9.140625" style="2"/>
    <col min="23" max="24" width="9.140625" style="2" hidden="1" customWidth="1"/>
    <col min="25" max="25" width="10.42578125" style="2" bestFit="1" customWidth="1"/>
    <col min="26" max="26" width="10.85546875" style="2" customWidth="1"/>
    <col min="27" max="27" width="9.140625" style="6"/>
    <col min="28" max="16384" width="9.140625" style="2"/>
  </cols>
  <sheetData>
    <row r="1" spans="1:27" ht="36.75" customHeight="1" x14ac:dyDescent="0.2">
      <c r="A1" s="1" t="s">
        <v>0</v>
      </c>
      <c r="B1" s="1"/>
      <c r="P1" s="4"/>
      <c r="Q1" s="5" t="s">
        <v>1</v>
      </c>
      <c r="R1" s="5"/>
      <c r="S1" s="5"/>
      <c r="T1" s="5"/>
      <c r="U1" s="5"/>
      <c r="V1" s="5"/>
      <c r="W1" s="4"/>
      <c r="X1" s="4"/>
    </row>
    <row r="2" spans="1:27" ht="45" customHeight="1" x14ac:dyDescent="0.2">
      <c r="A2" s="7" t="s">
        <v>2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spans="1:27" ht="20.25" customHeight="1" x14ac:dyDescent="0.2">
      <c r="A3" s="8" t="s">
        <v>127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</row>
    <row r="4" spans="1:27" ht="37.5" customHeight="1" x14ac:dyDescent="0.25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10" t="s">
        <v>3</v>
      </c>
      <c r="V4" s="10"/>
      <c r="W4" s="10"/>
      <c r="X4" s="10"/>
      <c r="Y4" s="10"/>
      <c r="Z4" s="10"/>
      <c r="AA4" s="9"/>
    </row>
    <row r="5" spans="1:27" ht="21" customHeight="1" x14ac:dyDescent="0.2">
      <c r="A5" s="11" t="s">
        <v>4</v>
      </c>
      <c r="B5" s="11" t="s">
        <v>5</v>
      </c>
      <c r="C5" s="12" t="s">
        <v>6</v>
      </c>
      <c r="D5" s="13"/>
      <c r="E5" s="13"/>
      <c r="F5" s="13"/>
      <c r="G5" s="13"/>
      <c r="H5" s="14"/>
      <c r="I5" s="12" t="s">
        <v>7</v>
      </c>
      <c r="J5" s="13"/>
      <c r="K5" s="13"/>
      <c r="L5" s="13"/>
      <c r="M5" s="13"/>
      <c r="N5" s="13"/>
      <c r="O5" s="13"/>
      <c r="P5" s="13"/>
      <c r="Q5" s="14"/>
      <c r="R5" s="15"/>
      <c r="S5" s="15"/>
      <c r="T5" s="15"/>
      <c r="U5" s="16" t="s">
        <v>8</v>
      </c>
      <c r="V5" s="16"/>
      <c r="W5" s="16"/>
      <c r="X5" s="16"/>
      <c r="Y5" s="16"/>
      <c r="Z5" s="16"/>
    </row>
    <row r="6" spans="1:27" s="24" customFormat="1" ht="27.75" customHeight="1" x14ac:dyDescent="0.25">
      <c r="A6" s="11"/>
      <c r="B6" s="11"/>
      <c r="C6" s="11" t="s">
        <v>9</v>
      </c>
      <c r="D6" s="17" t="s">
        <v>10</v>
      </c>
      <c r="E6" s="18" t="s">
        <v>11</v>
      </c>
      <c r="F6" s="17" t="s">
        <v>12</v>
      </c>
      <c r="G6" s="17" t="s">
        <v>13</v>
      </c>
      <c r="H6" s="17" t="s">
        <v>14</v>
      </c>
      <c r="I6" s="11" t="s">
        <v>9</v>
      </c>
      <c r="J6" s="19" t="s">
        <v>15</v>
      </c>
      <c r="K6" s="11" t="s">
        <v>16</v>
      </c>
      <c r="L6" s="19" t="s">
        <v>12</v>
      </c>
      <c r="M6" s="19" t="s">
        <v>13</v>
      </c>
      <c r="N6" s="20" t="s">
        <v>17</v>
      </c>
      <c r="O6" s="21"/>
      <c r="P6" s="22"/>
      <c r="Q6" s="19" t="s">
        <v>18</v>
      </c>
      <c r="R6" s="19" t="s">
        <v>19</v>
      </c>
      <c r="S6" s="19" t="s">
        <v>20</v>
      </c>
      <c r="T6" s="19" t="s">
        <v>21</v>
      </c>
      <c r="U6" s="11" t="s">
        <v>9</v>
      </c>
      <c r="V6" s="19" t="s">
        <v>10</v>
      </c>
      <c r="W6" s="11" t="s">
        <v>11</v>
      </c>
      <c r="X6" s="17" t="s">
        <v>12</v>
      </c>
      <c r="Y6" s="17" t="s">
        <v>13</v>
      </c>
      <c r="Z6" s="17" t="s">
        <v>14</v>
      </c>
      <c r="AA6" s="23"/>
    </row>
    <row r="7" spans="1:27" ht="33" customHeight="1" x14ac:dyDescent="0.2">
      <c r="A7" s="11"/>
      <c r="B7" s="11"/>
      <c r="C7" s="11"/>
      <c r="D7" s="25"/>
      <c r="E7" s="18"/>
      <c r="F7" s="25"/>
      <c r="G7" s="25"/>
      <c r="H7" s="25"/>
      <c r="I7" s="11"/>
      <c r="J7" s="26"/>
      <c r="K7" s="11"/>
      <c r="L7" s="26"/>
      <c r="M7" s="26"/>
      <c r="N7" s="27" t="s">
        <v>9</v>
      </c>
      <c r="O7" s="27" t="s">
        <v>22</v>
      </c>
      <c r="P7" s="28" t="s">
        <v>23</v>
      </c>
      <c r="Q7" s="26"/>
      <c r="R7" s="26"/>
      <c r="S7" s="26"/>
      <c r="T7" s="26"/>
      <c r="U7" s="11"/>
      <c r="V7" s="26"/>
      <c r="W7" s="11"/>
      <c r="X7" s="25"/>
      <c r="Y7" s="25"/>
      <c r="Z7" s="25"/>
    </row>
    <row r="8" spans="1:27" ht="93.75" customHeight="1" x14ac:dyDescent="0.2">
      <c r="A8" s="29" t="s">
        <v>24</v>
      </c>
      <c r="B8" s="29" t="s">
        <v>25</v>
      </c>
      <c r="C8" s="29" t="s">
        <v>26</v>
      </c>
      <c r="D8" s="30">
        <v>2</v>
      </c>
      <c r="E8" s="29">
        <v>3</v>
      </c>
      <c r="F8" s="30">
        <v>4</v>
      </c>
      <c r="G8" s="29">
        <v>5</v>
      </c>
      <c r="H8" s="30">
        <v>6</v>
      </c>
      <c r="I8" s="29" t="s">
        <v>27</v>
      </c>
      <c r="J8" s="30">
        <v>8</v>
      </c>
      <c r="K8" s="29">
        <v>9</v>
      </c>
      <c r="L8" s="30">
        <v>10</v>
      </c>
      <c r="M8" s="29">
        <v>11</v>
      </c>
      <c r="N8" s="30">
        <v>12</v>
      </c>
      <c r="O8" s="29">
        <v>13</v>
      </c>
      <c r="P8" s="30">
        <v>14</v>
      </c>
      <c r="Q8" s="29">
        <v>15</v>
      </c>
      <c r="R8" s="30">
        <v>16</v>
      </c>
      <c r="S8" s="29">
        <v>17</v>
      </c>
      <c r="T8" s="30">
        <v>18</v>
      </c>
      <c r="U8" s="29">
        <v>16</v>
      </c>
      <c r="V8" s="29" t="s">
        <v>28</v>
      </c>
      <c r="W8" s="30" t="s">
        <v>29</v>
      </c>
      <c r="X8" s="31" t="s">
        <v>30</v>
      </c>
      <c r="Y8" s="31" t="s">
        <v>31</v>
      </c>
      <c r="Z8" s="31" t="s">
        <v>32</v>
      </c>
    </row>
    <row r="9" spans="1:27" s="40" customFormat="1" ht="25.5" customHeight="1" x14ac:dyDescent="0.25">
      <c r="A9" s="32"/>
      <c r="B9" s="32" t="s">
        <v>33</v>
      </c>
      <c r="C9" s="33">
        <f t="shared" ref="C9:T9" si="0">SUM(C10,C77,C90)</f>
        <v>3729172.3234040001</v>
      </c>
      <c r="D9" s="34">
        <f t="shared" si="0"/>
        <v>2199213.3234040001</v>
      </c>
      <c r="E9" s="34">
        <f t="shared" si="0"/>
        <v>1514111</v>
      </c>
      <c r="F9" s="34">
        <f t="shared" si="0"/>
        <v>1543</v>
      </c>
      <c r="G9" s="34">
        <f t="shared" si="0"/>
        <v>1000</v>
      </c>
      <c r="H9" s="34">
        <f t="shared" si="0"/>
        <v>13305</v>
      </c>
      <c r="I9" s="33">
        <f t="shared" si="0"/>
        <v>4312148.0433070008</v>
      </c>
      <c r="J9" s="33">
        <f t="shared" si="0"/>
        <v>1565755.494031</v>
      </c>
      <c r="K9" s="33">
        <f t="shared" si="0"/>
        <v>2038352.0711239998</v>
      </c>
      <c r="L9" s="33">
        <f t="shared" si="0"/>
        <v>787.62501999999995</v>
      </c>
      <c r="M9" s="33">
        <f t="shared" si="0"/>
        <v>1000</v>
      </c>
      <c r="N9" s="33">
        <f t="shared" si="0"/>
        <v>13379.192317000001</v>
      </c>
      <c r="O9" s="33">
        <f t="shared" si="0"/>
        <v>174.10599999999999</v>
      </c>
      <c r="P9" s="33">
        <f t="shared" si="0"/>
        <v>13205.086316999999</v>
      </c>
      <c r="Q9" s="33">
        <f t="shared" si="0"/>
        <v>692873.66081500007</v>
      </c>
      <c r="R9" s="35">
        <f t="shared" si="0"/>
        <v>61613.686996000004</v>
      </c>
      <c r="S9" s="35">
        <f t="shared" si="0"/>
        <v>1690</v>
      </c>
      <c r="T9" s="35">
        <f t="shared" si="0"/>
        <v>629569.97381899995</v>
      </c>
      <c r="U9" s="36">
        <f t="shared" ref="U9:Z24" si="1">I9/C9</f>
        <v>1.156328447533596</v>
      </c>
      <c r="V9" s="36">
        <f t="shared" si="1"/>
        <v>0.71196162617252723</v>
      </c>
      <c r="W9" s="36">
        <f t="shared" si="1"/>
        <v>1.3462368816579495</v>
      </c>
      <c r="X9" s="37">
        <f t="shared" si="1"/>
        <v>0.51045043421905378</v>
      </c>
      <c r="Y9" s="38">
        <f t="shared" si="1"/>
        <v>1</v>
      </c>
      <c r="Z9" s="38">
        <f t="shared" si="1"/>
        <v>1.0055762733558813</v>
      </c>
      <c r="AA9" s="39"/>
    </row>
    <row r="10" spans="1:27" s="49" customFormat="1" ht="24.95" customHeight="1" x14ac:dyDescent="0.25">
      <c r="A10" s="41">
        <v>1</v>
      </c>
      <c r="B10" s="42" t="s">
        <v>34</v>
      </c>
      <c r="C10" s="43">
        <f t="shared" ref="C10:T10" si="2">SUM(C11:C76)</f>
        <v>2750293.9359599999</v>
      </c>
      <c r="D10" s="44">
        <f t="shared" si="2"/>
        <v>1235192.9359600001</v>
      </c>
      <c r="E10" s="44">
        <f t="shared" si="2"/>
        <v>1499253</v>
      </c>
      <c r="F10" s="44">
        <f t="shared" si="2"/>
        <v>1543</v>
      </c>
      <c r="G10" s="44">
        <f t="shared" si="2"/>
        <v>1000</v>
      </c>
      <c r="H10" s="44">
        <f t="shared" si="2"/>
        <v>13305</v>
      </c>
      <c r="I10" s="43">
        <f t="shared" si="2"/>
        <v>3341840.9141990007</v>
      </c>
      <c r="J10" s="43">
        <f t="shared" si="2"/>
        <v>825041.13684799988</v>
      </c>
      <c r="K10" s="43">
        <f t="shared" si="2"/>
        <v>2021108.4963179997</v>
      </c>
      <c r="L10" s="43">
        <f t="shared" si="2"/>
        <v>787.62501999999995</v>
      </c>
      <c r="M10" s="43">
        <f t="shared" si="2"/>
        <v>1000</v>
      </c>
      <c r="N10" s="43">
        <f t="shared" si="2"/>
        <v>13379.192317000001</v>
      </c>
      <c r="O10" s="43">
        <f t="shared" si="2"/>
        <v>174.10599999999999</v>
      </c>
      <c r="P10" s="43">
        <f t="shared" si="2"/>
        <v>13205.086316999999</v>
      </c>
      <c r="Q10" s="43">
        <f t="shared" si="2"/>
        <v>480524.46369599999</v>
      </c>
      <c r="R10" s="45">
        <f t="shared" si="2"/>
        <v>61613.686996000004</v>
      </c>
      <c r="S10" s="45">
        <f t="shared" si="2"/>
        <v>1690</v>
      </c>
      <c r="T10" s="45">
        <f t="shared" si="2"/>
        <v>417220.77669999999</v>
      </c>
      <c r="U10" s="36">
        <f t="shared" si="1"/>
        <v>1.2150850025535613</v>
      </c>
      <c r="V10" s="36">
        <f t="shared" si="1"/>
        <v>0.66794515482455574</v>
      </c>
      <c r="W10" s="36">
        <f t="shared" si="1"/>
        <v>1.3480770065612673</v>
      </c>
      <c r="X10" s="46">
        <f t="shared" si="1"/>
        <v>0.51045043421905378</v>
      </c>
      <c r="Y10" s="47">
        <f t="shared" si="1"/>
        <v>1</v>
      </c>
      <c r="Z10" s="47">
        <f t="shared" si="1"/>
        <v>1.0055762733558813</v>
      </c>
      <c r="AA10" s="48"/>
    </row>
    <row r="11" spans="1:27" s="49" customFormat="1" ht="24.95" customHeight="1" x14ac:dyDescent="0.25">
      <c r="A11" s="50">
        <v>1</v>
      </c>
      <c r="B11" s="51" t="s">
        <v>35</v>
      </c>
      <c r="C11" s="52">
        <f>SUM(D11:H11)</f>
        <v>97385</v>
      </c>
      <c r="D11" s="53">
        <f>10100+1700+2800</f>
        <v>14600</v>
      </c>
      <c r="E11" s="54">
        <v>82785</v>
      </c>
      <c r="F11" s="53"/>
      <c r="G11" s="53"/>
      <c r="H11" s="53"/>
      <c r="I11" s="52">
        <f t="shared" ref="I11:I72" si="3">SUM(J11:M11,N11,Q11)</f>
        <v>97423.470968000009</v>
      </c>
      <c r="J11" s="52">
        <f>9448.460039+1700+2466.846</f>
        <v>13615.306038999999</v>
      </c>
      <c r="K11" s="52">
        <f>79926+3855.051068</f>
        <v>83781.051068000001</v>
      </c>
      <c r="L11" s="52"/>
      <c r="M11" s="52"/>
      <c r="N11" s="52">
        <f>SUM(O11:P11)</f>
        <v>0</v>
      </c>
      <c r="O11" s="52"/>
      <c r="P11" s="52"/>
      <c r="Q11" s="52">
        <f>SUM(R11:T11)</f>
        <v>27.113861</v>
      </c>
      <c r="R11" s="55"/>
      <c r="S11" s="55"/>
      <c r="T11" s="55">
        <v>27.113861</v>
      </c>
      <c r="U11" s="56">
        <f t="shared" si="1"/>
        <v>1.0003950399753556</v>
      </c>
      <c r="V11" s="56">
        <f t="shared" si="1"/>
        <v>0.93255520815068482</v>
      </c>
      <c r="W11" s="56">
        <f t="shared" si="1"/>
        <v>1.0120317819411728</v>
      </c>
      <c r="X11" s="57"/>
      <c r="Y11" s="57"/>
      <c r="Z11" s="58"/>
      <c r="AA11" s="48"/>
    </row>
    <row r="12" spans="1:27" s="63" customFormat="1" ht="24.95" customHeight="1" x14ac:dyDescent="0.25">
      <c r="A12" s="50">
        <v>2</v>
      </c>
      <c r="B12" s="59" t="s">
        <v>36</v>
      </c>
      <c r="C12" s="52">
        <f t="shared" ref="C12:C75" si="4">SUM(D12:H12)</f>
        <v>34093</v>
      </c>
      <c r="D12" s="54">
        <v>12000</v>
      </c>
      <c r="E12" s="54">
        <v>22093</v>
      </c>
      <c r="F12" s="54"/>
      <c r="G12" s="54"/>
      <c r="H12" s="54"/>
      <c r="I12" s="52">
        <f t="shared" si="3"/>
        <v>44027.315510999993</v>
      </c>
      <c r="J12" s="60">
        <v>11001.684174</v>
      </c>
      <c r="K12" s="60">
        <f>24439.449609</f>
        <v>24439.449608999999</v>
      </c>
      <c r="L12" s="60"/>
      <c r="M12" s="60"/>
      <c r="N12" s="52">
        <f t="shared" ref="N12:N89" si="5">SUM(O12:P12)</f>
        <v>0</v>
      </c>
      <c r="O12" s="60"/>
      <c r="P12" s="60"/>
      <c r="Q12" s="52">
        <f>SUM(R12:T12)</f>
        <v>8586.1817279999996</v>
      </c>
      <c r="R12" s="61"/>
      <c r="S12" s="61"/>
      <c r="T12" s="61">
        <f>6985.077366+1601.104362</f>
        <v>8586.1817279999996</v>
      </c>
      <c r="U12" s="56">
        <f t="shared" si="1"/>
        <v>1.2913887164813889</v>
      </c>
      <c r="V12" s="56">
        <f t="shared" si="1"/>
        <v>0.91680701450000002</v>
      </c>
      <c r="W12" s="56">
        <f t="shared" si="1"/>
        <v>1.1062078309419272</v>
      </c>
      <c r="X12" s="62"/>
      <c r="Y12" s="62"/>
      <c r="Z12" s="58"/>
      <c r="AA12" s="6"/>
    </row>
    <row r="13" spans="1:27" s="64" customFormat="1" ht="34.5" customHeight="1" x14ac:dyDescent="0.25">
      <c r="A13" s="50">
        <v>3</v>
      </c>
      <c r="B13" s="59" t="s">
        <v>37</v>
      </c>
      <c r="C13" s="52">
        <f t="shared" si="4"/>
        <v>500</v>
      </c>
      <c r="D13" s="54"/>
      <c r="E13" s="54">
        <v>500</v>
      </c>
      <c r="F13" s="54"/>
      <c r="G13" s="54"/>
      <c r="H13" s="54"/>
      <c r="I13" s="52">
        <f t="shared" si="3"/>
        <v>698.49099999999999</v>
      </c>
      <c r="J13" s="60"/>
      <c r="K13" s="60">
        <v>500</v>
      </c>
      <c r="L13" s="60"/>
      <c r="M13" s="60"/>
      <c r="N13" s="52">
        <f t="shared" si="5"/>
        <v>0</v>
      </c>
      <c r="O13" s="60"/>
      <c r="P13" s="60"/>
      <c r="Q13" s="52">
        <f t="shared" ref="Q13:Q76" si="6">SUM(R13:T13)</f>
        <v>198.49100000000001</v>
      </c>
      <c r="R13" s="61"/>
      <c r="S13" s="61"/>
      <c r="T13" s="61">
        <v>198.49100000000001</v>
      </c>
      <c r="U13" s="56">
        <f t="shared" si="1"/>
        <v>1.3969819999999999</v>
      </c>
      <c r="V13" s="56"/>
      <c r="W13" s="56">
        <f t="shared" si="1"/>
        <v>1</v>
      </c>
      <c r="X13" s="62"/>
      <c r="Y13" s="62"/>
      <c r="Z13" s="58"/>
      <c r="AA13" s="6"/>
    </row>
    <row r="14" spans="1:27" s="64" customFormat="1" ht="24.95" customHeight="1" x14ac:dyDescent="0.25">
      <c r="A14" s="50">
        <v>4</v>
      </c>
      <c r="B14" s="59" t="s">
        <v>38</v>
      </c>
      <c r="C14" s="52">
        <f t="shared" si="4"/>
        <v>20455</v>
      </c>
      <c r="D14" s="54">
        <v>6600</v>
      </c>
      <c r="E14" s="54">
        <v>13855</v>
      </c>
      <c r="F14" s="54"/>
      <c r="G14" s="54"/>
      <c r="H14" s="54"/>
      <c r="I14" s="52">
        <f t="shared" si="3"/>
        <v>19734.444275000002</v>
      </c>
      <c r="J14" s="60">
        <v>6401.509</v>
      </c>
      <c r="K14" s="60">
        <f>13332.935275</f>
        <v>13332.935275</v>
      </c>
      <c r="L14" s="60"/>
      <c r="M14" s="60"/>
      <c r="N14" s="52">
        <f t="shared" si="5"/>
        <v>0</v>
      </c>
      <c r="O14" s="60"/>
      <c r="P14" s="60"/>
      <c r="Q14" s="52">
        <f t="shared" si="6"/>
        <v>0</v>
      </c>
      <c r="R14" s="61"/>
      <c r="S14" s="61"/>
      <c r="T14" s="61"/>
      <c r="U14" s="56">
        <f t="shared" si="1"/>
        <v>0.96477361403079942</v>
      </c>
      <c r="V14" s="56">
        <f>J14/D14</f>
        <v>0.96992560606060607</v>
      </c>
      <c r="W14" s="56">
        <f t="shared" si="1"/>
        <v>0.96231939913388664</v>
      </c>
      <c r="X14" s="62"/>
      <c r="Y14" s="62"/>
      <c r="Z14" s="58"/>
      <c r="AA14" s="6"/>
    </row>
    <row r="15" spans="1:27" s="64" customFormat="1" ht="24.95" customHeight="1" x14ac:dyDescent="0.25">
      <c r="A15" s="50">
        <v>5</v>
      </c>
      <c r="B15" s="59" t="s">
        <v>39</v>
      </c>
      <c r="C15" s="52">
        <f t="shared" si="4"/>
        <v>61563</v>
      </c>
      <c r="D15" s="54"/>
      <c r="E15" s="54">
        <v>61563</v>
      </c>
      <c r="F15" s="54"/>
      <c r="G15" s="54"/>
      <c r="H15" s="54"/>
      <c r="I15" s="52">
        <f t="shared" si="3"/>
        <v>69901.772599999997</v>
      </c>
      <c r="J15" s="60"/>
      <c r="K15" s="60">
        <f>8792.6782+56937.0944+2372</f>
        <v>68101.772599999997</v>
      </c>
      <c r="L15" s="60"/>
      <c r="M15" s="60"/>
      <c r="N15" s="52">
        <f t="shared" si="5"/>
        <v>0</v>
      </c>
      <c r="O15" s="60"/>
      <c r="P15" s="60"/>
      <c r="Q15" s="52">
        <f t="shared" si="6"/>
        <v>1800</v>
      </c>
      <c r="R15" s="61">
        <v>1800</v>
      </c>
      <c r="S15" s="61"/>
      <c r="T15" s="61"/>
      <c r="U15" s="56">
        <f t="shared" si="1"/>
        <v>1.1354510436463459</v>
      </c>
      <c r="V15" s="56"/>
      <c r="W15" s="56">
        <f t="shared" si="1"/>
        <v>1.106212702434904</v>
      </c>
      <c r="X15" s="62"/>
      <c r="Y15" s="62"/>
      <c r="Z15" s="58"/>
      <c r="AA15" s="6"/>
    </row>
    <row r="16" spans="1:27" s="64" customFormat="1" ht="24.95" customHeight="1" x14ac:dyDescent="0.25">
      <c r="A16" s="50">
        <v>6</v>
      </c>
      <c r="B16" s="59" t="s">
        <v>40</v>
      </c>
      <c r="C16" s="52">
        <f t="shared" si="4"/>
        <v>45180</v>
      </c>
      <c r="D16" s="54">
        <v>25600</v>
      </c>
      <c r="E16" s="54">
        <v>19580</v>
      </c>
      <c r="F16" s="54"/>
      <c r="G16" s="54"/>
      <c r="H16" s="54"/>
      <c r="I16" s="52">
        <f t="shared" si="3"/>
        <v>41435.995108999996</v>
      </c>
      <c r="J16" s="60">
        <f>21346.45421</f>
        <v>21346.45421</v>
      </c>
      <c r="K16" s="60">
        <f>592.967213+19407.254008</f>
        <v>20000.221221</v>
      </c>
      <c r="L16" s="60"/>
      <c r="M16" s="60"/>
      <c r="N16" s="52">
        <f t="shared" si="5"/>
        <v>0</v>
      </c>
      <c r="O16" s="60"/>
      <c r="P16" s="60"/>
      <c r="Q16" s="52">
        <f t="shared" si="6"/>
        <v>89.319677999999996</v>
      </c>
      <c r="R16" s="61">
        <v>89.319677999999996</v>
      </c>
      <c r="S16" s="61"/>
      <c r="T16" s="61"/>
      <c r="U16" s="56">
        <f t="shared" si="1"/>
        <v>0.91713136584772015</v>
      </c>
      <c r="V16" s="56">
        <f>J16/D16</f>
        <v>0.83384586757812496</v>
      </c>
      <c r="W16" s="56">
        <f t="shared" si="1"/>
        <v>1.0214617579673135</v>
      </c>
      <c r="X16" s="62"/>
      <c r="Y16" s="62"/>
      <c r="Z16" s="58"/>
      <c r="AA16" s="6"/>
    </row>
    <row r="17" spans="1:27" s="66" customFormat="1" ht="24.95" customHeight="1" x14ac:dyDescent="0.25">
      <c r="A17" s="50">
        <v>7</v>
      </c>
      <c r="B17" s="59" t="s">
        <v>41</v>
      </c>
      <c r="C17" s="52">
        <f t="shared" si="4"/>
        <v>16345</v>
      </c>
      <c r="D17" s="54">
        <v>7500</v>
      </c>
      <c r="E17" s="54">
        <v>8845</v>
      </c>
      <c r="F17" s="54"/>
      <c r="G17" s="54"/>
      <c r="H17" s="54"/>
      <c r="I17" s="52">
        <f t="shared" si="3"/>
        <v>21198.925234000002</v>
      </c>
      <c r="J17" s="60">
        <v>7600.0007800000003</v>
      </c>
      <c r="K17" s="60">
        <f>12837.206454+276</f>
        <v>13113.206453999999</v>
      </c>
      <c r="L17" s="60"/>
      <c r="M17" s="60"/>
      <c r="N17" s="52">
        <f t="shared" si="5"/>
        <v>0</v>
      </c>
      <c r="O17" s="60"/>
      <c r="P17" s="60"/>
      <c r="Q17" s="52">
        <f t="shared" si="6"/>
        <v>485.71800000000002</v>
      </c>
      <c r="R17" s="61">
        <v>485.71800000000002</v>
      </c>
      <c r="S17" s="61"/>
      <c r="T17" s="61"/>
      <c r="U17" s="56">
        <f t="shared" si="1"/>
        <v>1.2969669766901195</v>
      </c>
      <c r="V17" s="56">
        <f>J17/D17</f>
        <v>1.0133334373333334</v>
      </c>
      <c r="W17" s="56">
        <f t="shared" si="1"/>
        <v>1.4825558455624646</v>
      </c>
      <c r="X17" s="62"/>
      <c r="Y17" s="62"/>
      <c r="Z17" s="58"/>
      <c r="AA17" s="65"/>
    </row>
    <row r="18" spans="1:27" s="64" customFormat="1" ht="24.95" customHeight="1" x14ac:dyDescent="0.25">
      <c r="A18" s="50">
        <v>8</v>
      </c>
      <c r="B18" s="59" t="s">
        <v>42</v>
      </c>
      <c r="C18" s="52">
        <f t="shared" si="4"/>
        <v>48528</v>
      </c>
      <c r="D18" s="54">
        <v>16000</v>
      </c>
      <c r="E18" s="54">
        <f>32528-950</f>
        <v>31578</v>
      </c>
      <c r="F18" s="54"/>
      <c r="G18" s="54"/>
      <c r="H18" s="54">
        <v>950</v>
      </c>
      <c r="I18" s="52">
        <f t="shared" si="3"/>
        <v>47737.085391000001</v>
      </c>
      <c r="J18" s="60">
        <v>16000</v>
      </c>
      <c r="K18" s="60">
        <f>735.588+27415.694831+2000</f>
        <v>30151.282831</v>
      </c>
      <c r="L18" s="60"/>
      <c r="M18" s="60"/>
      <c r="N18" s="52">
        <f t="shared" si="5"/>
        <v>950</v>
      </c>
      <c r="O18" s="60"/>
      <c r="P18" s="60">
        <v>950</v>
      </c>
      <c r="Q18" s="52">
        <f t="shared" si="6"/>
        <v>635.80255999999997</v>
      </c>
      <c r="R18" s="61">
        <v>635.80255999999997</v>
      </c>
      <c r="S18" s="61"/>
      <c r="T18" s="61"/>
      <c r="U18" s="56">
        <f t="shared" si="1"/>
        <v>0.98370189150593468</v>
      </c>
      <c r="V18" s="56">
        <f>J18/D18</f>
        <v>1</v>
      </c>
      <c r="W18" s="56">
        <f t="shared" si="1"/>
        <v>0.95481926755969349</v>
      </c>
      <c r="X18" s="62"/>
      <c r="Y18" s="62"/>
      <c r="Z18" s="58">
        <f>N18/H18</f>
        <v>1</v>
      </c>
      <c r="AA18" s="6"/>
    </row>
    <row r="19" spans="1:27" s="64" customFormat="1" ht="24.95" customHeight="1" x14ac:dyDescent="0.25">
      <c r="A19" s="50">
        <v>9</v>
      </c>
      <c r="B19" s="59" t="s">
        <v>43</v>
      </c>
      <c r="C19" s="52">
        <f t="shared" si="4"/>
        <v>5407</v>
      </c>
      <c r="D19" s="54"/>
      <c r="E19" s="54">
        <v>5407</v>
      </c>
      <c r="F19" s="54"/>
      <c r="G19" s="54"/>
      <c r="H19" s="54"/>
      <c r="I19" s="52">
        <f t="shared" si="3"/>
        <v>24825.914000000001</v>
      </c>
      <c r="J19" s="60">
        <v>327.12299999999999</v>
      </c>
      <c r="K19" s="60">
        <f>16845.172+298+4570.522</f>
        <v>21713.694</v>
      </c>
      <c r="L19" s="60"/>
      <c r="M19" s="60"/>
      <c r="N19" s="52">
        <f t="shared" si="5"/>
        <v>0</v>
      </c>
      <c r="O19" s="60"/>
      <c r="P19" s="60"/>
      <c r="Q19" s="52">
        <f t="shared" si="6"/>
        <v>2785.0970000000002</v>
      </c>
      <c r="R19" s="61">
        <v>120</v>
      </c>
      <c r="S19" s="61"/>
      <c r="T19" s="61">
        <v>2665.0970000000002</v>
      </c>
      <c r="U19" s="56">
        <f t="shared" si="1"/>
        <v>4.5914396153134822</v>
      </c>
      <c r="V19" s="56"/>
      <c r="W19" s="56">
        <f t="shared" si="1"/>
        <v>4.0158487146291844</v>
      </c>
      <c r="X19" s="62"/>
      <c r="Y19" s="62"/>
      <c r="Z19" s="58"/>
      <c r="AA19" s="6"/>
    </row>
    <row r="20" spans="1:27" s="64" customFormat="1" ht="24.95" customHeight="1" x14ac:dyDescent="0.25">
      <c r="A20" s="50">
        <v>10</v>
      </c>
      <c r="B20" s="59" t="s">
        <v>44</v>
      </c>
      <c r="C20" s="52">
        <f t="shared" si="4"/>
        <v>8251</v>
      </c>
      <c r="D20" s="54"/>
      <c r="E20" s="54">
        <v>8251</v>
      </c>
      <c r="F20" s="54"/>
      <c r="G20" s="54"/>
      <c r="H20" s="54"/>
      <c r="I20" s="52">
        <f t="shared" si="3"/>
        <v>9816.4168229999996</v>
      </c>
      <c r="J20" s="60"/>
      <c r="K20" s="60">
        <f>699.991+8769.1088</f>
        <v>9469.0998</v>
      </c>
      <c r="L20" s="60"/>
      <c r="M20" s="60"/>
      <c r="N20" s="52">
        <f t="shared" si="5"/>
        <v>0</v>
      </c>
      <c r="O20" s="60"/>
      <c r="P20" s="60"/>
      <c r="Q20" s="52">
        <f t="shared" si="6"/>
        <v>347.31702300000001</v>
      </c>
      <c r="R20" s="61">
        <v>347.31702300000001</v>
      </c>
      <c r="S20" s="61"/>
      <c r="T20" s="61"/>
      <c r="U20" s="56">
        <f t="shared" si="1"/>
        <v>1.1897244967882681</v>
      </c>
      <c r="V20" s="56"/>
      <c r="W20" s="56">
        <f t="shared" si="1"/>
        <v>1.147630565992001</v>
      </c>
      <c r="X20" s="62"/>
      <c r="Y20" s="62"/>
      <c r="Z20" s="58"/>
      <c r="AA20" s="6"/>
    </row>
    <row r="21" spans="1:27" s="64" customFormat="1" ht="24.95" customHeight="1" x14ac:dyDescent="0.25">
      <c r="A21" s="50">
        <v>11</v>
      </c>
      <c r="B21" s="59" t="s">
        <v>45</v>
      </c>
      <c r="C21" s="52">
        <f t="shared" si="4"/>
        <v>7872</v>
      </c>
      <c r="D21" s="54"/>
      <c r="E21" s="54">
        <v>7872</v>
      </c>
      <c r="F21" s="54"/>
      <c r="G21" s="54"/>
      <c r="H21" s="54"/>
      <c r="I21" s="52">
        <f t="shared" si="3"/>
        <v>13087.873</v>
      </c>
      <c r="J21" s="60"/>
      <c r="K21" s="60">
        <f>1257.112+340.95+8643.811</f>
        <v>10241.873</v>
      </c>
      <c r="L21" s="60"/>
      <c r="M21" s="60"/>
      <c r="N21" s="52">
        <f t="shared" si="5"/>
        <v>0</v>
      </c>
      <c r="O21" s="60"/>
      <c r="P21" s="60"/>
      <c r="Q21" s="52">
        <f t="shared" si="6"/>
        <v>2846</v>
      </c>
      <c r="R21" s="61"/>
      <c r="S21" s="61">
        <v>1620</v>
      </c>
      <c r="T21" s="61">
        <v>1226</v>
      </c>
      <c r="U21" s="56">
        <f t="shared" si="1"/>
        <v>1.6625854928861787</v>
      </c>
      <c r="V21" s="56"/>
      <c r="W21" s="56">
        <f t="shared" si="1"/>
        <v>1.3010509400406503</v>
      </c>
      <c r="X21" s="62"/>
      <c r="Y21" s="62"/>
      <c r="Z21" s="58"/>
      <c r="AA21" s="6"/>
    </row>
    <row r="22" spans="1:27" s="64" customFormat="1" ht="24.95" customHeight="1" x14ac:dyDescent="0.25">
      <c r="A22" s="50">
        <v>12</v>
      </c>
      <c r="B22" s="59" t="s">
        <v>46</v>
      </c>
      <c r="C22" s="52">
        <f t="shared" si="4"/>
        <v>15961</v>
      </c>
      <c r="D22" s="54"/>
      <c r="E22" s="54">
        <f>15961-50</f>
        <v>15911</v>
      </c>
      <c r="F22" s="54"/>
      <c r="G22" s="54"/>
      <c r="H22" s="54">
        <v>50</v>
      </c>
      <c r="I22" s="52">
        <f t="shared" si="3"/>
        <v>15294.735192</v>
      </c>
      <c r="J22" s="60"/>
      <c r="K22" s="60">
        <f>1999.999+11312.244192+1932.492</f>
        <v>15244.735192</v>
      </c>
      <c r="L22" s="60"/>
      <c r="M22" s="60"/>
      <c r="N22" s="52">
        <f t="shared" si="5"/>
        <v>50</v>
      </c>
      <c r="O22" s="60"/>
      <c r="P22" s="60">
        <v>50</v>
      </c>
      <c r="Q22" s="52">
        <f t="shared" si="6"/>
        <v>0</v>
      </c>
      <c r="R22" s="61"/>
      <c r="S22" s="61"/>
      <c r="T22" s="61"/>
      <c r="U22" s="56">
        <f t="shared" si="1"/>
        <v>0.95825670020675402</v>
      </c>
      <c r="V22" s="56"/>
      <c r="W22" s="56">
        <f t="shared" si="1"/>
        <v>0.95812552272013074</v>
      </c>
      <c r="X22" s="62"/>
      <c r="Y22" s="62"/>
      <c r="Z22" s="58">
        <f>N22/H22</f>
        <v>1</v>
      </c>
      <c r="AA22" s="6"/>
    </row>
    <row r="23" spans="1:27" s="64" customFormat="1" ht="24.95" customHeight="1" x14ac:dyDescent="0.25">
      <c r="A23" s="50">
        <v>13</v>
      </c>
      <c r="B23" s="59" t="s">
        <v>47</v>
      </c>
      <c r="C23" s="52">
        <f t="shared" si="4"/>
        <v>11130</v>
      </c>
      <c r="D23" s="54"/>
      <c r="E23" s="54">
        <v>11130</v>
      </c>
      <c r="F23" s="54"/>
      <c r="G23" s="54"/>
      <c r="H23" s="54"/>
      <c r="I23" s="52">
        <f t="shared" si="3"/>
        <v>11130</v>
      </c>
      <c r="J23" s="60"/>
      <c r="K23" s="60">
        <v>11130</v>
      </c>
      <c r="L23" s="60"/>
      <c r="M23" s="60"/>
      <c r="N23" s="52">
        <f t="shared" si="5"/>
        <v>0</v>
      </c>
      <c r="O23" s="60"/>
      <c r="P23" s="60"/>
      <c r="Q23" s="52">
        <f t="shared" si="6"/>
        <v>0</v>
      </c>
      <c r="R23" s="61"/>
      <c r="S23" s="61"/>
      <c r="T23" s="61"/>
      <c r="U23" s="56">
        <f t="shared" si="1"/>
        <v>1</v>
      </c>
      <c r="V23" s="56"/>
      <c r="W23" s="56">
        <f t="shared" si="1"/>
        <v>1</v>
      </c>
      <c r="X23" s="62"/>
      <c r="Y23" s="62"/>
      <c r="Z23" s="58"/>
      <c r="AA23" s="6"/>
    </row>
    <row r="24" spans="1:27" s="64" customFormat="1" ht="24.95" customHeight="1" x14ac:dyDescent="0.25">
      <c r="A24" s="50">
        <v>14</v>
      </c>
      <c r="B24" s="59" t="s">
        <v>48</v>
      </c>
      <c r="C24" s="52">
        <f t="shared" si="4"/>
        <v>18272.645009</v>
      </c>
      <c r="D24" s="54">
        <v>5814.6450089999998</v>
      </c>
      <c r="E24" s="54">
        <f>12458-555</f>
        <v>11903</v>
      </c>
      <c r="F24" s="54"/>
      <c r="G24" s="54"/>
      <c r="H24" s="54">
        <v>555</v>
      </c>
      <c r="I24" s="52">
        <f t="shared" si="3"/>
        <v>16853.549634000003</v>
      </c>
      <c r="J24" s="60">
        <v>3207.6658149999998</v>
      </c>
      <c r="K24" s="60">
        <f>622.11+10389.027319+80</f>
        <v>11091.137319000001</v>
      </c>
      <c r="L24" s="60"/>
      <c r="M24" s="60"/>
      <c r="N24" s="52">
        <f t="shared" si="5"/>
        <v>554.74649999999997</v>
      </c>
      <c r="O24" s="60"/>
      <c r="P24" s="60">
        <v>554.74649999999997</v>
      </c>
      <c r="Q24" s="52">
        <f t="shared" si="6"/>
        <v>2000</v>
      </c>
      <c r="R24" s="61">
        <v>2000</v>
      </c>
      <c r="S24" s="61"/>
      <c r="T24" s="61"/>
      <c r="U24" s="56">
        <f t="shared" si="1"/>
        <v>0.92233771441950319</v>
      </c>
      <c r="V24" s="56">
        <f>J24/D24</f>
        <v>0.55165290572943382</v>
      </c>
      <c r="W24" s="56">
        <f t="shared" si="1"/>
        <v>0.93179344022515342</v>
      </c>
      <c r="X24" s="62"/>
      <c r="Y24" s="62"/>
      <c r="Z24" s="58">
        <f>N24/H24</f>
        <v>0.99954324324324317</v>
      </c>
      <c r="AA24" s="6"/>
    </row>
    <row r="25" spans="1:27" s="64" customFormat="1" ht="24.95" customHeight="1" x14ac:dyDescent="0.25">
      <c r="A25" s="50">
        <v>15</v>
      </c>
      <c r="B25" s="59" t="s">
        <v>49</v>
      </c>
      <c r="C25" s="52">
        <f t="shared" si="4"/>
        <v>14387</v>
      </c>
      <c r="D25" s="54"/>
      <c r="E25" s="54">
        <v>14387</v>
      </c>
      <c r="F25" s="54"/>
      <c r="G25" s="54"/>
      <c r="H25" s="54"/>
      <c r="I25" s="52">
        <f t="shared" si="3"/>
        <v>17894.592983999999</v>
      </c>
      <c r="J25" s="60"/>
      <c r="K25" s="60">
        <v>13767.388534</v>
      </c>
      <c r="L25" s="60"/>
      <c r="M25" s="60"/>
      <c r="N25" s="52">
        <f t="shared" si="5"/>
        <v>0</v>
      </c>
      <c r="O25" s="60"/>
      <c r="P25" s="60"/>
      <c r="Q25" s="52">
        <f t="shared" si="6"/>
        <v>4127.2044500000002</v>
      </c>
      <c r="R25" s="61">
        <v>4127.2044500000002</v>
      </c>
      <c r="S25" s="61"/>
      <c r="T25" s="61"/>
      <c r="U25" s="56">
        <f t="shared" ref="U25:U59" si="7">I25/C25</f>
        <v>1.2438029459929103</v>
      </c>
      <c r="V25" s="56"/>
      <c r="W25" s="56">
        <f t="shared" ref="W25:W54" si="8">K25/E25</f>
        <v>0.95693254563147279</v>
      </c>
      <c r="X25" s="62"/>
      <c r="Y25" s="62"/>
      <c r="Z25" s="58"/>
      <c r="AA25" s="6"/>
    </row>
    <row r="26" spans="1:27" s="64" customFormat="1" ht="24.95" customHeight="1" x14ac:dyDescent="0.25">
      <c r="A26" s="50">
        <v>16</v>
      </c>
      <c r="B26" s="59" t="s">
        <v>50</v>
      </c>
      <c r="C26" s="52">
        <f t="shared" si="4"/>
        <v>119511</v>
      </c>
      <c r="D26" s="54">
        <v>95982</v>
      </c>
      <c r="E26" s="54">
        <v>23529</v>
      </c>
      <c r="F26" s="54"/>
      <c r="G26" s="54"/>
      <c r="H26" s="54"/>
      <c r="I26" s="52">
        <f t="shared" si="3"/>
        <v>90039.003563999999</v>
      </c>
      <c r="J26" s="60">
        <v>54278.853816000003</v>
      </c>
      <c r="K26" s="60">
        <f>2094.105382+261.745+24646.972331+7444.864156</f>
        <v>34447.686868999997</v>
      </c>
      <c r="L26" s="60"/>
      <c r="M26" s="60"/>
      <c r="N26" s="52">
        <f t="shared" si="5"/>
        <v>0</v>
      </c>
      <c r="O26" s="60"/>
      <c r="P26" s="60"/>
      <c r="Q26" s="52">
        <f t="shared" si="6"/>
        <v>1312.4628789999999</v>
      </c>
      <c r="R26" s="61">
        <v>1279.806284</v>
      </c>
      <c r="S26" s="61"/>
      <c r="T26" s="61">
        <v>32.656595000000003</v>
      </c>
      <c r="U26" s="56">
        <f t="shared" si="7"/>
        <v>0.75339511479278054</v>
      </c>
      <c r="V26" s="56">
        <f>J26/D26</f>
        <v>0.56551076051759708</v>
      </c>
      <c r="W26" s="56">
        <f t="shared" si="8"/>
        <v>1.4640523128479748</v>
      </c>
      <c r="X26" s="62"/>
      <c r="Y26" s="62"/>
      <c r="Z26" s="58"/>
      <c r="AA26" s="6"/>
    </row>
    <row r="27" spans="1:27" s="64" customFormat="1" ht="24.95" customHeight="1" x14ac:dyDescent="0.25">
      <c r="A27" s="50">
        <v>17</v>
      </c>
      <c r="B27" s="59" t="s">
        <v>51</v>
      </c>
      <c r="C27" s="52">
        <f t="shared" si="4"/>
        <v>459656.16660699999</v>
      </c>
      <c r="D27" s="54">
        <f>34391.513607+3015.653</f>
        <v>37407.166606999999</v>
      </c>
      <c r="E27" s="54">
        <f>422249-3000</f>
        <v>419249</v>
      </c>
      <c r="F27" s="54"/>
      <c r="G27" s="54"/>
      <c r="H27" s="54">
        <v>3000</v>
      </c>
      <c r="I27" s="52">
        <f t="shared" si="3"/>
        <v>506692.11128099996</v>
      </c>
      <c r="J27" s="60">
        <f>32934.283918+3015.653-174.106</f>
        <v>35775.830918</v>
      </c>
      <c r="K27" s="60">
        <f>9967.49+420886.886779+850.598394+225</f>
        <v>431929.97517299996</v>
      </c>
      <c r="L27" s="60"/>
      <c r="M27" s="60"/>
      <c r="N27" s="52">
        <f t="shared" si="5"/>
        <v>3166.635217</v>
      </c>
      <c r="O27" s="60">
        <v>174.10599999999999</v>
      </c>
      <c r="P27" s="60">
        <v>2992.5292169999998</v>
      </c>
      <c r="Q27" s="52">
        <f t="shared" si="6"/>
        <v>35819.669972999996</v>
      </c>
      <c r="R27" s="61">
        <v>22784.706872999999</v>
      </c>
      <c r="S27" s="61"/>
      <c r="T27" s="61">
        <f>1534.9631+11500</f>
        <v>13034.963100000001</v>
      </c>
      <c r="U27" s="56">
        <f t="shared" si="7"/>
        <v>1.102328540528893</v>
      </c>
      <c r="V27" s="56">
        <f>J27/D27</f>
        <v>0.95638975530708259</v>
      </c>
      <c r="W27" s="56">
        <f t="shared" si="8"/>
        <v>1.0302468823372266</v>
      </c>
      <c r="X27" s="62"/>
      <c r="Y27" s="62"/>
      <c r="Z27" s="58">
        <f>N27/H27</f>
        <v>1.0555450723333333</v>
      </c>
      <c r="AA27" s="6"/>
    </row>
    <row r="28" spans="1:27" s="64" customFormat="1" ht="24.95" customHeight="1" x14ac:dyDescent="0.25">
      <c r="A28" s="50">
        <v>18</v>
      </c>
      <c r="B28" s="59" t="s">
        <v>52</v>
      </c>
      <c r="C28" s="52">
        <f t="shared" si="4"/>
        <v>110605.6</v>
      </c>
      <c r="D28" s="54">
        <v>2030.6</v>
      </c>
      <c r="E28" s="54">
        <f>108575-565</f>
        <v>108010</v>
      </c>
      <c r="F28" s="54"/>
      <c r="G28" s="54"/>
      <c r="H28" s="54">
        <v>565</v>
      </c>
      <c r="I28" s="52">
        <f t="shared" si="3"/>
        <v>124877.19554799999</v>
      </c>
      <c r="J28" s="60">
        <v>2262.561471</v>
      </c>
      <c r="K28" s="60">
        <f>106199.176892+8404.501962+2180.302635+3745.863936</f>
        <v>120529.84542499999</v>
      </c>
      <c r="L28" s="60"/>
      <c r="M28" s="60"/>
      <c r="N28" s="52">
        <f t="shared" si="5"/>
        <v>1315.4096</v>
      </c>
      <c r="O28" s="60"/>
      <c r="P28" s="60">
        <v>1315.4096</v>
      </c>
      <c r="Q28" s="52">
        <f t="shared" si="6"/>
        <v>769.379052</v>
      </c>
      <c r="R28" s="61">
        <v>769.379052</v>
      </c>
      <c r="S28" s="61"/>
      <c r="T28" s="61"/>
      <c r="U28" s="56">
        <f t="shared" si="7"/>
        <v>1.1290314011948761</v>
      </c>
      <c r="V28" s="56">
        <f>J28/D28</f>
        <v>1.1142329710430414</v>
      </c>
      <c r="W28" s="56">
        <f t="shared" si="8"/>
        <v>1.1159137619201924</v>
      </c>
      <c r="X28" s="62"/>
      <c r="Y28" s="62"/>
      <c r="Z28" s="58">
        <f>N28/H28</f>
        <v>2.3281585840707963</v>
      </c>
      <c r="AA28" s="6"/>
    </row>
    <row r="29" spans="1:27" s="64" customFormat="1" ht="24.95" customHeight="1" x14ac:dyDescent="0.25">
      <c r="A29" s="50">
        <v>19</v>
      </c>
      <c r="B29" s="59" t="s">
        <v>53</v>
      </c>
      <c r="C29" s="52">
        <f t="shared" si="4"/>
        <v>33362</v>
      </c>
      <c r="D29" s="54"/>
      <c r="E29" s="54">
        <f>33362-796</f>
        <v>32566</v>
      </c>
      <c r="F29" s="54"/>
      <c r="G29" s="54"/>
      <c r="H29" s="54">
        <v>796</v>
      </c>
      <c r="I29" s="52">
        <f t="shared" si="3"/>
        <v>42397.871354999996</v>
      </c>
      <c r="J29" s="60"/>
      <c r="K29" s="60">
        <f>1989.501+30775.092093+149.18+4547.0119</f>
        <v>37460.784992999994</v>
      </c>
      <c r="L29" s="60"/>
      <c r="M29" s="60"/>
      <c r="N29" s="52">
        <f t="shared" si="5"/>
        <v>796</v>
      </c>
      <c r="O29" s="60"/>
      <c r="P29" s="60">
        <v>796</v>
      </c>
      <c r="Q29" s="52">
        <f t="shared" si="6"/>
        <v>4141.086362</v>
      </c>
      <c r="R29" s="61">
        <v>2141.086362</v>
      </c>
      <c r="S29" s="61"/>
      <c r="T29" s="61">
        <v>2000</v>
      </c>
      <c r="U29" s="56">
        <f t="shared" si="7"/>
        <v>1.2708432154846832</v>
      </c>
      <c r="V29" s="56"/>
      <c r="W29" s="56">
        <f t="shared" si="8"/>
        <v>1.150303537216729</v>
      </c>
      <c r="X29" s="62"/>
      <c r="Y29" s="62"/>
      <c r="Z29" s="58">
        <f>N29/H29</f>
        <v>1</v>
      </c>
      <c r="AA29" s="6"/>
    </row>
    <row r="30" spans="1:27" s="64" customFormat="1" ht="24.95" customHeight="1" x14ac:dyDescent="0.25">
      <c r="A30" s="50">
        <v>20</v>
      </c>
      <c r="B30" s="59" t="s">
        <v>54</v>
      </c>
      <c r="C30" s="52">
        <f t="shared" si="4"/>
        <v>425417.89539999998</v>
      </c>
      <c r="D30" s="54">
        <v>45394.895400000001</v>
      </c>
      <c r="E30" s="54">
        <v>380023</v>
      </c>
      <c r="F30" s="54"/>
      <c r="G30" s="54"/>
      <c r="H30" s="54"/>
      <c r="I30" s="52">
        <f t="shared" si="3"/>
        <v>560789.837206</v>
      </c>
      <c r="J30" s="60">
        <v>42570.823673999999</v>
      </c>
      <c r="K30" s="60">
        <f>15494.3637+344642.294416+40491.384008+26272.946395</f>
        <v>426900.98851900001</v>
      </c>
      <c r="L30" s="60"/>
      <c r="M30" s="60"/>
      <c r="N30" s="52">
        <f t="shared" si="5"/>
        <v>0</v>
      </c>
      <c r="O30" s="60"/>
      <c r="P30" s="60"/>
      <c r="Q30" s="52">
        <f t="shared" si="6"/>
        <v>91318.025012999991</v>
      </c>
      <c r="R30" s="61">
        <v>20313.268713000001</v>
      </c>
      <c r="S30" s="61"/>
      <c r="T30" s="61">
        <v>71004.756299999994</v>
      </c>
      <c r="U30" s="56">
        <f t="shared" si="7"/>
        <v>1.3182093260997314</v>
      </c>
      <c r="V30" s="56">
        <f>J30/D30</f>
        <v>0.93778878217219108</v>
      </c>
      <c r="W30" s="56">
        <f t="shared" si="8"/>
        <v>1.1233556614178615</v>
      </c>
      <c r="X30" s="62"/>
      <c r="Y30" s="62"/>
      <c r="Z30" s="58"/>
      <c r="AA30" s="6"/>
    </row>
    <row r="31" spans="1:27" s="64" customFormat="1" ht="24.95" customHeight="1" x14ac:dyDescent="0.25">
      <c r="A31" s="50">
        <v>21</v>
      </c>
      <c r="B31" s="59" t="s">
        <v>55</v>
      </c>
      <c r="C31" s="52">
        <f t="shared" si="4"/>
        <v>26933</v>
      </c>
      <c r="D31" s="54">
        <v>2500</v>
      </c>
      <c r="E31" s="54">
        <v>24433</v>
      </c>
      <c r="F31" s="54"/>
      <c r="G31" s="54"/>
      <c r="H31" s="54"/>
      <c r="I31" s="52">
        <f t="shared" si="3"/>
        <v>27798</v>
      </c>
      <c r="J31" s="60">
        <v>2545</v>
      </c>
      <c r="K31" s="60">
        <v>25253</v>
      </c>
      <c r="L31" s="60"/>
      <c r="M31" s="60"/>
      <c r="N31" s="52">
        <f t="shared" si="5"/>
        <v>0</v>
      </c>
      <c r="O31" s="60"/>
      <c r="P31" s="60"/>
      <c r="Q31" s="52">
        <f t="shared" si="6"/>
        <v>0</v>
      </c>
      <c r="R31" s="61"/>
      <c r="S31" s="61"/>
      <c r="T31" s="61"/>
      <c r="U31" s="56">
        <f t="shared" si="7"/>
        <v>1.0321167341179964</v>
      </c>
      <c r="V31" s="56">
        <f>J31/D31</f>
        <v>1.018</v>
      </c>
      <c r="W31" s="56">
        <f t="shared" si="8"/>
        <v>1.033561167273769</v>
      </c>
      <c r="X31" s="62"/>
      <c r="Y31" s="62"/>
      <c r="Z31" s="58"/>
      <c r="AA31" s="6"/>
    </row>
    <row r="32" spans="1:27" s="64" customFormat="1" ht="24.95" customHeight="1" x14ac:dyDescent="0.25">
      <c r="A32" s="50">
        <v>22</v>
      </c>
      <c r="B32" s="59" t="s">
        <v>56</v>
      </c>
      <c r="C32" s="52">
        <f t="shared" si="4"/>
        <v>27024</v>
      </c>
      <c r="D32" s="54">
        <v>14205</v>
      </c>
      <c r="E32" s="54">
        <f>12819-6389</f>
        <v>6430</v>
      </c>
      <c r="F32" s="54"/>
      <c r="G32" s="54"/>
      <c r="H32" s="54">
        <v>6389</v>
      </c>
      <c r="I32" s="52">
        <f t="shared" si="3"/>
        <v>28070.992000000002</v>
      </c>
      <c r="J32" s="60">
        <v>11330.876</v>
      </c>
      <c r="K32" s="60">
        <f>895.798+4888.899+630</f>
        <v>6414.6970000000001</v>
      </c>
      <c r="L32" s="60"/>
      <c r="M32" s="60"/>
      <c r="N32" s="52">
        <f t="shared" si="5"/>
        <v>6346.4009999999998</v>
      </c>
      <c r="O32" s="60"/>
      <c r="P32" s="60">
        <v>6346.4009999999998</v>
      </c>
      <c r="Q32" s="52">
        <f t="shared" si="6"/>
        <v>3979.018</v>
      </c>
      <c r="R32" s="61">
        <v>3002</v>
      </c>
      <c r="S32" s="61"/>
      <c r="T32" s="61">
        <v>977.01800000000003</v>
      </c>
      <c r="U32" s="56">
        <f t="shared" si="7"/>
        <v>1.0387430432208409</v>
      </c>
      <c r="V32" s="56">
        <f>J32/D32</f>
        <v>0.79766814501935934</v>
      </c>
      <c r="W32" s="56">
        <f t="shared" si="8"/>
        <v>0.99762006220839816</v>
      </c>
      <c r="X32" s="62"/>
      <c r="Y32" s="62"/>
      <c r="Z32" s="58">
        <f>N32/H32</f>
        <v>0.99333244639223661</v>
      </c>
      <c r="AA32" s="6"/>
    </row>
    <row r="33" spans="1:27" s="64" customFormat="1" ht="24.95" customHeight="1" x14ac:dyDescent="0.25">
      <c r="A33" s="50">
        <v>23</v>
      </c>
      <c r="B33" s="59" t="s">
        <v>57</v>
      </c>
      <c r="C33" s="52">
        <f t="shared" si="4"/>
        <v>8977</v>
      </c>
      <c r="D33" s="54"/>
      <c r="E33" s="54">
        <v>8977</v>
      </c>
      <c r="F33" s="54"/>
      <c r="G33" s="54"/>
      <c r="H33" s="54"/>
      <c r="I33" s="52">
        <f t="shared" si="3"/>
        <v>9754.9482459999999</v>
      </c>
      <c r="J33" s="60"/>
      <c r="K33" s="60">
        <f>3828.542+5926.406246</f>
        <v>9754.9482459999999</v>
      </c>
      <c r="L33" s="60"/>
      <c r="M33" s="60"/>
      <c r="N33" s="52">
        <f t="shared" si="5"/>
        <v>0</v>
      </c>
      <c r="O33" s="60"/>
      <c r="P33" s="60"/>
      <c r="Q33" s="52">
        <f t="shared" si="6"/>
        <v>0</v>
      </c>
      <c r="R33" s="61"/>
      <c r="S33" s="61"/>
      <c r="T33" s="61"/>
      <c r="U33" s="56">
        <f t="shared" si="7"/>
        <v>1.0866601588503955</v>
      </c>
      <c r="V33" s="56"/>
      <c r="W33" s="56">
        <f t="shared" si="8"/>
        <v>1.0866601588503955</v>
      </c>
      <c r="X33" s="62"/>
      <c r="Y33" s="62"/>
      <c r="Z33" s="58"/>
      <c r="AA33" s="6"/>
    </row>
    <row r="34" spans="1:27" s="64" customFormat="1" ht="24.95" customHeight="1" x14ac:dyDescent="0.25">
      <c r="A34" s="50">
        <v>24</v>
      </c>
      <c r="B34" s="59" t="s">
        <v>58</v>
      </c>
      <c r="C34" s="52">
        <f t="shared" si="4"/>
        <v>30609</v>
      </c>
      <c r="D34" s="54">
        <v>6500</v>
      </c>
      <c r="E34" s="54">
        <v>24109</v>
      </c>
      <c r="F34" s="54"/>
      <c r="G34" s="54"/>
      <c r="H34" s="54"/>
      <c r="I34" s="52">
        <f t="shared" si="3"/>
        <v>33254.792302000002</v>
      </c>
      <c r="J34" s="60">
        <v>6500</v>
      </c>
      <c r="K34" s="60">
        <f>874.971+25858.91722</f>
        <v>26733.888220000001</v>
      </c>
      <c r="L34" s="60"/>
      <c r="M34" s="60"/>
      <c r="N34" s="52">
        <f t="shared" si="5"/>
        <v>0</v>
      </c>
      <c r="O34" s="60"/>
      <c r="P34" s="60"/>
      <c r="Q34" s="52">
        <f t="shared" si="6"/>
        <v>20.904081999999999</v>
      </c>
      <c r="R34" s="61">
        <v>20.904081999999999</v>
      </c>
      <c r="S34" s="61"/>
      <c r="T34" s="61"/>
      <c r="U34" s="56">
        <f t="shared" si="7"/>
        <v>1.0864383776666995</v>
      </c>
      <c r="V34" s="56">
        <f>J34/D34</f>
        <v>1</v>
      </c>
      <c r="W34" s="56">
        <f t="shared" si="8"/>
        <v>1.1088758646148742</v>
      </c>
      <c r="X34" s="62"/>
      <c r="Y34" s="62"/>
      <c r="Z34" s="58"/>
      <c r="AA34" s="6"/>
    </row>
    <row r="35" spans="1:27" s="64" customFormat="1" ht="24.95" customHeight="1" x14ac:dyDescent="0.25">
      <c r="A35" s="50">
        <v>25</v>
      </c>
      <c r="B35" s="59" t="s">
        <v>59</v>
      </c>
      <c r="C35" s="52">
        <f t="shared" si="4"/>
        <v>19682</v>
      </c>
      <c r="D35" s="54"/>
      <c r="E35" s="54">
        <v>19682</v>
      </c>
      <c r="F35" s="54"/>
      <c r="G35" s="54"/>
      <c r="H35" s="54"/>
      <c r="I35" s="52">
        <f t="shared" si="3"/>
        <v>25709.497299999999</v>
      </c>
      <c r="J35" s="60"/>
      <c r="K35" s="60">
        <f>477.876+19231.6212999999+6000</f>
        <v>25709.497299999999</v>
      </c>
      <c r="L35" s="60"/>
      <c r="M35" s="60"/>
      <c r="N35" s="52">
        <f t="shared" si="5"/>
        <v>0</v>
      </c>
      <c r="O35" s="60"/>
      <c r="P35" s="60"/>
      <c r="Q35" s="52">
        <f t="shared" si="6"/>
        <v>0</v>
      </c>
      <c r="R35" s="61"/>
      <c r="S35" s="61"/>
      <c r="T35" s="61"/>
      <c r="U35" s="56">
        <f t="shared" si="7"/>
        <v>1.3062441469362869</v>
      </c>
      <c r="V35" s="56"/>
      <c r="W35" s="56">
        <f t="shared" si="8"/>
        <v>1.3062441469362869</v>
      </c>
      <c r="X35" s="62"/>
      <c r="Y35" s="62"/>
      <c r="Z35" s="58"/>
      <c r="AA35" s="6"/>
    </row>
    <row r="36" spans="1:27" s="64" customFormat="1" ht="24.95" customHeight="1" x14ac:dyDescent="0.25">
      <c r="A36" s="50">
        <v>26</v>
      </c>
      <c r="B36" s="59" t="s">
        <v>60</v>
      </c>
      <c r="C36" s="52">
        <f t="shared" si="4"/>
        <v>13618</v>
      </c>
      <c r="D36" s="54">
        <v>4000</v>
      </c>
      <c r="E36" s="54">
        <v>9618</v>
      </c>
      <c r="F36" s="54"/>
      <c r="G36" s="54"/>
      <c r="H36" s="54"/>
      <c r="I36" s="52">
        <f t="shared" si="3"/>
        <v>14536.925869999999</v>
      </c>
      <c r="J36" s="60">
        <v>4000</v>
      </c>
      <c r="K36" s="60">
        <f>1480.96597+8484.655981</f>
        <v>9965.6219509999992</v>
      </c>
      <c r="L36" s="60"/>
      <c r="M36" s="60"/>
      <c r="N36" s="52">
        <f t="shared" si="5"/>
        <v>0</v>
      </c>
      <c r="O36" s="60"/>
      <c r="P36" s="60"/>
      <c r="Q36" s="52">
        <f t="shared" si="6"/>
        <v>571.30391899999995</v>
      </c>
      <c r="R36" s="61">
        <v>571.30391899999995</v>
      </c>
      <c r="S36" s="61"/>
      <c r="T36" s="61"/>
      <c r="U36" s="56">
        <f t="shared" si="7"/>
        <v>1.067478768541636</v>
      </c>
      <c r="V36" s="56">
        <f>J36/D36</f>
        <v>1</v>
      </c>
      <c r="W36" s="56">
        <f t="shared" si="8"/>
        <v>1.0361428520482427</v>
      </c>
      <c r="X36" s="62"/>
      <c r="Y36" s="62"/>
      <c r="Z36" s="58"/>
      <c r="AA36" s="6"/>
    </row>
    <row r="37" spans="1:27" s="64" customFormat="1" ht="24.95" customHeight="1" x14ac:dyDescent="0.25">
      <c r="A37" s="50">
        <v>27</v>
      </c>
      <c r="B37" s="59" t="s">
        <v>61</v>
      </c>
      <c r="C37" s="52">
        <f t="shared" si="4"/>
        <v>1131</v>
      </c>
      <c r="D37" s="54"/>
      <c r="E37" s="54">
        <v>1131</v>
      </c>
      <c r="F37" s="54"/>
      <c r="G37" s="54"/>
      <c r="H37" s="54"/>
      <c r="I37" s="52">
        <f t="shared" si="3"/>
        <v>1131</v>
      </c>
      <c r="J37" s="60"/>
      <c r="K37" s="60">
        <f>851+280</f>
        <v>1131</v>
      </c>
      <c r="L37" s="60"/>
      <c r="M37" s="60"/>
      <c r="N37" s="52">
        <f t="shared" si="5"/>
        <v>0</v>
      </c>
      <c r="O37" s="60"/>
      <c r="P37" s="60"/>
      <c r="Q37" s="52">
        <f t="shared" si="6"/>
        <v>0</v>
      </c>
      <c r="R37" s="61"/>
      <c r="S37" s="61"/>
      <c r="T37" s="61"/>
      <c r="U37" s="56">
        <f t="shared" si="7"/>
        <v>1</v>
      </c>
      <c r="V37" s="56"/>
      <c r="W37" s="56">
        <f t="shared" si="8"/>
        <v>1</v>
      </c>
      <c r="X37" s="62"/>
      <c r="Y37" s="62"/>
      <c r="Z37" s="58"/>
      <c r="AA37" s="6"/>
    </row>
    <row r="38" spans="1:27" s="64" customFormat="1" ht="24.95" customHeight="1" x14ac:dyDescent="0.25">
      <c r="A38" s="50">
        <v>28</v>
      </c>
      <c r="B38" s="59" t="s">
        <v>62</v>
      </c>
      <c r="C38" s="52">
        <f t="shared" si="4"/>
        <v>4611</v>
      </c>
      <c r="D38" s="54"/>
      <c r="E38" s="54">
        <f>4611-50</f>
        <v>4561</v>
      </c>
      <c r="F38" s="54"/>
      <c r="G38" s="54"/>
      <c r="H38" s="54">
        <v>50</v>
      </c>
      <c r="I38" s="52">
        <f t="shared" si="3"/>
        <v>4839.5815849999999</v>
      </c>
      <c r="J38" s="60"/>
      <c r="K38" s="60">
        <v>4789.5815849999999</v>
      </c>
      <c r="L38" s="60"/>
      <c r="M38" s="60"/>
      <c r="N38" s="52">
        <f t="shared" si="5"/>
        <v>50</v>
      </c>
      <c r="O38" s="60"/>
      <c r="P38" s="60">
        <v>50</v>
      </c>
      <c r="Q38" s="52">
        <f t="shared" si="6"/>
        <v>0</v>
      </c>
      <c r="R38" s="61"/>
      <c r="S38" s="61"/>
      <c r="T38" s="61"/>
      <c r="U38" s="56">
        <f t="shared" si="7"/>
        <v>1.0495731045326393</v>
      </c>
      <c r="V38" s="56"/>
      <c r="W38" s="56">
        <f t="shared" si="8"/>
        <v>1.0501165500986624</v>
      </c>
      <c r="X38" s="62"/>
      <c r="Y38" s="62"/>
      <c r="Z38" s="58">
        <f>N38/H38</f>
        <v>1</v>
      </c>
      <c r="AA38" s="6"/>
    </row>
    <row r="39" spans="1:27" s="64" customFormat="1" ht="24.95" customHeight="1" x14ac:dyDescent="0.25">
      <c r="A39" s="50">
        <v>29</v>
      </c>
      <c r="B39" s="59" t="s">
        <v>63</v>
      </c>
      <c r="C39" s="52">
        <f t="shared" si="4"/>
        <v>4334</v>
      </c>
      <c r="D39" s="54"/>
      <c r="E39" s="54">
        <f>4334-50</f>
        <v>4284</v>
      </c>
      <c r="F39" s="54"/>
      <c r="G39" s="54"/>
      <c r="H39" s="54">
        <v>50</v>
      </c>
      <c r="I39" s="52">
        <f>SUM(J39:M39,N39,Q39)</f>
        <v>4584.87</v>
      </c>
      <c r="J39" s="60"/>
      <c r="K39" s="60">
        <f>4484+50</f>
        <v>4534</v>
      </c>
      <c r="L39" s="60"/>
      <c r="M39" s="60"/>
      <c r="N39" s="52">
        <f>SUM(O39:P39)</f>
        <v>50</v>
      </c>
      <c r="O39" s="60"/>
      <c r="P39" s="60">
        <v>50</v>
      </c>
      <c r="Q39" s="52">
        <f>SUM(R39:T39)</f>
        <v>0.87</v>
      </c>
      <c r="R39" s="61">
        <v>0.87</v>
      </c>
      <c r="S39" s="61"/>
      <c r="T39" s="61"/>
      <c r="U39" s="56">
        <f t="shared" si="7"/>
        <v>1.0578841716658975</v>
      </c>
      <c r="V39" s="56"/>
      <c r="W39" s="56">
        <f t="shared" si="8"/>
        <v>1.0583566760037348</v>
      </c>
      <c r="X39" s="62"/>
      <c r="Y39" s="62"/>
      <c r="Z39" s="58">
        <f>N39/H39</f>
        <v>1</v>
      </c>
      <c r="AA39" s="6"/>
    </row>
    <row r="40" spans="1:27" s="64" customFormat="1" ht="24.95" customHeight="1" x14ac:dyDescent="0.25">
      <c r="A40" s="50">
        <v>30</v>
      </c>
      <c r="B40" s="59" t="s">
        <v>64</v>
      </c>
      <c r="C40" s="52">
        <f t="shared" si="4"/>
        <v>5517</v>
      </c>
      <c r="D40" s="54"/>
      <c r="E40" s="54">
        <f>5517-100</f>
        <v>5417</v>
      </c>
      <c r="F40" s="54"/>
      <c r="G40" s="54"/>
      <c r="H40" s="54">
        <v>100</v>
      </c>
      <c r="I40" s="52">
        <f>SUM(J40:M40,N40,Q40)</f>
        <v>5667</v>
      </c>
      <c r="J40" s="60"/>
      <c r="K40" s="60">
        <f>5517+50</f>
        <v>5567</v>
      </c>
      <c r="L40" s="60"/>
      <c r="M40" s="60"/>
      <c r="N40" s="52">
        <f>SUM(O40:P40)</f>
        <v>100</v>
      </c>
      <c r="O40" s="60"/>
      <c r="P40" s="60">
        <v>100</v>
      </c>
      <c r="Q40" s="52">
        <f>SUM(R40:T40)</f>
        <v>0</v>
      </c>
      <c r="R40" s="61"/>
      <c r="S40" s="61"/>
      <c r="T40" s="61"/>
      <c r="U40" s="56">
        <f t="shared" si="7"/>
        <v>1.0271886895051658</v>
      </c>
      <c r="V40" s="56"/>
      <c r="W40" s="56">
        <f t="shared" si="8"/>
        <v>1.0276906036551596</v>
      </c>
      <c r="X40" s="62"/>
      <c r="Y40" s="62"/>
      <c r="Z40" s="58">
        <f>N40/H40</f>
        <v>1</v>
      </c>
      <c r="AA40" s="6"/>
    </row>
    <row r="41" spans="1:27" s="64" customFormat="1" ht="24.95" customHeight="1" x14ac:dyDescent="0.25">
      <c r="A41" s="50">
        <v>31</v>
      </c>
      <c r="B41" s="59" t="s">
        <v>65</v>
      </c>
      <c r="C41" s="52">
        <f t="shared" si="4"/>
        <v>7098</v>
      </c>
      <c r="D41" s="54"/>
      <c r="E41" s="54">
        <v>7098</v>
      </c>
      <c r="F41" s="54"/>
      <c r="G41" s="54"/>
      <c r="H41" s="54"/>
      <c r="I41" s="52">
        <f>SUM(J41:M41,N41,Q41)</f>
        <v>7148</v>
      </c>
      <c r="J41" s="60"/>
      <c r="K41" s="60">
        <f>7058+90</f>
        <v>7148</v>
      </c>
      <c r="L41" s="60"/>
      <c r="M41" s="60"/>
      <c r="N41" s="52">
        <f>SUM(O41:P41)</f>
        <v>0</v>
      </c>
      <c r="O41" s="60"/>
      <c r="P41" s="60"/>
      <c r="Q41" s="52">
        <f>SUM(R41:T41)</f>
        <v>0</v>
      </c>
      <c r="R41" s="61"/>
      <c r="S41" s="61"/>
      <c r="T41" s="61"/>
      <c r="U41" s="56">
        <f t="shared" si="7"/>
        <v>1.0070442378134685</v>
      </c>
      <c r="V41" s="56"/>
      <c r="W41" s="56">
        <f t="shared" si="8"/>
        <v>1.0070442378134685</v>
      </c>
      <c r="X41" s="62"/>
      <c r="Y41" s="62"/>
      <c r="Z41" s="58"/>
      <c r="AA41" s="6"/>
    </row>
    <row r="42" spans="1:27" s="64" customFormat="1" ht="24.95" customHeight="1" x14ac:dyDescent="0.25">
      <c r="A42" s="50">
        <v>32</v>
      </c>
      <c r="B42" s="59" t="s">
        <v>66</v>
      </c>
      <c r="C42" s="52">
        <f t="shared" si="4"/>
        <v>2592</v>
      </c>
      <c r="D42" s="54"/>
      <c r="E42" s="54">
        <v>2592</v>
      </c>
      <c r="F42" s="54"/>
      <c r="G42" s="54"/>
      <c r="H42" s="54"/>
      <c r="I42" s="52">
        <f>SUM(J42:M42,N42,Q42)</f>
        <v>2710.4713109999998</v>
      </c>
      <c r="J42" s="60"/>
      <c r="K42" s="60">
        <v>2585.4713109999998</v>
      </c>
      <c r="L42" s="60"/>
      <c r="M42" s="60"/>
      <c r="N42" s="52">
        <f>SUM(O42:P42)</f>
        <v>0</v>
      </c>
      <c r="O42" s="60"/>
      <c r="P42" s="60"/>
      <c r="Q42" s="52">
        <f>SUM(R42:T42)</f>
        <v>125</v>
      </c>
      <c r="R42" s="61">
        <v>125</v>
      </c>
      <c r="S42" s="61"/>
      <c r="T42" s="61"/>
      <c r="U42" s="56">
        <f t="shared" si="7"/>
        <v>1.0457065243055554</v>
      </c>
      <c r="V42" s="56"/>
      <c r="W42" s="56">
        <f t="shared" si="8"/>
        <v>0.99748121566358017</v>
      </c>
      <c r="X42" s="62"/>
      <c r="Y42" s="62"/>
      <c r="Z42" s="58"/>
      <c r="AA42" s="6"/>
    </row>
    <row r="43" spans="1:27" s="64" customFormat="1" ht="24.95" customHeight="1" x14ac:dyDescent="0.25">
      <c r="A43" s="50">
        <v>33</v>
      </c>
      <c r="B43" s="59" t="s">
        <v>67</v>
      </c>
      <c r="C43" s="52">
        <f t="shared" si="4"/>
        <v>1000</v>
      </c>
      <c r="D43" s="54"/>
      <c r="E43" s="54"/>
      <c r="F43" s="54"/>
      <c r="G43" s="54">
        <v>1000</v>
      </c>
      <c r="H43" s="54"/>
      <c r="I43" s="52">
        <f t="shared" si="3"/>
        <v>1000</v>
      </c>
      <c r="J43" s="60"/>
      <c r="K43" s="60"/>
      <c r="L43" s="60"/>
      <c r="M43" s="60">
        <v>1000</v>
      </c>
      <c r="N43" s="52">
        <f t="shared" si="5"/>
        <v>0</v>
      </c>
      <c r="O43" s="60"/>
      <c r="P43" s="60"/>
      <c r="Q43" s="52">
        <f t="shared" si="6"/>
        <v>0</v>
      </c>
      <c r="R43" s="61"/>
      <c r="S43" s="61"/>
      <c r="T43" s="61"/>
      <c r="U43" s="56">
        <f t="shared" si="7"/>
        <v>1</v>
      </c>
      <c r="V43" s="56"/>
      <c r="W43" s="56"/>
      <c r="X43" s="62"/>
      <c r="Y43" s="62">
        <f>M43/G43</f>
        <v>1</v>
      </c>
      <c r="Z43" s="58"/>
      <c r="AA43" s="6"/>
    </row>
    <row r="44" spans="1:27" s="64" customFormat="1" ht="24.95" customHeight="1" x14ac:dyDescent="0.25">
      <c r="A44" s="50">
        <v>34</v>
      </c>
      <c r="B44" s="59" t="s">
        <v>68</v>
      </c>
      <c r="C44" s="52">
        <f t="shared" si="4"/>
        <v>500</v>
      </c>
      <c r="D44" s="54"/>
      <c r="E44" s="54">
        <v>500</v>
      </c>
      <c r="F44" s="54"/>
      <c r="G44" s="54"/>
      <c r="H44" s="54"/>
      <c r="I44" s="52">
        <f t="shared" si="3"/>
        <v>461.92700000000002</v>
      </c>
      <c r="J44" s="60"/>
      <c r="K44" s="60">
        <v>461.92700000000002</v>
      </c>
      <c r="L44" s="60"/>
      <c r="M44" s="60"/>
      <c r="N44" s="52">
        <f t="shared" si="5"/>
        <v>0</v>
      </c>
      <c r="O44" s="60"/>
      <c r="P44" s="60"/>
      <c r="Q44" s="52">
        <f t="shared" si="6"/>
        <v>0</v>
      </c>
      <c r="R44" s="61"/>
      <c r="S44" s="61"/>
      <c r="T44" s="61"/>
      <c r="U44" s="56">
        <f t="shared" si="7"/>
        <v>0.92385400000000006</v>
      </c>
      <c r="V44" s="56"/>
      <c r="W44" s="56">
        <f>K44/E44</f>
        <v>0.92385400000000006</v>
      </c>
      <c r="X44" s="62"/>
      <c r="Y44" s="62"/>
      <c r="Z44" s="58"/>
      <c r="AA44" s="6"/>
    </row>
    <row r="45" spans="1:27" s="64" customFormat="1" ht="24.95" customHeight="1" x14ac:dyDescent="0.25">
      <c r="A45" s="50">
        <v>35</v>
      </c>
      <c r="B45" s="59" t="s">
        <v>69</v>
      </c>
      <c r="C45" s="52">
        <f t="shared" si="4"/>
        <v>107</v>
      </c>
      <c r="D45" s="54"/>
      <c r="E45" s="54">
        <v>107</v>
      </c>
      <c r="F45" s="54"/>
      <c r="G45" s="54"/>
      <c r="H45" s="54"/>
      <c r="I45" s="52">
        <f t="shared" si="3"/>
        <v>106.99</v>
      </c>
      <c r="J45" s="60"/>
      <c r="K45" s="60">
        <v>106.99</v>
      </c>
      <c r="L45" s="60"/>
      <c r="M45" s="60"/>
      <c r="N45" s="52">
        <f t="shared" si="5"/>
        <v>0</v>
      </c>
      <c r="O45" s="60"/>
      <c r="P45" s="60"/>
      <c r="Q45" s="52">
        <f t="shared" si="6"/>
        <v>0</v>
      </c>
      <c r="R45" s="61"/>
      <c r="S45" s="61"/>
      <c r="T45" s="61"/>
      <c r="U45" s="56">
        <f t="shared" si="7"/>
        <v>0.99990654205607477</v>
      </c>
      <c r="V45" s="56"/>
      <c r="W45" s="56">
        <f>K45/E45</f>
        <v>0.99990654205607477</v>
      </c>
      <c r="X45" s="62"/>
      <c r="Y45" s="62"/>
      <c r="Z45" s="58"/>
      <c r="AA45" s="6"/>
    </row>
    <row r="46" spans="1:27" s="64" customFormat="1" ht="24.95" customHeight="1" x14ac:dyDescent="0.25">
      <c r="A46" s="50">
        <v>36</v>
      </c>
      <c r="B46" s="59" t="s">
        <v>70</v>
      </c>
      <c r="C46" s="52">
        <f t="shared" si="4"/>
        <v>15932</v>
      </c>
      <c r="D46" s="54">
        <v>15800</v>
      </c>
      <c r="E46" s="54">
        <v>132</v>
      </c>
      <c r="F46" s="54"/>
      <c r="G46" s="54"/>
      <c r="H46" s="54"/>
      <c r="I46" s="52">
        <f t="shared" si="3"/>
        <v>15932</v>
      </c>
      <c r="J46" s="60">
        <v>15800</v>
      </c>
      <c r="K46" s="60">
        <v>132</v>
      </c>
      <c r="L46" s="60"/>
      <c r="M46" s="60"/>
      <c r="N46" s="52">
        <f t="shared" si="5"/>
        <v>0</v>
      </c>
      <c r="O46" s="60"/>
      <c r="P46" s="60"/>
      <c r="Q46" s="52">
        <f t="shared" si="6"/>
        <v>0</v>
      </c>
      <c r="R46" s="61"/>
      <c r="S46" s="61"/>
      <c r="T46" s="61"/>
      <c r="U46" s="56">
        <f t="shared" si="7"/>
        <v>1</v>
      </c>
      <c r="V46" s="56">
        <f>J46/D46</f>
        <v>1</v>
      </c>
      <c r="W46" s="56">
        <f>K46/E46</f>
        <v>1</v>
      </c>
      <c r="X46" s="62"/>
      <c r="Y46" s="62"/>
      <c r="Z46" s="58"/>
      <c r="AA46" s="6"/>
    </row>
    <row r="47" spans="1:27" s="64" customFormat="1" ht="24.95" customHeight="1" x14ac:dyDescent="0.25">
      <c r="A47" s="50">
        <v>37</v>
      </c>
      <c r="B47" s="59" t="s">
        <v>71</v>
      </c>
      <c r="C47" s="52">
        <f t="shared" si="4"/>
        <v>6000</v>
      </c>
      <c r="D47" s="54"/>
      <c r="E47" s="54">
        <v>6000</v>
      </c>
      <c r="F47" s="54"/>
      <c r="G47" s="54"/>
      <c r="H47" s="54"/>
      <c r="I47" s="52">
        <f t="shared" si="3"/>
        <v>28851</v>
      </c>
      <c r="J47" s="60"/>
      <c r="K47" s="60">
        <v>28851</v>
      </c>
      <c r="L47" s="60"/>
      <c r="M47" s="60"/>
      <c r="N47" s="52">
        <f t="shared" si="5"/>
        <v>0</v>
      </c>
      <c r="O47" s="60"/>
      <c r="P47" s="60"/>
      <c r="Q47" s="52"/>
      <c r="R47" s="61"/>
      <c r="S47" s="61"/>
      <c r="T47" s="61"/>
      <c r="U47" s="56">
        <f t="shared" si="7"/>
        <v>4.8085000000000004</v>
      </c>
      <c r="V47" s="56"/>
      <c r="W47" s="56">
        <f>K47/E47</f>
        <v>4.8085000000000004</v>
      </c>
      <c r="X47" s="62"/>
      <c r="Y47" s="62"/>
      <c r="Z47" s="58"/>
      <c r="AA47" s="6"/>
    </row>
    <row r="48" spans="1:27" s="64" customFormat="1" ht="24.95" customHeight="1" x14ac:dyDescent="0.25">
      <c r="A48" s="50">
        <v>38</v>
      </c>
      <c r="B48" s="59" t="s">
        <v>72</v>
      </c>
      <c r="C48" s="52">
        <f t="shared" si="4"/>
        <v>0</v>
      </c>
      <c r="D48" s="54"/>
      <c r="E48" s="54"/>
      <c r="F48" s="54"/>
      <c r="G48" s="54"/>
      <c r="H48" s="54"/>
      <c r="I48" s="52">
        <f t="shared" si="3"/>
        <v>53.161200000000001</v>
      </c>
      <c r="J48" s="60"/>
      <c r="K48" s="60">
        <v>53.161200000000001</v>
      </c>
      <c r="L48" s="60"/>
      <c r="M48" s="60"/>
      <c r="N48" s="52"/>
      <c r="O48" s="60"/>
      <c r="P48" s="60"/>
      <c r="Q48" s="52"/>
      <c r="R48" s="61"/>
      <c r="S48" s="61"/>
      <c r="T48" s="61"/>
      <c r="U48" s="56"/>
      <c r="V48" s="56"/>
      <c r="W48" s="56"/>
      <c r="X48" s="62"/>
      <c r="Y48" s="62"/>
      <c r="Z48" s="58"/>
      <c r="AA48" s="6"/>
    </row>
    <row r="49" spans="1:27" s="64" customFormat="1" ht="52.5" customHeight="1" x14ac:dyDescent="0.25">
      <c r="A49" s="50">
        <v>39</v>
      </c>
      <c r="B49" s="59" t="s">
        <v>73</v>
      </c>
      <c r="C49" s="52">
        <f t="shared" si="4"/>
        <v>800</v>
      </c>
      <c r="D49" s="54"/>
      <c r="E49" s="54"/>
      <c r="F49" s="54"/>
      <c r="G49" s="54"/>
      <c r="H49" s="54">
        <v>800</v>
      </c>
      <c r="I49" s="52">
        <f t="shared" si="3"/>
        <v>0</v>
      </c>
      <c r="J49" s="60"/>
      <c r="K49" s="60"/>
      <c r="L49" s="60"/>
      <c r="M49" s="60"/>
      <c r="N49" s="52">
        <f t="shared" si="5"/>
        <v>0</v>
      </c>
      <c r="O49" s="60"/>
      <c r="P49" s="60"/>
      <c r="Q49" s="52"/>
      <c r="R49" s="61"/>
      <c r="S49" s="61"/>
      <c r="T49" s="61"/>
      <c r="U49" s="56">
        <f>I49/C49</f>
        <v>0</v>
      </c>
      <c r="V49" s="56"/>
      <c r="W49" s="56"/>
      <c r="X49" s="62"/>
      <c r="Y49" s="62"/>
      <c r="Z49" s="58">
        <f>N49/H49</f>
        <v>0</v>
      </c>
      <c r="AA49" s="6"/>
    </row>
    <row r="50" spans="1:27" s="64" customFormat="1" ht="24.95" customHeight="1" x14ac:dyDescent="0.25">
      <c r="A50" s="50">
        <v>40</v>
      </c>
      <c r="B50" s="59" t="s">
        <v>74</v>
      </c>
      <c r="C50" s="52">
        <f t="shared" si="4"/>
        <v>100</v>
      </c>
      <c r="D50" s="54"/>
      <c r="E50" s="54">
        <v>100</v>
      </c>
      <c r="F50" s="54"/>
      <c r="G50" s="54"/>
      <c r="H50" s="54"/>
      <c r="I50" s="52">
        <f t="shared" si="3"/>
        <v>100</v>
      </c>
      <c r="J50" s="60"/>
      <c r="K50" s="60">
        <v>100</v>
      </c>
      <c r="L50" s="60"/>
      <c r="M50" s="60"/>
      <c r="N50" s="52">
        <f t="shared" si="5"/>
        <v>0</v>
      </c>
      <c r="O50" s="60"/>
      <c r="P50" s="60"/>
      <c r="Q50" s="52">
        <f t="shared" si="6"/>
        <v>0</v>
      </c>
      <c r="R50" s="61"/>
      <c r="S50" s="61"/>
      <c r="T50" s="61"/>
      <c r="U50" s="56">
        <f>I50/C50</f>
        <v>1</v>
      </c>
      <c r="V50" s="56"/>
      <c r="W50" s="56">
        <f>K50/E50</f>
        <v>1</v>
      </c>
      <c r="X50" s="62"/>
      <c r="Y50" s="62"/>
      <c r="Z50" s="62"/>
      <c r="AA50" s="6"/>
    </row>
    <row r="51" spans="1:27" s="64" customFormat="1" ht="24.95" customHeight="1" x14ac:dyDescent="0.25">
      <c r="A51" s="50">
        <v>41</v>
      </c>
      <c r="B51" s="59" t="s">
        <v>75</v>
      </c>
      <c r="C51" s="52">
        <f t="shared" si="4"/>
        <v>0</v>
      </c>
      <c r="D51" s="54"/>
      <c r="E51" s="54"/>
      <c r="F51" s="54"/>
      <c r="G51" s="54"/>
      <c r="H51" s="54"/>
      <c r="I51" s="52">
        <f t="shared" si="3"/>
        <v>150</v>
      </c>
      <c r="J51" s="60"/>
      <c r="K51" s="60">
        <v>150</v>
      </c>
      <c r="L51" s="60"/>
      <c r="M51" s="60"/>
      <c r="N51" s="52">
        <f t="shared" si="5"/>
        <v>0</v>
      </c>
      <c r="O51" s="60"/>
      <c r="P51" s="60"/>
      <c r="Q51" s="52">
        <f t="shared" si="6"/>
        <v>0</v>
      </c>
      <c r="R51" s="61"/>
      <c r="S51" s="61"/>
      <c r="T51" s="61"/>
      <c r="U51" s="56"/>
      <c r="V51" s="56"/>
      <c r="W51" s="56"/>
      <c r="X51" s="62"/>
      <c r="Y51" s="62"/>
      <c r="Z51" s="62"/>
      <c r="AA51" s="6"/>
    </row>
    <row r="52" spans="1:27" s="64" customFormat="1" ht="24.95" customHeight="1" x14ac:dyDescent="0.25">
      <c r="A52" s="50">
        <v>42</v>
      </c>
      <c r="B52" s="59" t="s">
        <v>76</v>
      </c>
      <c r="C52" s="52">
        <f t="shared" si="4"/>
        <v>100</v>
      </c>
      <c r="D52" s="54"/>
      <c r="E52" s="54">
        <v>100</v>
      </c>
      <c r="F52" s="54"/>
      <c r="G52" s="54"/>
      <c r="H52" s="54"/>
      <c r="I52" s="52">
        <f t="shared" si="3"/>
        <v>1150</v>
      </c>
      <c r="J52" s="60"/>
      <c r="K52" s="60">
        <f>100+50</f>
        <v>150</v>
      </c>
      <c r="L52" s="60"/>
      <c r="M52" s="60"/>
      <c r="N52" s="52">
        <f t="shared" si="5"/>
        <v>0</v>
      </c>
      <c r="O52" s="60"/>
      <c r="P52" s="60"/>
      <c r="Q52" s="52">
        <f t="shared" si="6"/>
        <v>1000</v>
      </c>
      <c r="R52" s="61">
        <v>1000</v>
      </c>
      <c r="S52" s="61"/>
      <c r="T52" s="61"/>
      <c r="U52" s="56">
        <f>I52/C52</f>
        <v>11.5</v>
      </c>
      <c r="V52" s="56"/>
      <c r="W52" s="56">
        <f>K52/E52</f>
        <v>1.5</v>
      </c>
      <c r="X52" s="62"/>
      <c r="Y52" s="62"/>
      <c r="Z52" s="62"/>
      <c r="AA52" s="6"/>
    </row>
    <row r="53" spans="1:27" s="64" customFormat="1" ht="24.95" customHeight="1" x14ac:dyDescent="0.25">
      <c r="A53" s="50">
        <v>43</v>
      </c>
      <c r="B53" s="59" t="s">
        <v>77</v>
      </c>
      <c r="C53" s="52">
        <f t="shared" si="4"/>
        <v>100</v>
      </c>
      <c r="D53" s="54"/>
      <c r="E53" s="54">
        <v>100</v>
      </c>
      <c r="F53" s="54"/>
      <c r="G53" s="54"/>
      <c r="H53" s="54"/>
      <c r="I53" s="52">
        <f t="shared" si="3"/>
        <v>150</v>
      </c>
      <c r="J53" s="60"/>
      <c r="K53" s="60">
        <f>100+50</f>
        <v>150</v>
      </c>
      <c r="L53" s="60"/>
      <c r="M53" s="60"/>
      <c r="N53" s="52">
        <f t="shared" si="5"/>
        <v>0</v>
      </c>
      <c r="O53" s="60"/>
      <c r="P53" s="60"/>
      <c r="Q53" s="52">
        <f t="shared" si="6"/>
        <v>0</v>
      </c>
      <c r="R53" s="61"/>
      <c r="S53" s="61"/>
      <c r="T53" s="61"/>
      <c r="U53" s="56">
        <f>I53/C53</f>
        <v>1.5</v>
      </c>
      <c r="V53" s="56"/>
      <c r="W53" s="56">
        <f>K53/E53</f>
        <v>1.5</v>
      </c>
      <c r="X53" s="62"/>
      <c r="Y53" s="62"/>
      <c r="Z53" s="62"/>
      <c r="AA53" s="6"/>
    </row>
    <row r="54" spans="1:27" s="64" customFormat="1" ht="24.95" customHeight="1" x14ac:dyDescent="0.25">
      <c r="A54" s="50">
        <v>44</v>
      </c>
      <c r="B54" s="59" t="s">
        <v>78</v>
      </c>
      <c r="C54" s="52">
        <f t="shared" si="4"/>
        <v>30810.051519000001</v>
      </c>
      <c r="D54" s="54">
        <v>14140.051519000001</v>
      </c>
      <c r="E54" s="54">
        <v>16670</v>
      </c>
      <c r="F54" s="54"/>
      <c r="G54" s="54"/>
      <c r="H54" s="54"/>
      <c r="I54" s="52">
        <f t="shared" si="3"/>
        <v>26195.665179999996</v>
      </c>
      <c r="J54" s="60">
        <f>4637.136142</f>
        <v>4637.1361420000003</v>
      </c>
      <c r="K54" s="60">
        <f>3370.484038+18188.045</f>
        <v>21558.529037999997</v>
      </c>
      <c r="L54" s="60"/>
      <c r="M54" s="60"/>
      <c r="N54" s="52">
        <f t="shared" si="5"/>
        <v>0</v>
      </c>
      <c r="O54" s="60"/>
      <c r="P54" s="60"/>
      <c r="Q54" s="52">
        <f t="shared" si="6"/>
        <v>0</v>
      </c>
      <c r="R54" s="61"/>
      <c r="S54" s="61"/>
      <c r="T54" s="61"/>
      <c r="U54" s="56"/>
      <c r="V54" s="56">
        <f>J54/D54</f>
        <v>0.3279433696382984</v>
      </c>
      <c r="W54" s="56">
        <f>K54/E54</f>
        <v>1.2932530916616676</v>
      </c>
      <c r="X54" s="62"/>
      <c r="Y54" s="62"/>
      <c r="Z54" s="62"/>
      <c r="AA54" s="6"/>
    </row>
    <row r="55" spans="1:27" s="64" customFormat="1" ht="24.95" customHeight="1" x14ac:dyDescent="0.25">
      <c r="A55" s="50">
        <v>45</v>
      </c>
      <c r="B55" s="59" t="s">
        <v>79</v>
      </c>
      <c r="C55" s="52">
        <f t="shared" si="4"/>
        <v>55127.938999999998</v>
      </c>
      <c r="D55" s="54">
        <v>10277.939</v>
      </c>
      <c r="E55" s="54">
        <v>44850</v>
      </c>
      <c r="F55" s="54"/>
      <c r="G55" s="54"/>
      <c r="H55" s="54"/>
      <c r="I55" s="52">
        <f>SUM(J55:M55,N55,Q55)</f>
        <v>60511.020466999995</v>
      </c>
      <c r="J55" s="60">
        <v>10251.201999999999</v>
      </c>
      <c r="K55" s="60">
        <f>4275.368467+34.45+45950</f>
        <v>50259.818466999997</v>
      </c>
      <c r="L55" s="60"/>
      <c r="M55" s="60"/>
      <c r="N55" s="52">
        <f>SUM(O55:P55)</f>
        <v>0</v>
      </c>
      <c r="O55" s="60"/>
      <c r="P55" s="60"/>
      <c r="Q55" s="52">
        <f>SUM(R55:T55)</f>
        <v>0</v>
      </c>
      <c r="R55" s="61"/>
      <c r="S55" s="61"/>
      <c r="T55" s="61"/>
      <c r="U55" s="56">
        <f>I55/C55</f>
        <v>1.0976470654380894</v>
      </c>
      <c r="V55" s="56">
        <f>J55/D55</f>
        <v>0.99739860296894145</v>
      </c>
      <c r="W55" s="56">
        <f>K55/E55</f>
        <v>1.1206202556744704</v>
      </c>
      <c r="X55" s="62"/>
      <c r="Y55" s="62"/>
      <c r="Z55" s="62"/>
      <c r="AA55" s="6"/>
    </row>
    <row r="56" spans="1:27" s="64" customFormat="1" ht="24.95" customHeight="1" x14ac:dyDescent="0.25">
      <c r="A56" s="50">
        <v>46</v>
      </c>
      <c r="B56" s="59" t="s">
        <v>80</v>
      </c>
      <c r="C56" s="52">
        <f t="shared" si="4"/>
        <v>26937.847000000002</v>
      </c>
      <c r="D56" s="54">
        <v>15827.847</v>
      </c>
      <c r="E56" s="54">
        <v>11110</v>
      </c>
      <c r="F56" s="54"/>
      <c r="G56" s="54"/>
      <c r="H56" s="54"/>
      <c r="I56" s="52">
        <f t="shared" si="3"/>
        <v>34089.039266</v>
      </c>
      <c r="J56" s="60">
        <v>15873.262266</v>
      </c>
      <c r="K56" s="60">
        <f>2545.179+11445.88</f>
        <v>13991.058999999999</v>
      </c>
      <c r="L56" s="60"/>
      <c r="M56" s="60"/>
      <c r="N56" s="52">
        <f t="shared" si="5"/>
        <v>0</v>
      </c>
      <c r="O56" s="60"/>
      <c r="P56" s="60"/>
      <c r="Q56" s="52">
        <f t="shared" si="6"/>
        <v>4224.7179999999998</v>
      </c>
      <c r="R56" s="61"/>
      <c r="S56" s="61"/>
      <c r="T56" s="61">
        <v>4224.7179999999998</v>
      </c>
      <c r="U56" s="56">
        <f>I56/C56</f>
        <v>1.2654700750954595</v>
      </c>
      <c r="V56" s="56">
        <f>J56/D56</f>
        <v>1.0028693268263207</v>
      </c>
      <c r="W56" s="56">
        <f>K56/E56</f>
        <v>1.2593212421242124</v>
      </c>
      <c r="X56" s="62"/>
      <c r="Y56" s="62"/>
      <c r="Z56" s="62"/>
      <c r="AA56" s="6"/>
    </row>
    <row r="57" spans="1:27" s="64" customFormat="1" ht="24.95" customHeight="1" x14ac:dyDescent="0.25">
      <c r="A57" s="50">
        <v>47</v>
      </c>
      <c r="B57" s="59" t="s">
        <v>81</v>
      </c>
      <c r="C57" s="52">
        <f t="shared" si="4"/>
        <v>0</v>
      </c>
      <c r="D57" s="54"/>
      <c r="E57" s="54"/>
      <c r="F57" s="54"/>
      <c r="G57" s="54"/>
      <c r="H57" s="54"/>
      <c r="I57" s="52">
        <f t="shared" si="3"/>
        <v>3023.54</v>
      </c>
      <c r="J57" s="60"/>
      <c r="K57" s="60">
        <f>1900+1053.54</f>
        <v>2953.54</v>
      </c>
      <c r="L57" s="60"/>
      <c r="M57" s="60"/>
      <c r="N57" s="52">
        <f t="shared" si="5"/>
        <v>0</v>
      </c>
      <c r="O57" s="60"/>
      <c r="P57" s="60"/>
      <c r="Q57" s="52">
        <f t="shared" si="6"/>
        <v>70</v>
      </c>
      <c r="R57" s="61"/>
      <c r="S57" s="61">
        <v>70</v>
      </c>
      <c r="T57" s="61"/>
      <c r="U57" s="56"/>
      <c r="V57" s="56"/>
      <c r="W57" s="56"/>
      <c r="X57" s="62"/>
      <c r="Y57" s="62"/>
      <c r="Z57" s="62"/>
      <c r="AA57" s="6"/>
    </row>
    <row r="58" spans="1:27" s="64" customFormat="1" ht="24.95" customHeight="1" x14ac:dyDescent="0.25">
      <c r="A58" s="50">
        <v>48</v>
      </c>
      <c r="B58" s="59" t="s">
        <v>82</v>
      </c>
      <c r="C58" s="52">
        <f t="shared" si="4"/>
        <v>0</v>
      </c>
      <c r="D58" s="54"/>
      <c r="E58" s="54"/>
      <c r="F58" s="54"/>
      <c r="G58" s="54"/>
      <c r="H58" s="54"/>
      <c r="I58" s="52">
        <f>SUM(J58:M58,N58,Q58)</f>
        <v>347466</v>
      </c>
      <c r="J58" s="60"/>
      <c r="K58" s="60">
        <v>347466</v>
      </c>
      <c r="L58" s="60"/>
      <c r="M58" s="60"/>
      <c r="N58" s="52">
        <f>SUM(O58:P58)</f>
        <v>0</v>
      </c>
      <c r="O58" s="60"/>
      <c r="P58" s="60"/>
      <c r="Q58" s="52">
        <f>SUM(R58:T58)</f>
        <v>0</v>
      </c>
      <c r="R58" s="61"/>
      <c r="S58" s="61"/>
      <c r="T58" s="61"/>
      <c r="U58" s="56"/>
      <c r="V58" s="56"/>
      <c r="W58" s="56"/>
      <c r="X58" s="62"/>
      <c r="Y58" s="62"/>
      <c r="Z58" s="62"/>
      <c r="AA58" s="6"/>
    </row>
    <row r="59" spans="1:27" s="64" customFormat="1" ht="30" customHeight="1" x14ac:dyDescent="0.25">
      <c r="A59" s="50">
        <v>49</v>
      </c>
      <c r="B59" s="59" t="s">
        <v>83</v>
      </c>
      <c r="C59" s="52">
        <f t="shared" si="4"/>
        <v>2000</v>
      </c>
      <c r="D59" s="54"/>
      <c r="E59" s="54">
        <v>2000</v>
      </c>
      <c r="F59" s="54"/>
      <c r="G59" s="54"/>
      <c r="H59" s="54"/>
      <c r="I59" s="52">
        <f t="shared" si="3"/>
        <v>2500</v>
      </c>
      <c r="J59" s="60"/>
      <c r="K59" s="60">
        <v>2500</v>
      </c>
      <c r="L59" s="60"/>
      <c r="M59" s="60"/>
      <c r="N59" s="52">
        <f t="shared" si="5"/>
        <v>0</v>
      </c>
      <c r="O59" s="60"/>
      <c r="P59" s="60"/>
      <c r="Q59" s="52">
        <f t="shared" si="6"/>
        <v>0</v>
      </c>
      <c r="R59" s="61"/>
      <c r="S59" s="61"/>
      <c r="T59" s="61"/>
      <c r="U59" s="56">
        <f>I59/C59</f>
        <v>1.25</v>
      </c>
      <c r="V59" s="56"/>
      <c r="W59" s="56">
        <f>K59/E59</f>
        <v>1.25</v>
      </c>
      <c r="X59" s="62"/>
      <c r="Y59" s="62"/>
      <c r="Z59" s="62"/>
      <c r="AA59" s="6"/>
    </row>
    <row r="60" spans="1:27" s="64" customFormat="1" ht="40.5" customHeight="1" x14ac:dyDescent="0.25">
      <c r="A60" s="50">
        <v>50</v>
      </c>
      <c r="B60" s="59" t="s">
        <v>84</v>
      </c>
      <c r="C60" s="52">
        <f t="shared" si="4"/>
        <v>0</v>
      </c>
      <c r="D60" s="54"/>
      <c r="E60" s="54"/>
      <c r="F60" s="54"/>
      <c r="G60" s="54"/>
      <c r="H60" s="54"/>
      <c r="I60" s="52">
        <f t="shared" si="3"/>
        <v>13.129200000000001</v>
      </c>
      <c r="J60" s="60"/>
      <c r="K60" s="60">
        <v>13.129200000000001</v>
      </c>
      <c r="L60" s="60"/>
      <c r="M60" s="60"/>
      <c r="N60" s="52"/>
      <c r="O60" s="60"/>
      <c r="P60" s="60"/>
      <c r="Q60" s="52">
        <f t="shared" si="6"/>
        <v>0</v>
      </c>
      <c r="R60" s="61"/>
      <c r="S60" s="61"/>
      <c r="T60" s="61"/>
      <c r="U60" s="56"/>
      <c r="V60" s="56"/>
      <c r="W60" s="56"/>
      <c r="X60" s="62"/>
      <c r="Y60" s="62"/>
      <c r="Z60" s="62"/>
      <c r="AA60" s="6"/>
    </row>
    <row r="61" spans="1:27" s="64" customFormat="1" ht="37.5" customHeight="1" x14ac:dyDescent="0.25">
      <c r="A61" s="50">
        <v>51</v>
      </c>
      <c r="B61" s="59" t="s">
        <v>85</v>
      </c>
      <c r="C61" s="52">
        <f t="shared" si="4"/>
        <v>1543</v>
      </c>
      <c r="D61" s="54"/>
      <c r="E61" s="54"/>
      <c r="F61" s="54">
        <v>1543</v>
      </c>
      <c r="G61" s="54"/>
      <c r="H61" s="54"/>
      <c r="I61" s="52">
        <f t="shared" si="3"/>
        <v>787.62501999999995</v>
      </c>
      <c r="J61" s="60"/>
      <c r="K61" s="60"/>
      <c r="L61" s="60">
        <v>787.62501999999995</v>
      </c>
      <c r="M61" s="60"/>
      <c r="N61" s="52"/>
      <c r="O61" s="60"/>
      <c r="P61" s="60"/>
      <c r="Q61" s="52">
        <f t="shared" si="6"/>
        <v>0</v>
      </c>
      <c r="R61" s="61"/>
      <c r="S61" s="61"/>
      <c r="T61" s="61"/>
      <c r="U61" s="56">
        <f>I61/C61</f>
        <v>0.51045043421905378</v>
      </c>
      <c r="V61" s="56"/>
      <c r="W61" s="56"/>
      <c r="X61" s="62">
        <f>L61/F61</f>
        <v>0.51045043421905378</v>
      </c>
      <c r="Y61" s="62"/>
      <c r="Z61" s="62"/>
      <c r="AA61" s="6"/>
    </row>
    <row r="62" spans="1:27" s="64" customFormat="1" ht="44.25" customHeight="1" x14ac:dyDescent="0.25">
      <c r="A62" s="50">
        <v>52</v>
      </c>
      <c r="B62" s="59" t="s">
        <v>86</v>
      </c>
      <c r="C62" s="52">
        <f t="shared" si="4"/>
        <v>0</v>
      </c>
      <c r="D62" s="54"/>
      <c r="E62" s="54"/>
      <c r="F62" s="54"/>
      <c r="G62" s="54"/>
      <c r="H62" s="54"/>
      <c r="I62" s="52">
        <f t="shared" si="3"/>
        <v>1923.6579180000001</v>
      </c>
      <c r="J62" s="60"/>
      <c r="K62" s="60">
        <v>1923.6579180000001</v>
      </c>
      <c r="L62" s="60"/>
      <c r="M62" s="60"/>
      <c r="N62" s="52">
        <f>SUM(O62:P62)</f>
        <v>0</v>
      </c>
      <c r="O62" s="60"/>
      <c r="P62" s="60"/>
      <c r="Q62" s="52">
        <f t="shared" si="6"/>
        <v>0</v>
      </c>
      <c r="R62" s="61"/>
      <c r="S62" s="61"/>
      <c r="T62" s="61"/>
      <c r="U62" s="56"/>
      <c r="V62" s="56"/>
      <c r="W62" s="56"/>
      <c r="X62" s="62"/>
      <c r="Y62" s="62"/>
      <c r="Z62" s="62"/>
      <c r="AA62" s="6"/>
    </row>
    <row r="63" spans="1:27" s="64" customFormat="1" ht="39" customHeight="1" x14ac:dyDescent="0.25">
      <c r="A63" s="50">
        <v>53</v>
      </c>
      <c r="B63" s="59" t="s">
        <v>87</v>
      </c>
      <c r="C63" s="52">
        <f t="shared" si="4"/>
        <v>0</v>
      </c>
      <c r="D63" s="54"/>
      <c r="E63" s="54"/>
      <c r="F63" s="54"/>
      <c r="G63" s="54"/>
      <c r="H63" s="54"/>
      <c r="I63" s="52">
        <f t="shared" si="3"/>
        <v>2289.9624720000002</v>
      </c>
      <c r="J63" s="60">
        <v>2289.9624720000002</v>
      </c>
      <c r="K63" s="60"/>
      <c r="L63" s="60"/>
      <c r="M63" s="60"/>
      <c r="N63" s="52"/>
      <c r="O63" s="60"/>
      <c r="P63" s="60"/>
      <c r="Q63" s="52">
        <f t="shared" si="6"/>
        <v>0</v>
      </c>
      <c r="R63" s="61"/>
      <c r="S63" s="61"/>
      <c r="T63" s="61"/>
      <c r="U63" s="56"/>
      <c r="V63" s="56"/>
      <c r="W63" s="56"/>
      <c r="X63" s="62"/>
      <c r="Y63" s="62"/>
      <c r="Z63" s="62"/>
      <c r="AA63" s="6"/>
    </row>
    <row r="64" spans="1:27" s="64" customFormat="1" ht="39" customHeight="1" x14ac:dyDescent="0.25">
      <c r="A64" s="50">
        <v>54</v>
      </c>
      <c r="B64" s="67" t="s">
        <v>88</v>
      </c>
      <c r="C64" s="52">
        <f t="shared" si="4"/>
        <v>80326.058999999994</v>
      </c>
      <c r="D64" s="54">
        <v>80326.058999999994</v>
      </c>
      <c r="E64" s="54"/>
      <c r="F64" s="54"/>
      <c r="G64" s="54"/>
      <c r="H64" s="54"/>
      <c r="I64" s="52">
        <f t="shared" si="3"/>
        <v>101449.638619</v>
      </c>
      <c r="J64" s="60">
        <v>98741.740619000004</v>
      </c>
      <c r="K64" s="60"/>
      <c r="L64" s="60"/>
      <c r="M64" s="60"/>
      <c r="N64" s="52"/>
      <c r="O64" s="60"/>
      <c r="P64" s="60"/>
      <c r="Q64" s="52">
        <f t="shared" si="6"/>
        <v>2707.8980000000001</v>
      </c>
      <c r="R64" s="61"/>
      <c r="S64" s="61"/>
      <c r="T64" s="61">
        <f>977.221+1730.677</f>
        <v>2707.8980000000001</v>
      </c>
      <c r="U64" s="56">
        <f t="shared" ref="U64:V69" si="9">I64/C64</f>
        <v>1.2629729365784024</v>
      </c>
      <c r="V64" s="56">
        <f t="shared" si="9"/>
        <v>1.2292616100959217</v>
      </c>
      <c r="W64" s="56"/>
      <c r="X64" s="62"/>
      <c r="Y64" s="62"/>
      <c r="Z64" s="62"/>
      <c r="AA64" s="6"/>
    </row>
    <row r="65" spans="1:27" s="64" customFormat="1" ht="37.5" customHeight="1" x14ac:dyDescent="0.25">
      <c r="A65" s="50">
        <v>55</v>
      </c>
      <c r="B65" s="59" t="s">
        <v>89</v>
      </c>
      <c r="C65" s="52">
        <f t="shared" si="4"/>
        <v>95250.666737000007</v>
      </c>
      <c r="D65" s="54">
        <v>95250.666737000007</v>
      </c>
      <c r="E65" s="54"/>
      <c r="F65" s="54"/>
      <c r="G65" s="54"/>
      <c r="H65" s="54"/>
      <c r="I65" s="52">
        <f t="shared" si="3"/>
        <v>242240.18777799999</v>
      </c>
      <c r="J65" s="60">
        <v>219669.95022599999</v>
      </c>
      <c r="K65" s="60"/>
      <c r="L65" s="60"/>
      <c r="M65" s="60"/>
      <c r="N65" s="52"/>
      <c r="O65" s="60"/>
      <c r="P65" s="60"/>
      <c r="Q65" s="52">
        <f t="shared" si="6"/>
        <v>22570.237551999999</v>
      </c>
      <c r="R65" s="61"/>
      <c r="S65" s="61"/>
      <c r="T65" s="61">
        <f>349.624+7590+2092.387652+1617+921.2259+10000</f>
        <v>22570.237551999999</v>
      </c>
      <c r="U65" s="56">
        <f t="shared" si="9"/>
        <v>2.5431862692033218</v>
      </c>
      <c r="V65" s="56">
        <f t="shared" si="9"/>
        <v>2.3062300533028126</v>
      </c>
      <c r="W65" s="56"/>
      <c r="X65" s="62"/>
      <c r="Y65" s="62"/>
      <c r="Z65" s="62"/>
      <c r="AA65" s="6"/>
    </row>
    <row r="66" spans="1:27" s="64" customFormat="1" ht="24.95" customHeight="1" x14ac:dyDescent="0.25">
      <c r="A66" s="50">
        <v>56</v>
      </c>
      <c r="B66" s="68" t="s">
        <v>90</v>
      </c>
      <c r="C66" s="52">
        <f t="shared" si="4"/>
        <v>582453.27899999998</v>
      </c>
      <c r="D66" s="54">
        <v>579453.27899999998</v>
      </c>
      <c r="E66" s="54">
        <v>3000</v>
      </c>
      <c r="F66" s="54"/>
      <c r="G66" s="54"/>
      <c r="H66" s="54"/>
      <c r="I66" s="52">
        <f t="shared" si="3"/>
        <v>394047.64778500004</v>
      </c>
      <c r="J66" s="60">
        <v>106757.503963</v>
      </c>
      <c r="K66" s="60">
        <v>5499.9960000000001</v>
      </c>
      <c r="L66" s="60"/>
      <c r="M66" s="60"/>
      <c r="N66" s="52"/>
      <c r="O66" s="60"/>
      <c r="P66" s="60"/>
      <c r="Q66" s="52">
        <f t="shared" si="6"/>
        <v>281790.14782200003</v>
      </c>
      <c r="R66" s="61"/>
      <c r="S66" s="61"/>
      <c r="T66" s="61">
        <f>15755.668+266034.479822</f>
        <v>281790.14782200003</v>
      </c>
      <c r="U66" s="56">
        <f t="shared" si="9"/>
        <v>0.67653091156346645</v>
      </c>
      <c r="V66" s="56">
        <f t="shared" si="9"/>
        <v>0.18423832918374081</v>
      </c>
      <c r="W66" s="56">
        <f>K66/E66</f>
        <v>1.833332</v>
      </c>
      <c r="X66" s="62"/>
      <c r="Y66" s="62"/>
      <c r="Z66" s="62"/>
      <c r="AA66" s="6"/>
    </row>
    <row r="67" spans="1:27" s="64" customFormat="1" ht="24.95" customHeight="1" x14ac:dyDescent="0.25">
      <c r="A67" s="50">
        <v>57</v>
      </c>
      <c r="B67" s="68" t="s">
        <v>91</v>
      </c>
      <c r="C67" s="52">
        <f t="shared" si="4"/>
        <v>11937.217052</v>
      </c>
      <c r="D67" s="54">
        <v>11937.217052</v>
      </c>
      <c r="E67" s="54"/>
      <c r="F67" s="54"/>
      <c r="G67" s="54"/>
      <c r="H67" s="54"/>
      <c r="I67" s="52">
        <f t="shared" si="3"/>
        <v>5168.6709520000004</v>
      </c>
      <c r="J67" s="60">
        <v>5168.6709520000004</v>
      </c>
      <c r="K67" s="60"/>
      <c r="L67" s="60"/>
      <c r="M67" s="60"/>
      <c r="N67" s="52"/>
      <c r="O67" s="60"/>
      <c r="P67" s="60"/>
      <c r="Q67" s="52">
        <f t="shared" si="6"/>
        <v>0</v>
      </c>
      <c r="R67" s="61"/>
      <c r="S67" s="61"/>
      <c r="T67" s="61"/>
      <c r="U67" s="56">
        <f t="shared" si="9"/>
        <v>0.43298793424670323</v>
      </c>
      <c r="V67" s="56">
        <f t="shared" si="9"/>
        <v>0.43298793424670323</v>
      </c>
      <c r="W67" s="56"/>
      <c r="X67" s="62"/>
      <c r="Y67" s="62"/>
      <c r="Z67" s="62"/>
      <c r="AA67" s="6"/>
    </row>
    <row r="68" spans="1:27" s="64" customFormat="1" ht="24.95" customHeight="1" x14ac:dyDescent="0.25">
      <c r="A68" s="50">
        <v>58</v>
      </c>
      <c r="B68" s="68" t="s">
        <v>92</v>
      </c>
      <c r="C68" s="52">
        <f t="shared" si="4"/>
        <v>1500</v>
      </c>
      <c r="D68" s="54">
        <v>1500</v>
      </c>
      <c r="E68" s="54"/>
      <c r="F68" s="54"/>
      <c r="G68" s="54"/>
      <c r="H68" s="54"/>
      <c r="I68" s="52">
        <f t="shared" si="3"/>
        <v>0</v>
      </c>
      <c r="J68" s="60"/>
      <c r="K68" s="60"/>
      <c r="L68" s="60"/>
      <c r="M68" s="60"/>
      <c r="N68" s="52"/>
      <c r="O68" s="60"/>
      <c r="P68" s="60"/>
      <c r="Q68" s="52">
        <f t="shared" si="6"/>
        <v>0</v>
      </c>
      <c r="R68" s="61"/>
      <c r="S68" s="61"/>
      <c r="T68" s="61"/>
      <c r="U68" s="56">
        <f t="shared" si="9"/>
        <v>0</v>
      </c>
      <c r="V68" s="56">
        <f t="shared" si="9"/>
        <v>0</v>
      </c>
      <c r="W68" s="56"/>
      <c r="X68" s="62"/>
      <c r="Y68" s="62"/>
      <c r="Z68" s="62"/>
      <c r="AA68" s="6"/>
    </row>
    <row r="69" spans="1:27" s="64" customFormat="1" ht="48.75" customHeight="1" x14ac:dyDescent="0.25">
      <c r="A69" s="50">
        <v>59</v>
      </c>
      <c r="B69" s="59" t="s">
        <v>93</v>
      </c>
      <c r="C69" s="52">
        <f t="shared" si="4"/>
        <v>10145.569636</v>
      </c>
      <c r="D69" s="54">
        <v>10145.569636</v>
      </c>
      <c r="E69" s="54"/>
      <c r="F69" s="54"/>
      <c r="G69" s="54"/>
      <c r="H69" s="54"/>
      <c r="I69" s="52">
        <f t="shared" si="3"/>
        <v>7869.7616359999993</v>
      </c>
      <c r="J69" s="60">
        <v>1961.249894</v>
      </c>
      <c r="K69" s="60"/>
      <c r="L69" s="60"/>
      <c r="M69" s="60"/>
      <c r="N69" s="52"/>
      <c r="O69" s="60"/>
      <c r="P69" s="60"/>
      <c r="Q69" s="52">
        <f t="shared" si="6"/>
        <v>5908.5117419999997</v>
      </c>
      <c r="R69" s="61"/>
      <c r="S69" s="61"/>
      <c r="T69" s="61">
        <v>5908.5117419999997</v>
      </c>
      <c r="U69" s="56">
        <f t="shared" si="9"/>
        <v>0.77568455181415885</v>
      </c>
      <c r="V69" s="56">
        <f t="shared" si="9"/>
        <v>0.19331096866565334</v>
      </c>
      <c r="W69" s="56"/>
      <c r="X69" s="62"/>
      <c r="Y69" s="62"/>
      <c r="Z69" s="62"/>
      <c r="AA69" s="6"/>
    </row>
    <row r="70" spans="1:27" s="64" customFormat="1" ht="42.75" customHeight="1" x14ac:dyDescent="0.25">
      <c r="A70" s="50">
        <v>60</v>
      </c>
      <c r="B70" s="59" t="s">
        <v>94</v>
      </c>
      <c r="C70" s="52">
        <f t="shared" si="4"/>
        <v>0</v>
      </c>
      <c r="D70" s="54"/>
      <c r="E70" s="54"/>
      <c r="F70" s="54"/>
      <c r="G70" s="54"/>
      <c r="H70" s="54"/>
      <c r="I70" s="52">
        <f t="shared" si="3"/>
        <v>42.13</v>
      </c>
      <c r="J70" s="60"/>
      <c r="K70" s="60">
        <v>42.13</v>
      </c>
      <c r="L70" s="60"/>
      <c r="M70" s="60"/>
      <c r="N70" s="52"/>
      <c r="O70" s="60"/>
      <c r="P70" s="60"/>
      <c r="Q70" s="52">
        <f t="shared" si="6"/>
        <v>0</v>
      </c>
      <c r="R70" s="61"/>
      <c r="S70" s="61"/>
      <c r="T70" s="61"/>
      <c r="U70" s="56"/>
      <c r="V70" s="56"/>
      <c r="W70" s="56"/>
      <c r="X70" s="62"/>
      <c r="Y70" s="62"/>
      <c r="Z70" s="62"/>
      <c r="AA70" s="6"/>
    </row>
    <row r="71" spans="1:27" s="64" customFormat="1" ht="24.95" customHeight="1" x14ac:dyDescent="0.25">
      <c r="A71" s="50">
        <v>61</v>
      </c>
      <c r="B71" s="68" t="s">
        <v>95</v>
      </c>
      <c r="C71" s="52">
        <f t="shared" si="4"/>
        <v>0</v>
      </c>
      <c r="D71" s="54"/>
      <c r="E71" s="54"/>
      <c r="F71" s="54"/>
      <c r="G71" s="54"/>
      <c r="H71" s="54"/>
      <c r="I71" s="52">
        <f t="shared" si="3"/>
        <v>300</v>
      </c>
      <c r="J71" s="60"/>
      <c r="K71" s="60">
        <v>300</v>
      </c>
      <c r="L71" s="60"/>
      <c r="M71" s="60"/>
      <c r="N71" s="52"/>
      <c r="O71" s="60"/>
      <c r="P71" s="60"/>
      <c r="Q71" s="52">
        <f t="shared" si="6"/>
        <v>0</v>
      </c>
      <c r="R71" s="61"/>
      <c r="S71" s="61"/>
      <c r="T71" s="61"/>
      <c r="U71" s="56"/>
      <c r="V71" s="56"/>
      <c r="W71" s="56"/>
      <c r="X71" s="62"/>
      <c r="Y71" s="62"/>
      <c r="Z71" s="62"/>
      <c r="AA71" s="6"/>
    </row>
    <row r="72" spans="1:27" s="64" customFormat="1" ht="24.95" customHeight="1" x14ac:dyDescent="0.25">
      <c r="A72" s="50">
        <v>63</v>
      </c>
      <c r="B72" s="68" t="s">
        <v>96</v>
      </c>
      <c r="C72" s="52">
        <f t="shared" si="4"/>
        <v>100000</v>
      </c>
      <c r="D72" s="54">
        <v>100000</v>
      </c>
      <c r="E72" s="69"/>
      <c r="F72" s="54"/>
      <c r="G72" s="54"/>
      <c r="H72" s="54"/>
      <c r="I72" s="52">
        <f t="shared" si="3"/>
        <v>100993.75541700001</v>
      </c>
      <c r="J72" s="60">
        <v>100726.769417</v>
      </c>
      <c r="K72" s="60"/>
      <c r="L72" s="60"/>
      <c r="M72" s="60"/>
      <c r="N72" s="52"/>
      <c r="O72" s="60"/>
      <c r="P72" s="60"/>
      <c r="Q72" s="52">
        <f t="shared" si="6"/>
        <v>266.98599999999999</v>
      </c>
      <c r="R72" s="61"/>
      <c r="S72" s="61"/>
      <c r="T72" s="61">
        <v>266.98599999999999</v>
      </c>
      <c r="U72" s="56">
        <f>I72/C72</f>
        <v>1.00993755417</v>
      </c>
      <c r="V72" s="56">
        <f>J72/D72</f>
        <v>1.0072676941700001</v>
      </c>
      <c r="W72" s="56"/>
      <c r="X72" s="62"/>
      <c r="Y72" s="62"/>
      <c r="Z72" s="62"/>
      <c r="AA72" s="6"/>
    </row>
    <row r="73" spans="1:27" s="64" customFormat="1" ht="24.95" customHeight="1" x14ac:dyDescent="0.25">
      <c r="A73" s="50">
        <v>66</v>
      </c>
      <c r="B73" s="59" t="s">
        <v>97</v>
      </c>
      <c r="C73" s="52">
        <f t="shared" si="4"/>
        <v>15649</v>
      </c>
      <c r="D73" s="54"/>
      <c r="E73" s="69">
        <v>15649</v>
      </c>
      <c r="F73" s="54"/>
      <c r="G73" s="54"/>
      <c r="H73" s="54"/>
      <c r="I73" s="52">
        <f>SUM(J73:M73,N73,Q73)</f>
        <v>15649</v>
      </c>
      <c r="J73" s="60"/>
      <c r="K73" s="60">
        <v>15649</v>
      </c>
      <c r="L73" s="60"/>
      <c r="M73" s="60"/>
      <c r="N73" s="52"/>
      <c r="O73" s="60"/>
      <c r="P73" s="60"/>
      <c r="Q73" s="52">
        <f t="shared" si="6"/>
        <v>0</v>
      </c>
      <c r="R73" s="61"/>
      <c r="S73" s="61"/>
      <c r="T73" s="61"/>
      <c r="U73" s="56">
        <f t="shared" ref="U73:V88" si="10">I73/C73</f>
        <v>1</v>
      </c>
      <c r="V73" s="56"/>
      <c r="W73" s="56">
        <f>K73/E73</f>
        <v>1</v>
      </c>
      <c r="X73" s="62"/>
      <c r="Y73" s="62"/>
      <c r="Z73" s="62"/>
      <c r="AA73" s="6"/>
    </row>
    <row r="74" spans="1:27" s="64" customFormat="1" ht="24.95" customHeight="1" x14ac:dyDescent="0.25">
      <c r="A74" s="50">
        <v>67</v>
      </c>
      <c r="B74" s="59" t="s">
        <v>98</v>
      </c>
      <c r="C74" s="52">
        <f t="shared" si="4"/>
        <v>1566</v>
      </c>
      <c r="D74" s="54"/>
      <c r="E74" s="69">
        <v>1566</v>
      </c>
      <c r="F74" s="54"/>
      <c r="G74" s="54"/>
      <c r="H74" s="54"/>
      <c r="I74" s="52">
        <f>SUM(J74:M74,N74,Q74)</f>
        <v>1862.7249999999999</v>
      </c>
      <c r="J74" s="60"/>
      <c r="K74" s="60">
        <f>296.725+1566</f>
        <v>1862.7249999999999</v>
      </c>
      <c r="L74" s="60"/>
      <c r="M74" s="60"/>
      <c r="N74" s="52"/>
      <c r="O74" s="60"/>
      <c r="P74" s="60"/>
      <c r="Q74" s="52">
        <f t="shared" si="6"/>
        <v>0</v>
      </c>
      <c r="R74" s="61"/>
      <c r="S74" s="61"/>
      <c r="T74" s="61"/>
      <c r="U74" s="56">
        <f t="shared" si="10"/>
        <v>1.1894795657726691</v>
      </c>
      <c r="V74" s="56"/>
      <c r="W74" s="56">
        <f>K74/E74</f>
        <v>1.1894795657726691</v>
      </c>
      <c r="X74" s="62"/>
      <c r="Y74" s="62"/>
      <c r="Z74" s="62"/>
      <c r="AA74" s="6"/>
    </row>
    <row r="75" spans="1:27" s="64" customFormat="1" ht="24.95" customHeight="1" x14ac:dyDescent="0.25">
      <c r="A75" s="50">
        <v>68</v>
      </c>
      <c r="B75" s="68" t="s">
        <v>99</v>
      </c>
      <c r="C75" s="52">
        <f t="shared" si="4"/>
        <v>3000</v>
      </c>
      <c r="D75" s="54">
        <v>3000</v>
      </c>
      <c r="E75" s="54"/>
      <c r="F75" s="54"/>
      <c r="G75" s="54"/>
      <c r="H75" s="54"/>
      <c r="I75" s="52">
        <f>SUM(J75:M75,N75,Q75)</f>
        <v>3000</v>
      </c>
      <c r="J75" s="60">
        <v>3000</v>
      </c>
      <c r="K75" s="60"/>
      <c r="L75" s="60"/>
      <c r="M75" s="60"/>
      <c r="N75" s="52"/>
      <c r="O75" s="60"/>
      <c r="P75" s="60"/>
      <c r="Q75" s="52">
        <f t="shared" si="6"/>
        <v>0</v>
      </c>
      <c r="R75" s="61"/>
      <c r="S75" s="61"/>
      <c r="T75" s="61"/>
      <c r="U75" s="56">
        <f t="shared" si="10"/>
        <v>1</v>
      </c>
      <c r="V75" s="56">
        <f t="shared" si="10"/>
        <v>1</v>
      </c>
      <c r="W75" s="56"/>
      <c r="X75" s="62"/>
      <c r="Y75" s="62"/>
      <c r="Z75" s="62"/>
      <c r="AA75" s="6"/>
    </row>
    <row r="76" spans="1:27" s="64" customFormat="1" ht="24.95" customHeight="1" x14ac:dyDescent="0.25">
      <c r="A76" s="50">
        <v>69</v>
      </c>
      <c r="B76" s="68" t="s">
        <v>100</v>
      </c>
      <c r="C76" s="52">
        <f>SUM(D76:H76)</f>
        <v>1400</v>
      </c>
      <c r="D76" s="54">
        <v>1400</v>
      </c>
      <c r="E76" s="54"/>
      <c r="F76" s="54"/>
      <c r="G76" s="54"/>
      <c r="H76" s="54"/>
      <c r="I76" s="52">
        <f>SUM(J76:M76,N76,Q76)</f>
        <v>1400</v>
      </c>
      <c r="J76" s="60">
        <v>1400</v>
      </c>
      <c r="K76" s="60"/>
      <c r="L76" s="60"/>
      <c r="M76" s="60"/>
      <c r="N76" s="52"/>
      <c r="O76" s="60"/>
      <c r="P76" s="60"/>
      <c r="Q76" s="52">
        <f t="shared" si="6"/>
        <v>0</v>
      </c>
      <c r="R76" s="61"/>
      <c r="S76" s="61"/>
      <c r="T76" s="61"/>
      <c r="U76" s="56">
        <f t="shared" si="10"/>
        <v>1</v>
      </c>
      <c r="V76" s="56">
        <f t="shared" si="10"/>
        <v>1</v>
      </c>
      <c r="W76" s="56"/>
      <c r="X76" s="62"/>
      <c r="Y76" s="62"/>
      <c r="Z76" s="62"/>
      <c r="AA76" s="6"/>
    </row>
    <row r="77" spans="1:27" s="64" customFormat="1" ht="24.95" customHeight="1" x14ac:dyDescent="0.25">
      <c r="A77" s="70" t="s">
        <v>101</v>
      </c>
      <c r="B77" s="71" t="s">
        <v>102</v>
      </c>
      <c r="C77" s="72">
        <f>SUM(C78:C89)</f>
        <v>14858</v>
      </c>
      <c r="D77" s="73"/>
      <c r="E77" s="73">
        <f t="shared" ref="E77:T77" si="11">SUM(E78:E89)</f>
        <v>14858</v>
      </c>
      <c r="F77" s="73">
        <f t="shared" si="11"/>
        <v>0</v>
      </c>
      <c r="G77" s="73">
        <f t="shared" si="11"/>
        <v>0</v>
      </c>
      <c r="H77" s="73"/>
      <c r="I77" s="72">
        <f t="shared" si="11"/>
        <v>17243.574806000004</v>
      </c>
      <c r="J77" s="72">
        <f t="shared" si="11"/>
        <v>0</v>
      </c>
      <c r="K77" s="72">
        <f t="shared" si="11"/>
        <v>17243.574806000004</v>
      </c>
      <c r="L77" s="72">
        <f t="shared" si="11"/>
        <v>0</v>
      </c>
      <c r="M77" s="72">
        <f t="shared" si="11"/>
        <v>0</v>
      </c>
      <c r="N77" s="72">
        <f t="shared" si="11"/>
        <v>0</v>
      </c>
      <c r="O77" s="72">
        <f t="shared" si="11"/>
        <v>0</v>
      </c>
      <c r="P77" s="72">
        <f t="shared" si="11"/>
        <v>0</v>
      </c>
      <c r="Q77" s="72">
        <f t="shared" si="11"/>
        <v>0</v>
      </c>
      <c r="R77" s="74">
        <f t="shared" si="11"/>
        <v>0</v>
      </c>
      <c r="S77" s="74">
        <f t="shared" si="11"/>
        <v>0</v>
      </c>
      <c r="T77" s="74">
        <f t="shared" si="11"/>
        <v>0</v>
      </c>
      <c r="U77" s="36">
        <f t="shared" si="10"/>
        <v>1.1605582720419978</v>
      </c>
      <c r="V77" s="56"/>
      <c r="W77" s="36">
        <f t="shared" ref="W77:W89" si="12">K77/E77</f>
        <v>1.1605582720419978</v>
      </c>
      <c r="X77" s="75"/>
      <c r="Y77" s="75"/>
      <c r="Z77" s="75"/>
      <c r="AA77" s="6"/>
    </row>
    <row r="78" spans="1:27" s="64" customFormat="1" ht="24.95" customHeight="1" x14ac:dyDescent="0.25">
      <c r="A78" s="50">
        <v>1</v>
      </c>
      <c r="B78" s="59" t="s">
        <v>103</v>
      </c>
      <c r="C78" s="52">
        <f>SUM(D78:H78)</f>
        <v>2795</v>
      </c>
      <c r="D78" s="54"/>
      <c r="E78" s="69">
        <v>2795</v>
      </c>
      <c r="F78" s="54"/>
      <c r="G78" s="54"/>
      <c r="H78" s="54"/>
      <c r="I78" s="52">
        <f t="shared" ref="I78:I89" si="13">SUM(J78:M78,N78,Q78)</f>
        <v>4225.9792500000003</v>
      </c>
      <c r="J78" s="60"/>
      <c r="K78" s="60">
        <f>2850.395+1375.58425</f>
        <v>4225.9792500000003</v>
      </c>
      <c r="L78" s="60"/>
      <c r="M78" s="60"/>
      <c r="N78" s="52">
        <f t="shared" ref="N78:N88" si="14">SUM(O78:P78)</f>
        <v>0</v>
      </c>
      <c r="O78" s="60"/>
      <c r="P78" s="60"/>
      <c r="Q78" s="52">
        <f t="shared" ref="Q78:Q100" si="15">SUM(R78:T78)</f>
        <v>0</v>
      </c>
      <c r="R78" s="61"/>
      <c r="S78" s="61"/>
      <c r="T78" s="61"/>
      <c r="U78" s="56">
        <f t="shared" si="10"/>
        <v>1.5119782647584974</v>
      </c>
      <c r="V78" s="56"/>
      <c r="W78" s="56">
        <f t="shared" si="12"/>
        <v>1.5119782647584974</v>
      </c>
      <c r="X78" s="62"/>
      <c r="Y78" s="62"/>
      <c r="Z78" s="62"/>
      <c r="AA78" s="6"/>
    </row>
    <row r="79" spans="1:27" s="76" customFormat="1" ht="24.95" customHeight="1" x14ac:dyDescent="0.25">
      <c r="A79" s="50">
        <v>2</v>
      </c>
      <c r="B79" s="59" t="s">
        <v>104</v>
      </c>
      <c r="C79" s="52">
        <f t="shared" ref="C79:C100" si="16">SUM(D79:H79)</f>
        <v>2488</v>
      </c>
      <c r="D79" s="54"/>
      <c r="E79" s="69">
        <f>2988-500</f>
        <v>2488</v>
      </c>
      <c r="F79" s="54"/>
      <c r="G79" s="54"/>
      <c r="H79" s="54"/>
      <c r="I79" s="52">
        <f t="shared" si="13"/>
        <v>2856</v>
      </c>
      <c r="J79" s="60"/>
      <c r="K79" s="60">
        <f>2371+485</f>
        <v>2856</v>
      </c>
      <c r="L79" s="60"/>
      <c r="M79" s="60"/>
      <c r="N79" s="52">
        <f t="shared" si="14"/>
        <v>0</v>
      </c>
      <c r="O79" s="60"/>
      <c r="P79" s="60"/>
      <c r="Q79" s="52">
        <f t="shared" si="15"/>
        <v>0</v>
      </c>
      <c r="R79" s="61"/>
      <c r="S79" s="61"/>
      <c r="T79" s="61"/>
      <c r="U79" s="56">
        <f t="shared" si="10"/>
        <v>1.1479099678456592</v>
      </c>
      <c r="V79" s="56"/>
      <c r="W79" s="56">
        <f t="shared" si="12"/>
        <v>1.1479099678456592</v>
      </c>
      <c r="X79" s="62"/>
      <c r="Y79" s="62"/>
      <c r="Z79" s="62"/>
      <c r="AA79" s="48"/>
    </row>
    <row r="80" spans="1:27" s="64" customFormat="1" ht="24.95" customHeight="1" x14ac:dyDescent="0.25">
      <c r="A80" s="50">
        <v>3</v>
      </c>
      <c r="B80" s="59" t="s">
        <v>105</v>
      </c>
      <c r="C80" s="52">
        <f t="shared" si="16"/>
        <v>315</v>
      </c>
      <c r="D80" s="54"/>
      <c r="E80" s="69">
        <v>315</v>
      </c>
      <c r="F80" s="54"/>
      <c r="G80" s="54"/>
      <c r="H80" s="54"/>
      <c r="I80" s="52">
        <f t="shared" si="13"/>
        <v>315</v>
      </c>
      <c r="J80" s="60"/>
      <c r="K80" s="60">
        <v>315</v>
      </c>
      <c r="L80" s="60"/>
      <c r="M80" s="60"/>
      <c r="N80" s="52">
        <f t="shared" si="14"/>
        <v>0</v>
      </c>
      <c r="O80" s="60"/>
      <c r="P80" s="60"/>
      <c r="Q80" s="52">
        <f t="shared" si="15"/>
        <v>0</v>
      </c>
      <c r="R80" s="61"/>
      <c r="S80" s="61"/>
      <c r="T80" s="61"/>
      <c r="U80" s="56">
        <f t="shared" si="10"/>
        <v>1</v>
      </c>
      <c r="V80" s="56"/>
      <c r="W80" s="56">
        <f t="shared" si="12"/>
        <v>1</v>
      </c>
      <c r="X80" s="62"/>
      <c r="Y80" s="62"/>
      <c r="Z80" s="62"/>
      <c r="AA80" s="6"/>
    </row>
    <row r="81" spans="1:27" s="64" customFormat="1" ht="24.95" customHeight="1" x14ac:dyDescent="0.25">
      <c r="A81" s="50">
        <v>4</v>
      </c>
      <c r="B81" s="59" t="s">
        <v>106</v>
      </c>
      <c r="C81" s="52">
        <f t="shared" si="16"/>
        <v>530</v>
      </c>
      <c r="D81" s="54"/>
      <c r="E81" s="69">
        <v>530</v>
      </c>
      <c r="F81" s="54"/>
      <c r="G81" s="54"/>
      <c r="H81" s="54"/>
      <c r="I81" s="52">
        <f t="shared" si="13"/>
        <v>1041</v>
      </c>
      <c r="J81" s="60"/>
      <c r="K81" s="60">
        <v>1041</v>
      </c>
      <c r="L81" s="60"/>
      <c r="M81" s="60"/>
      <c r="N81" s="52">
        <f t="shared" si="14"/>
        <v>0</v>
      </c>
      <c r="O81" s="60"/>
      <c r="P81" s="60"/>
      <c r="Q81" s="52">
        <f t="shared" si="15"/>
        <v>0</v>
      </c>
      <c r="R81" s="61"/>
      <c r="S81" s="61"/>
      <c r="T81" s="61"/>
      <c r="U81" s="56">
        <f t="shared" si="10"/>
        <v>1.9641509433962263</v>
      </c>
      <c r="V81" s="56"/>
      <c r="W81" s="56">
        <f t="shared" si="12"/>
        <v>1.9641509433962263</v>
      </c>
      <c r="X81" s="62"/>
      <c r="Y81" s="62"/>
      <c r="Z81" s="62"/>
      <c r="AA81" s="6"/>
    </row>
    <row r="82" spans="1:27" s="64" customFormat="1" ht="24.95" customHeight="1" x14ac:dyDescent="0.25">
      <c r="A82" s="50">
        <v>5</v>
      </c>
      <c r="B82" s="59" t="s">
        <v>107</v>
      </c>
      <c r="C82" s="52">
        <f t="shared" si="16"/>
        <v>3014</v>
      </c>
      <c r="D82" s="54"/>
      <c r="E82" s="69">
        <v>3014</v>
      </c>
      <c r="F82" s="54"/>
      <c r="G82" s="54"/>
      <c r="H82" s="54"/>
      <c r="I82" s="52">
        <f t="shared" si="13"/>
        <v>3065.3990000000003</v>
      </c>
      <c r="J82" s="60"/>
      <c r="K82" s="60">
        <f>1928.402+1136.997</f>
        <v>3065.3990000000003</v>
      </c>
      <c r="L82" s="60"/>
      <c r="M82" s="60"/>
      <c r="N82" s="52">
        <f t="shared" si="14"/>
        <v>0</v>
      </c>
      <c r="O82" s="60"/>
      <c r="P82" s="60"/>
      <c r="Q82" s="52">
        <f t="shared" si="15"/>
        <v>0</v>
      </c>
      <c r="R82" s="61"/>
      <c r="S82" s="61"/>
      <c r="T82" s="61"/>
      <c r="U82" s="56">
        <f t="shared" si="10"/>
        <v>1.0170534173855343</v>
      </c>
      <c r="V82" s="56"/>
      <c r="W82" s="56">
        <f t="shared" si="12"/>
        <v>1.0170534173855343</v>
      </c>
      <c r="X82" s="62"/>
      <c r="Y82" s="62"/>
      <c r="Z82" s="62"/>
      <c r="AA82" s="6"/>
    </row>
    <row r="83" spans="1:27" s="64" customFormat="1" ht="24.95" customHeight="1" x14ac:dyDescent="0.25">
      <c r="A83" s="50">
        <v>6</v>
      </c>
      <c r="B83" s="59" t="s">
        <v>108</v>
      </c>
      <c r="C83" s="52">
        <f t="shared" si="16"/>
        <v>1234</v>
      </c>
      <c r="D83" s="54"/>
      <c r="E83" s="69">
        <v>1234</v>
      </c>
      <c r="F83" s="54"/>
      <c r="G83" s="54"/>
      <c r="H83" s="54"/>
      <c r="I83" s="52">
        <f t="shared" si="13"/>
        <v>1424</v>
      </c>
      <c r="J83" s="60"/>
      <c r="K83" s="60">
        <v>1424</v>
      </c>
      <c r="L83" s="60"/>
      <c r="M83" s="60"/>
      <c r="N83" s="52">
        <f t="shared" si="14"/>
        <v>0</v>
      </c>
      <c r="O83" s="60"/>
      <c r="P83" s="60"/>
      <c r="Q83" s="52">
        <f t="shared" si="15"/>
        <v>0</v>
      </c>
      <c r="R83" s="61"/>
      <c r="S83" s="61"/>
      <c r="T83" s="61"/>
      <c r="U83" s="56">
        <f t="shared" si="10"/>
        <v>1.1539708265802269</v>
      </c>
      <c r="V83" s="56"/>
      <c r="W83" s="56">
        <f t="shared" si="12"/>
        <v>1.1539708265802269</v>
      </c>
      <c r="X83" s="62"/>
      <c r="Y83" s="62"/>
      <c r="Z83" s="62"/>
      <c r="AA83" s="6"/>
    </row>
    <row r="84" spans="1:27" s="64" customFormat="1" ht="24.95" customHeight="1" x14ac:dyDescent="0.25">
      <c r="A84" s="50">
        <v>7</v>
      </c>
      <c r="B84" s="59" t="s">
        <v>109</v>
      </c>
      <c r="C84" s="52">
        <f t="shared" si="16"/>
        <v>220</v>
      </c>
      <c r="D84" s="54"/>
      <c r="E84" s="69">
        <v>220</v>
      </c>
      <c r="F84" s="54"/>
      <c r="G84" s="54"/>
      <c r="H84" s="54"/>
      <c r="I84" s="52">
        <f t="shared" si="13"/>
        <v>220</v>
      </c>
      <c r="J84" s="60"/>
      <c r="K84" s="60">
        <v>220</v>
      </c>
      <c r="L84" s="60"/>
      <c r="M84" s="60"/>
      <c r="N84" s="52">
        <f t="shared" si="14"/>
        <v>0</v>
      </c>
      <c r="O84" s="60"/>
      <c r="P84" s="60"/>
      <c r="Q84" s="52">
        <f t="shared" si="15"/>
        <v>0</v>
      </c>
      <c r="R84" s="61"/>
      <c r="S84" s="61"/>
      <c r="T84" s="61"/>
      <c r="U84" s="56">
        <f t="shared" si="10"/>
        <v>1</v>
      </c>
      <c r="V84" s="56"/>
      <c r="W84" s="56">
        <f t="shared" si="12"/>
        <v>1</v>
      </c>
      <c r="X84" s="62"/>
      <c r="Y84" s="62"/>
      <c r="Z84" s="62"/>
      <c r="AA84" s="6"/>
    </row>
    <row r="85" spans="1:27" s="64" customFormat="1" ht="24.95" customHeight="1" x14ac:dyDescent="0.25">
      <c r="A85" s="50">
        <v>8</v>
      </c>
      <c r="B85" s="59" t="s">
        <v>110</v>
      </c>
      <c r="C85" s="52">
        <f t="shared" si="16"/>
        <v>1050</v>
      </c>
      <c r="D85" s="54"/>
      <c r="E85" s="69">
        <v>1050</v>
      </c>
      <c r="F85" s="54"/>
      <c r="G85" s="54"/>
      <c r="H85" s="54"/>
      <c r="I85" s="52">
        <f t="shared" si="13"/>
        <v>1100</v>
      </c>
      <c r="J85" s="60"/>
      <c r="K85" s="60">
        <v>1100</v>
      </c>
      <c r="L85" s="60"/>
      <c r="M85" s="60"/>
      <c r="N85" s="52">
        <f t="shared" si="14"/>
        <v>0</v>
      </c>
      <c r="O85" s="60"/>
      <c r="P85" s="60"/>
      <c r="Q85" s="52">
        <f t="shared" si="15"/>
        <v>0</v>
      </c>
      <c r="R85" s="61"/>
      <c r="S85" s="61"/>
      <c r="T85" s="61"/>
      <c r="U85" s="56">
        <f t="shared" si="10"/>
        <v>1.0476190476190477</v>
      </c>
      <c r="V85" s="56"/>
      <c r="W85" s="56">
        <f t="shared" si="12"/>
        <v>1.0476190476190477</v>
      </c>
      <c r="X85" s="62"/>
      <c r="Y85" s="62"/>
      <c r="Z85" s="62"/>
      <c r="AA85" s="6"/>
    </row>
    <row r="86" spans="1:27" s="64" customFormat="1" ht="24.95" customHeight="1" x14ac:dyDescent="0.25">
      <c r="A86" s="50">
        <v>9</v>
      </c>
      <c r="B86" s="59" t="s">
        <v>111</v>
      </c>
      <c r="C86" s="52">
        <f t="shared" si="16"/>
        <v>147</v>
      </c>
      <c r="D86" s="54"/>
      <c r="E86" s="69">
        <v>147</v>
      </c>
      <c r="F86" s="54"/>
      <c r="G86" s="54"/>
      <c r="H86" s="54"/>
      <c r="I86" s="52">
        <f t="shared" si="13"/>
        <v>162.268</v>
      </c>
      <c r="J86" s="60"/>
      <c r="K86" s="60">
        <v>162.268</v>
      </c>
      <c r="L86" s="60"/>
      <c r="M86" s="60"/>
      <c r="N86" s="52">
        <f t="shared" si="14"/>
        <v>0</v>
      </c>
      <c r="O86" s="60"/>
      <c r="P86" s="60"/>
      <c r="Q86" s="52">
        <f t="shared" si="15"/>
        <v>0</v>
      </c>
      <c r="R86" s="61"/>
      <c r="S86" s="61"/>
      <c r="T86" s="61"/>
      <c r="U86" s="56">
        <f t="shared" si="10"/>
        <v>1.1038639455782313</v>
      </c>
      <c r="V86" s="56"/>
      <c r="W86" s="56">
        <f t="shared" si="12"/>
        <v>1.1038639455782313</v>
      </c>
      <c r="X86" s="62"/>
      <c r="Y86" s="62"/>
      <c r="Z86" s="62"/>
      <c r="AA86" s="6"/>
    </row>
    <row r="87" spans="1:27" s="64" customFormat="1" ht="24.95" customHeight="1" x14ac:dyDescent="0.25">
      <c r="A87" s="50">
        <v>10</v>
      </c>
      <c r="B87" s="59" t="s">
        <v>112</v>
      </c>
      <c r="C87" s="52">
        <f t="shared" si="16"/>
        <v>381</v>
      </c>
      <c r="D87" s="54"/>
      <c r="E87" s="69">
        <v>381</v>
      </c>
      <c r="F87" s="54"/>
      <c r="G87" s="54"/>
      <c r="H87" s="54"/>
      <c r="I87" s="52">
        <f t="shared" si="13"/>
        <v>379.92855600000001</v>
      </c>
      <c r="J87" s="60"/>
      <c r="K87" s="60">
        <v>379.92855600000001</v>
      </c>
      <c r="L87" s="60"/>
      <c r="M87" s="60"/>
      <c r="N87" s="52">
        <f t="shared" si="14"/>
        <v>0</v>
      </c>
      <c r="O87" s="60"/>
      <c r="P87" s="60"/>
      <c r="Q87" s="52">
        <f t="shared" si="15"/>
        <v>0</v>
      </c>
      <c r="R87" s="61"/>
      <c r="S87" s="61"/>
      <c r="T87" s="61"/>
      <c r="U87" s="56">
        <f t="shared" si="10"/>
        <v>0.99718781102362208</v>
      </c>
      <c r="V87" s="56"/>
      <c r="W87" s="56">
        <f t="shared" si="12"/>
        <v>0.99718781102362208</v>
      </c>
      <c r="X87" s="62"/>
      <c r="Y87" s="62"/>
      <c r="Z87" s="62"/>
      <c r="AA87" s="6"/>
    </row>
    <row r="88" spans="1:27" s="64" customFormat="1" ht="24.95" customHeight="1" x14ac:dyDescent="0.25">
      <c r="A88" s="50">
        <v>11</v>
      </c>
      <c r="B88" s="59" t="s">
        <v>113</v>
      </c>
      <c r="C88" s="52">
        <f t="shared" si="16"/>
        <v>2431</v>
      </c>
      <c r="D88" s="54"/>
      <c r="E88" s="69">
        <v>2431</v>
      </c>
      <c r="F88" s="54"/>
      <c r="G88" s="54"/>
      <c r="H88" s="54"/>
      <c r="I88" s="52">
        <f t="shared" si="13"/>
        <v>2161</v>
      </c>
      <c r="J88" s="60"/>
      <c r="K88" s="60">
        <v>2161</v>
      </c>
      <c r="L88" s="60"/>
      <c r="M88" s="60"/>
      <c r="N88" s="52">
        <f t="shared" si="14"/>
        <v>0</v>
      </c>
      <c r="O88" s="60"/>
      <c r="P88" s="60"/>
      <c r="Q88" s="52">
        <f t="shared" si="15"/>
        <v>0</v>
      </c>
      <c r="R88" s="61"/>
      <c r="S88" s="61"/>
      <c r="T88" s="61"/>
      <c r="U88" s="56">
        <f t="shared" si="10"/>
        <v>0.88893459481694781</v>
      </c>
      <c r="V88" s="56"/>
      <c r="W88" s="56">
        <f t="shared" si="12"/>
        <v>0.88893459481694781</v>
      </c>
      <c r="X88" s="62"/>
      <c r="Y88" s="62"/>
      <c r="Z88" s="62"/>
      <c r="AA88" s="6"/>
    </row>
    <row r="89" spans="1:27" s="64" customFormat="1" ht="24.95" customHeight="1" x14ac:dyDescent="0.25">
      <c r="A89" s="50">
        <v>12</v>
      </c>
      <c r="B89" s="59" t="s">
        <v>114</v>
      </c>
      <c r="C89" s="52">
        <f t="shared" si="16"/>
        <v>253</v>
      </c>
      <c r="D89" s="54"/>
      <c r="E89" s="54">
        <v>253</v>
      </c>
      <c r="F89" s="54"/>
      <c r="G89" s="54"/>
      <c r="H89" s="54"/>
      <c r="I89" s="52">
        <f t="shared" si="13"/>
        <v>293</v>
      </c>
      <c r="J89" s="60"/>
      <c r="K89" s="60">
        <v>293</v>
      </c>
      <c r="L89" s="60"/>
      <c r="M89" s="60"/>
      <c r="N89" s="52">
        <f t="shared" si="5"/>
        <v>0</v>
      </c>
      <c r="O89" s="60"/>
      <c r="P89" s="60"/>
      <c r="Q89" s="52">
        <f t="shared" si="15"/>
        <v>0</v>
      </c>
      <c r="R89" s="61"/>
      <c r="S89" s="61"/>
      <c r="T89" s="61"/>
      <c r="U89" s="56"/>
      <c r="V89" s="56"/>
      <c r="W89" s="56">
        <f t="shared" si="12"/>
        <v>1.1581027667984189</v>
      </c>
      <c r="X89" s="62"/>
      <c r="Y89" s="62"/>
      <c r="Z89" s="62"/>
      <c r="AA89" s="6"/>
    </row>
    <row r="90" spans="1:27" s="64" customFormat="1" ht="24.95" customHeight="1" x14ac:dyDescent="0.25">
      <c r="A90" s="70" t="s">
        <v>115</v>
      </c>
      <c r="B90" s="71" t="s">
        <v>116</v>
      </c>
      <c r="C90" s="72">
        <f>SUM(C91:C100)</f>
        <v>964020.38744399999</v>
      </c>
      <c r="D90" s="72">
        <f>SUM(D91:D100)</f>
        <v>964020.38744399999</v>
      </c>
      <c r="E90" s="73">
        <f t="shared" ref="E90:P90" si="17">SUM(E91:E100)</f>
        <v>0</v>
      </c>
      <c r="F90" s="73">
        <f t="shared" si="17"/>
        <v>0</v>
      </c>
      <c r="G90" s="73">
        <f t="shared" si="17"/>
        <v>0</v>
      </c>
      <c r="H90" s="73"/>
      <c r="I90" s="72">
        <f t="shared" si="17"/>
        <v>953063.55430199997</v>
      </c>
      <c r="J90" s="72">
        <f t="shared" si="17"/>
        <v>740714.35718300007</v>
      </c>
      <c r="K90" s="72">
        <f t="shared" si="17"/>
        <v>0</v>
      </c>
      <c r="L90" s="72">
        <f t="shared" si="17"/>
        <v>0</v>
      </c>
      <c r="M90" s="72">
        <f t="shared" si="17"/>
        <v>0</v>
      </c>
      <c r="N90" s="72">
        <f t="shared" si="17"/>
        <v>0</v>
      </c>
      <c r="O90" s="72">
        <f t="shared" si="17"/>
        <v>0</v>
      </c>
      <c r="P90" s="72">
        <f t="shared" si="17"/>
        <v>0</v>
      </c>
      <c r="Q90" s="43">
        <f t="shared" si="15"/>
        <v>212349.19711900002</v>
      </c>
      <c r="R90" s="74">
        <f>SUM(R91:R100)</f>
        <v>0</v>
      </c>
      <c r="S90" s="74">
        <f>SUM(S91:S100)</f>
        <v>0</v>
      </c>
      <c r="T90" s="74">
        <f>SUM(T91:T100)</f>
        <v>212349.19711900002</v>
      </c>
      <c r="U90" s="36"/>
      <c r="V90" s="36">
        <f t="shared" ref="V90:V115" si="18">J90/D90</f>
        <v>0.76835963930900597</v>
      </c>
      <c r="W90" s="36"/>
      <c r="X90" s="75"/>
      <c r="Y90" s="75"/>
      <c r="Z90" s="75"/>
      <c r="AA90" s="6"/>
    </row>
    <row r="91" spans="1:27" s="64" customFormat="1" ht="24.95" customHeight="1" x14ac:dyDescent="0.25">
      <c r="A91" s="77">
        <v>1</v>
      </c>
      <c r="B91" s="78" t="s">
        <v>117</v>
      </c>
      <c r="C91" s="52">
        <f t="shared" si="16"/>
        <v>154128.06858399999</v>
      </c>
      <c r="D91" s="54">
        <v>154128.06858399999</v>
      </c>
      <c r="E91" s="54"/>
      <c r="F91" s="54"/>
      <c r="G91" s="54"/>
      <c r="H91" s="54"/>
      <c r="I91" s="52">
        <f>SUM(J91:M91,N91,Q91)</f>
        <v>151212.369542</v>
      </c>
      <c r="J91" s="60">
        <v>87853.491596000007</v>
      </c>
      <c r="K91" s="60"/>
      <c r="L91" s="60"/>
      <c r="M91" s="60"/>
      <c r="N91" s="52">
        <f t="shared" ref="N91:N100" si="19">SUM(O91:P91)</f>
        <v>0</v>
      </c>
      <c r="O91" s="60"/>
      <c r="P91" s="60"/>
      <c r="Q91" s="52">
        <f t="shared" si="15"/>
        <v>63358.877946000001</v>
      </c>
      <c r="R91" s="61"/>
      <c r="S91" s="61"/>
      <c r="T91" s="61">
        <f>2485.382706+4895.108+8750+46495.047+733.34024</f>
        <v>63358.877946000001</v>
      </c>
      <c r="U91" s="56"/>
      <c r="V91" s="56">
        <f t="shared" si="18"/>
        <v>0.57000319541485556</v>
      </c>
      <c r="W91" s="56"/>
      <c r="X91" s="62"/>
      <c r="Y91" s="62"/>
      <c r="Z91" s="62"/>
      <c r="AA91" s="6"/>
    </row>
    <row r="92" spans="1:27" s="64" customFormat="1" ht="24.95" customHeight="1" x14ac:dyDescent="0.25">
      <c r="A92" s="77">
        <v>2</v>
      </c>
      <c r="B92" s="78" t="s">
        <v>118</v>
      </c>
      <c r="C92" s="52">
        <f t="shared" si="16"/>
        <v>96040.056639999995</v>
      </c>
      <c r="D92" s="54">
        <v>96040.056639999995</v>
      </c>
      <c r="E92" s="54"/>
      <c r="F92" s="54"/>
      <c r="G92" s="54"/>
      <c r="H92" s="54"/>
      <c r="I92" s="52">
        <f t="shared" ref="I92:I100" si="20">SUM(J92:M92,N92,Q92)</f>
        <v>87226.642640000005</v>
      </c>
      <c r="J92" s="60">
        <v>74650.411640000006</v>
      </c>
      <c r="K92" s="60"/>
      <c r="L92" s="60"/>
      <c r="M92" s="60"/>
      <c r="N92" s="52">
        <f t="shared" si="19"/>
        <v>0</v>
      </c>
      <c r="O92" s="60"/>
      <c r="P92" s="60"/>
      <c r="Q92" s="52">
        <f t="shared" si="15"/>
        <v>12576.231</v>
      </c>
      <c r="R92" s="61"/>
      <c r="S92" s="61"/>
      <c r="T92" s="61">
        <f>8116.857+2600+1859.374</f>
        <v>12576.231</v>
      </c>
      <c r="U92" s="56"/>
      <c r="V92" s="56">
        <f t="shared" si="18"/>
        <v>0.77728412759919852</v>
      </c>
      <c r="W92" s="56"/>
      <c r="X92" s="62"/>
      <c r="Y92" s="62"/>
      <c r="Z92" s="62"/>
      <c r="AA92" s="6"/>
    </row>
    <row r="93" spans="1:27" s="76" customFormat="1" ht="24.95" customHeight="1" x14ac:dyDescent="0.25">
      <c r="A93" s="77">
        <v>3</v>
      </c>
      <c r="B93" s="78" t="s">
        <v>119</v>
      </c>
      <c r="C93" s="52">
        <f t="shared" si="16"/>
        <v>113202.355</v>
      </c>
      <c r="D93" s="54">
        <v>113202.355</v>
      </c>
      <c r="E93" s="54"/>
      <c r="F93" s="54"/>
      <c r="G93" s="54"/>
      <c r="H93" s="54"/>
      <c r="I93" s="52">
        <f t="shared" si="20"/>
        <v>116397.66763900001</v>
      </c>
      <c r="J93" s="60">
        <v>97845.753639000002</v>
      </c>
      <c r="K93" s="60"/>
      <c r="L93" s="60"/>
      <c r="M93" s="60"/>
      <c r="N93" s="52">
        <f t="shared" si="19"/>
        <v>0</v>
      </c>
      <c r="O93" s="60"/>
      <c r="P93" s="60"/>
      <c r="Q93" s="52">
        <f t="shared" si="15"/>
        <v>18551.914000000001</v>
      </c>
      <c r="R93" s="61"/>
      <c r="S93" s="61"/>
      <c r="T93" s="61">
        <f>12617.4+150.994+5783.52</f>
        <v>18551.914000000001</v>
      </c>
      <c r="U93" s="56"/>
      <c r="V93" s="56">
        <f t="shared" si="18"/>
        <v>0.86434379955258001</v>
      </c>
      <c r="W93" s="56"/>
      <c r="X93" s="62"/>
      <c r="Y93" s="62"/>
      <c r="Z93" s="62"/>
      <c r="AA93" s="48"/>
    </row>
    <row r="94" spans="1:27" s="64" customFormat="1" ht="24.95" customHeight="1" x14ac:dyDescent="0.25">
      <c r="A94" s="77">
        <v>4</v>
      </c>
      <c r="B94" s="78" t="s">
        <v>120</v>
      </c>
      <c r="C94" s="52">
        <f t="shared" si="16"/>
        <v>64573.154000000002</v>
      </c>
      <c r="D94" s="54">
        <v>64573.154000000002</v>
      </c>
      <c r="E94" s="54"/>
      <c r="F94" s="54"/>
      <c r="G94" s="54"/>
      <c r="H94" s="54"/>
      <c r="I94" s="52">
        <f t="shared" si="20"/>
        <v>71297.332788</v>
      </c>
      <c r="J94" s="60">
        <v>69518.641787999994</v>
      </c>
      <c r="K94" s="60"/>
      <c r="L94" s="60"/>
      <c r="M94" s="60"/>
      <c r="N94" s="52">
        <f t="shared" si="19"/>
        <v>0</v>
      </c>
      <c r="O94" s="60"/>
      <c r="P94" s="60"/>
      <c r="Q94" s="52">
        <f t="shared" si="15"/>
        <v>1778.691</v>
      </c>
      <c r="R94" s="61"/>
      <c r="S94" s="61"/>
      <c r="T94" s="61">
        <f>199.475+238.422+1340.794</f>
        <v>1778.691</v>
      </c>
      <c r="U94" s="56"/>
      <c r="V94" s="56">
        <f t="shared" si="18"/>
        <v>1.0765873661367074</v>
      </c>
      <c r="W94" s="56"/>
      <c r="X94" s="62"/>
      <c r="Y94" s="62"/>
      <c r="Z94" s="62"/>
      <c r="AA94" s="6"/>
    </row>
    <row r="95" spans="1:27" s="64" customFormat="1" ht="24.95" customHeight="1" x14ac:dyDescent="0.25">
      <c r="A95" s="77">
        <v>5</v>
      </c>
      <c r="B95" s="78" t="s">
        <v>121</v>
      </c>
      <c r="C95" s="52">
        <f t="shared" si="16"/>
        <v>80591.702999999994</v>
      </c>
      <c r="D95" s="54">
        <v>80591.702999999994</v>
      </c>
      <c r="E95" s="54"/>
      <c r="F95" s="54"/>
      <c r="G95" s="54"/>
      <c r="H95" s="54"/>
      <c r="I95" s="52">
        <f t="shared" si="20"/>
        <v>80405.992429999998</v>
      </c>
      <c r="J95" s="60">
        <v>78592.331829999996</v>
      </c>
      <c r="K95" s="60"/>
      <c r="L95" s="60"/>
      <c r="M95" s="60"/>
      <c r="N95" s="52">
        <f t="shared" si="19"/>
        <v>0</v>
      </c>
      <c r="O95" s="60"/>
      <c r="P95" s="60"/>
      <c r="Q95" s="52">
        <f t="shared" si="15"/>
        <v>1813.6605999999999</v>
      </c>
      <c r="R95" s="61"/>
      <c r="S95" s="61"/>
      <c r="T95" s="61">
        <v>1813.6605999999999</v>
      </c>
      <c r="U95" s="56"/>
      <c r="V95" s="56">
        <f t="shared" si="18"/>
        <v>0.97519135226612597</v>
      </c>
      <c r="W95" s="56"/>
      <c r="X95" s="62"/>
      <c r="Y95" s="62"/>
      <c r="Z95" s="62"/>
      <c r="AA95" s="6"/>
    </row>
    <row r="96" spans="1:27" s="64" customFormat="1" ht="24.95" customHeight="1" x14ac:dyDescent="0.25">
      <c r="A96" s="77">
        <v>6</v>
      </c>
      <c r="B96" s="78" t="s">
        <v>122</v>
      </c>
      <c r="C96" s="52">
        <f t="shared" si="16"/>
        <v>67792.978000000003</v>
      </c>
      <c r="D96" s="54">
        <v>67792.978000000003</v>
      </c>
      <c r="E96" s="54"/>
      <c r="F96" s="54"/>
      <c r="G96" s="54"/>
      <c r="H96" s="54"/>
      <c r="I96" s="52">
        <f t="shared" si="20"/>
        <v>64709.877567999996</v>
      </c>
      <c r="J96" s="60">
        <v>63187.443599999999</v>
      </c>
      <c r="K96" s="60"/>
      <c r="L96" s="60"/>
      <c r="M96" s="60"/>
      <c r="N96" s="52">
        <f t="shared" si="19"/>
        <v>0</v>
      </c>
      <c r="O96" s="60"/>
      <c r="P96" s="60"/>
      <c r="Q96" s="52">
        <f t="shared" si="15"/>
        <v>1522.433968</v>
      </c>
      <c r="R96" s="61"/>
      <c r="S96" s="61"/>
      <c r="T96" s="61">
        <f>18.074+69.056+933.088568+78.6084+423.607</f>
        <v>1522.433968</v>
      </c>
      <c r="U96" s="56"/>
      <c r="V96" s="56">
        <f t="shared" si="18"/>
        <v>0.93206472800177032</v>
      </c>
      <c r="W96" s="56"/>
      <c r="X96" s="62"/>
      <c r="Y96" s="62"/>
      <c r="Z96" s="62"/>
      <c r="AA96" s="6"/>
    </row>
    <row r="97" spans="1:27" s="64" customFormat="1" ht="24.95" customHeight="1" x14ac:dyDescent="0.25">
      <c r="A97" s="77">
        <v>7</v>
      </c>
      <c r="B97" s="78" t="s">
        <v>123</v>
      </c>
      <c r="C97" s="52">
        <f t="shared" si="16"/>
        <v>97890.682642999993</v>
      </c>
      <c r="D97" s="54">
        <v>97890.682642999993</v>
      </c>
      <c r="E97" s="54"/>
      <c r="F97" s="54"/>
      <c r="G97" s="54"/>
      <c r="H97" s="54"/>
      <c r="I97" s="52">
        <f t="shared" si="20"/>
        <v>88447.083587000001</v>
      </c>
      <c r="J97" s="60">
        <v>77664.186530000006</v>
      </c>
      <c r="K97" s="60"/>
      <c r="L97" s="60"/>
      <c r="M97" s="60"/>
      <c r="N97" s="52">
        <f t="shared" si="19"/>
        <v>0</v>
      </c>
      <c r="O97" s="60"/>
      <c r="P97" s="60"/>
      <c r="Q97" s="52">
        <f t="shared" si="15"/>
        <v>10782.897057</v>
      </c>
      <c r="R97" s="61"/>
      <c r="S97" s="61"/>
      <c r="T97" s="61">
        <f>1096.1955+364.531897+9322.16966</f>
        <v>10782.897057</v>
      </c>
      <c r="U97" s="56"/>
      <c r="V97" s="56">
        <f t="shared" si="18"/>
        <v>0.79337669769078523</v>
      </c>
      <c r="W97" s="56"/>
      <c r="X97" s="62"/>
      <c r="Y97" s="62"/>
      <c r="Z97" s="62"/>
      <c r="AA97" s="6"/>
    </row>
    <row r="98" spans="1:27" s="64" customFormat="1" ht="24.95" customHeight="1" x14ac:dyDescent="0.25">
      <c r="A98" s="77">
        <v>8</v>
      </c>
      <c r="B98" s="78" t="s">
        <v>124</v>
      </c>
      <c r="C98" s="52">
        <f t="shared" si="16"/>
        <v>177093.03257700001</v>
      </c>
      <c r="D98" s="54">
        <f>177043.032577+50</f>
        <v>177093.03257700001</v>
      </c>
      <c r="E98" s="54"/>
      <c r="F98" s="54"/>
      <c r="G98" s="54"/>
      <c r="H98" s="54"/>
      <c r="I98" s="52">
        <f t="shared" si="20"/>
        <v>196930.57829199999</v>
      </c>
      <c r="J98" s="60">
        <v>117391.550258</v>
      </c>
      <c r="K98" s="60"/>
      <c r="L98" s="60"/>
      <c r="M98" s="60"/>
      <c r="N98" s="52">
        <f t="shared" si="19"/>
        <v>0</v>
      </c>
      <c r="O98" s="60"/>
      <c r="P98" s="60"/>
      <c r="Q98" s="52">
        <f t="shared" si="15"/>
        <v>79539.028034000003</v>
      </c>
      <c r="R98" s="61"/>
      <c r="S98" s="61"/>
      <c r="T98" s="61">
        <f>6637.519864+72901.50817</f>
        <v>79539.028034000003</v>
      </c>
      <c r="U98" s="56"/>
      <c r="V98" s="56">
        <f t="shared" si="18"/>
        <v>0.66288068225924235</v>
      </c>
      <c r="W98" s="56"/>
      <c r="X98" s="62"/>
      <c r="Y98" s="62"/>
      <c r="Z98" s="62"/>
      <c r="AA98" s="6"/>
    </row>
    <row r="99" spans="1:27" s="64" customFormat="1" ht="24.95" customHeight="1" x14ac:dyDescent="0.25">
      <c r="A99" s="77">
        <v>9</v>
      </c>
      <c r="B99" s="78" t="s">
        <v>125</v>
      </c>
      <c r="C99" s="52">
        <f t="shared" si="16"/>
        <v>1150</v>
      </c>
      <c r="D99" s="54">
        <v>1150</v>
      </c>
      <c r="E99" s="54"/>
      <c r="F99" s="54"/>
      <c r="G99" s="54"/>
      <c r="H99" s="54"/>
      <c r="I99" s="52">
        <f t="shared" si="20"/>
        <v>3377.8046180000001</v>
      </c>
      <c r="J99" s="60">
        <v>3377.8046180000001</v>
      </c>
      <c r="K99" s="60"/>
      <c r="L99" s="60"/>
      <c r="M99" s="60"/>
      <c r="N99" s="52">
        <f t="shared" si="19"/>
        <v>0</v>
      </c>
      <c r="O99" s="60"/>
      <c r="P99" s="60"/>
      <c r="Q99" s="52">
        <f t="shared" si="15"/>
        <v>0</v>
      </c>
      <c r="R99" s="61"/>
      <c r="S99" s="61"/>
      <c r="T99" s="61"/>
      <c r="U99" s="56"/>
      <c r="V99" s="56">
        <f t="shared" si="18"/>
        <v>2.9372214069565219</v>
      </c>
      <c r="W99" s="56"/>
      <c r="X99" s="62"/>
      <c r="Y99" s="62"/>
      <c r="Z99" s="62"/>
      <c r="AA99" s="6"/>
    </row>
    <row r="100" spans="1:27" s="64" customFormat="1" ht="24.95" customHeight="1" x14ac:dyDescent="0.25">
      <c r="A100" s="77">
        <v>10</v>
      </c>
      <c r="B100" s="78" t="s">
        <v>126</v>
      </c>
      <c r="C100" s="52">
        <f t="shared" si="16"/>
        <v>111558.357</v>
      </c>
      <c r="D100" s="54">
        <v>111558.357</v>
      </c>
      <c r="E100" s="54"/>
      <c r="F100" s="54"/>
      <c r="G100" s="54"/>
      <c r="H100" s="54"/>
      <c r="I100" s="52">
        <f t="shared" si="20"/>
        <v>93058.205197999996</v>
      </c>
      <c r="J100" s="60">
        <v>70632.741683999993</v>
      </c>
      <c r="K100" s="60"/>
      <c r="L100" s="60"/>
      <c r="M100" s="60"/>
      <c r="N100" s="52">
        <f t="shared" si="19"/>
        <v>0</v>
      </c>
      <c r="O100" s="60"/>
      <c r="P100" s="60"/>
      <c r="Q100" s="52">
        <f t="shared" si="15"/>
        <v>22425.463513999999</v>
      </c>
      <c r="R100" s="61"/>
      <c r="S100" s="61"/>
      <c r="T100" s="61">
        <f>2600+716.508094+19.699+4238.851551+118.354869+14732.05</f>
        <v>22425.463513999999</v>
      </c>
      <c r="U100" s="56"/>
      <c r="V100" s="56">
        <f t="shared" si="18"/>
        <v>0.63314612713415985</v>
      </c>
      <c r="W100" s="56"/>
      <c r="X100" s="62"/>
      <c r="Y100" s="62"/>
      <c r="Z100" s="62"/>
      <c r="AA100" s="6"/>
    </row>
    <row r="101" spans="1:27" s="64" customFormat="1" ht="24.95" customHeight="1" x14ac:dyDescent="0.25">
      <c r="A101" s="79"/>
      <c r="B101" s="80"/>
      <c r="C101" s="81"/>
      <c r="D101" s="82"/>
      <c r="E101" s="82"/>
      <c r="F101" s="82"/>
      <c r="G101" s="82"/>
      <c r="H101" s="82"/>
      <c r="I101" s="83"/>
      <c r="J101" s="83"/>
      <c r="K101" s="83"/>
      <c r="L101" s="83"/>
      <c r="M101" s="83"/>
      <c r="N101" s="83"/>
      <c r="O101" s="83"/>
      <c r="P101" s="83"/>
      <c r="Q101" s="83"/>
      <c r="R101" s="81"/>
      <c r="S101" s="81"/>
      <c r="T101" s="81"/>
      <c r="U101" s="84"/>
      <c r="V101" s="84"/>
      <c r="W101" s="84"/>
      <c r="X101" s="85"/>
      <c r="Y101" s="85"/>
      <c r="Z101" s="85"/>
      <c r="AA101" s="6"/>
    </row>
    <row r="102" spans="1:27" s="64" customFormat="1" ht="24.95" customHeight="1" x14ac:dyDescent="0.2">
      <c r="A102" s="86"/>
      <c r="B102" s="87"/>
      <c r="C102" s="88"/>
      <c r="D102" s="89"/>
      <c r="E102" s="89"/>
      <c r="F102" s="89"/>
      <c r="G102" s="89"/>
      <c r="H102" s="89"/>
      <c r="I102" s="90"/>
      <c r="J102" s="88"/>
      <c r="K102" s="88"/>
      <c r="L102" s="88"/>
      <c r="M102" s="88"/>
      <c r="N102" s="90"/>
      <c r="O102" s="88"/>
      <c r="P102" s="88"/>
      <c r="Q102" s="90"/>
      <c r="R102" s="91"/>
      <c r="S102" s="91"/>
      <c r="T102" s="91"/>
      <c r="U102" s="92"/>
      <c r="V102" s="92"/>
      <c r="W102" s="93"/>
      <c r="X102" s="93"/>
      <c r="Y102" s="6"/>
      <c r="Z102" s="6"/>
      <c r="AA102" s="6"/>
    </row>
    <row r="103" spans="1:27" s="64" customFormat="1" ht="24.95" customHeight="1" x14ac:dyDescent="0.2">
      <c r="A103" s="86"/>
      <c r="B103" s="87"/>
      <c r="C103" s="88"/>
      <c r="D103" s="89"/>
      <c r="E103" s="89"/>
      <c r="F103" s="89"/>
      <c r="G103" s="89"/>
      <c r="H103" s="89"/>
      <c r="I103" s="90"/>
      <c r="J103" s="88"/>
      <c r="K103" s="88"/>
      <c r="L103" s="88"/>
      <c r="M103" s="88"/>
      <c r="N103" s="90"/>
      <c r="O103" s="88"/>
      <c r="P103" s="88"/>
      <c r="Q103" s="90"/>
      <c r="R103" s="91"/>
      <c r="S103" s="91"/>
      <c r="T103" s="91"/>
      <c r="U103" s="92"/>
      <c r="V103" s="92"/>
      <c r="W103" s="93"/>
      <c r="X103" s="93"/>
      <c r="Y103" s="6"/>
      <c r="Z103" s="6"/>
      <c r="AA103" s="6"/>
    </row>
    <row r="104" spans="1:27" s="99" customFormat="1" ht="24.95" customHeight="1" x14ac:dyDescent="0.2">
      <c r="A104" s="94"/>
      <c r="B104" s="95"/>
      <c r="C104" s="96"/>
      <c r="D104" s="97"/>
      <c r="E104" s="97"/>
      <c r="F104" s="97"/>
      <c r="G104" s="97"/>
      <c r="H104" s="97"/>
      <c r="I104" s="98"/>
      <c r="J104" s="98"/>
      <c r="K104" s="98"/>
      <c r="L104" s="98"/>
      <c r="M104" s="98"/>
      <c r="N104" s="98"/>
      <c r="O104" s="98"/>
      <c r="P104" s="98"/>
      <c r="Q104" s="98"/>
      <c r="R104" s="96"/>
      <c r="S104" s="96"/>
      <c r="T104" s="96"/>
      <c r="U104" s="93"/>
      <c r="V104" s="93"/>
      <c r="W104" s="93"/>
      <c r="X104" s="93"/>
      <c r="Y104" s="6"/>
      <c r="Z104" s="6"/>
      <c r="AA104" s="6"/>
    </row>
    <row r="105" spans="1:27" x14ac:dyDescent="0.2">
      <c r="A105" s="6"/>
      <c r="B105" s="6"/>
      <c r="C105" s="6"/>
      <c r="D105" s="100"/>
      <c r="E105" s="100"/>
      <c r="F105" s="100"/>
      <c r="G105" s="100"/>
      <c r="H105" s="100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</row>
    <row r="106" spans="1:27" x14ac:dyDescent="0.2">
      <c r="A106" s="6"/>
      <c r="B106" s="6"/>
      <c r="C106" s="6"/>
      <c r="D106" s="100"/>
      <c r="E106" s="100"/>
      <c r="F106" s="100"/>
      <c r="G106" s="100"/>
      <c r="H106" s="100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</row>
    <row r="107" spans="1:27" x14ac:dyDescent="0.2">
      <c r="A107" s="6"/>
      <c r="B107" s="6"/>
      <c r="C107" s="6"/>
      <c r="D107" s="100"/>
      <c r="E107" s="100"/>
      <c r="F107" s="100"/>
      <c r="G107" s="100"/>
      <c r="H107" s="100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</row>
    <row r="108" spans="1:27" x14ac:dyDescent="0.2">
      <c r="A108" s="6"/>
      <c r="B108" s="6"/>
      <c r="C108" s="6"/>
      <c r="D108" s="100"/>
      <c r="E108" s="100"/>
      <c r="F108" s="100"/>
      <c r="G108" s="100"/>
      <c r="H108" s="100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</row>
    <row r="109" spans="1:27" x14ac:dyDescent="0.2">
      <c r="A109" s="6"/>
      <c r="B109" s="6"/>
      <c r="C109" s="6"/>
      <c r="D109" s="100"/>
      <c r="E109" s="100"/>
      <c r="F109" s="100"/>
      <c r="G109" s="100"/>
      <c r="H109" s="100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</row>
    <row r="110" spans="1:27" x14ac:dyDescent="0.2">
      <c r="A110" s="6"/>
      <c r="B110" s="6"/>
      <c r="C110" s="6"/>
      <c r="D110" s="100"/>
      <c r="E110" s="100"/>
      <c r="F110" s="100"/>
      <c r="G110" s="100"/>
      <c r="H110" s="100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</row>
    <row r="111" spans="1:27" x14ac:dyDescent="0.2">
      <c r="A111" s="6"/>
      <c r="B111" s="6"/>
      <c r="C111" s="6"/>
      <c r="D111" s="100"/>
      <c r="E111" s="100"/>
      <c r="F111" s="100"/>
      <c r="G111" s="100"/>
      <c r="H111" s="100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</row>
    <row r="112" spans="1:27" x14ac:dyDescent="0.2">
      <c r="A112" s="6"/>
      <c r="B112" s="6"/>
      <c r="C112" s="6"/>
      <c r="D112" s="100"/>
      <c r="E112" s="100"/>
      <c r="F112" s="100"/>
      <c r="G112" s="100"/>
      <c r="H112" s="100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</row>
    <row r="113" spans="1:24" x14ac:dyDescent="0.2">
      <c r="A113" s="6"/>
      <c r="B113" s="6"/>
      <c r="C113" s="6"/>
      <c r="D113" s="100"/>
      <c r="E113" s="100"/>
      <c r="F113" s="100"/>
      <c r="G113" s="100"/>
      <c r="H113" s="100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</row>
    <row r="114" spans="1:24" x14ac:dyDescent="0.2">
      <c r="A114" s="6"/>
      <c r="B114" s="6"/>
      <c r="C114" s="6"/>
      <c r="D114" s="100"/>
      <c r="E114" s="100"/>
      <c r="F114" s="100"/>
      <c r="G114" s="100"/>
      <c r="H114" s="100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</row>
    <row r="115" spans="1:24" x14ac:dyDescent="0.2">
      <c r="A115" s="6"/>
      <c r="B115" s="6"/>
      <c r="C115" s="6"/>
      <c r="D115" s="100"/>
      <c r="E115" s="100"/>
      <c r="F115" s="100"/>
      <c r="G115" s="100"/>
      <c r="H115" s="100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</row>
    <row r="116" spans="1:24" x14ac:dyDescent="0.2">
      <c r="A116" s="6"/>
      <c r="B116" s="6"/>
      <c r="C116" s="6"/>
      <c r="D116" s="100"/>
      <c r="E116" s="100"/>
      <c r="F116" s="100"/>
      <c r="G116" s="100"/>
      <c r="H116" s="100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</row>
    <row r="117" spans="1:24" x14ac:dyDescent="0.2">
      <c r="A117" s="6"/>
      <c r="B117" s="6"/>
      <c r="C117" s="6"/>
      <c r="D117" s="100"/>
      <c r="E117" s="100"/>
      <c r="F117" s="100"/>
      <c r="G117" s="100"/>
      <c r="H117" s="100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</row>
    <row r="118" spans="1:24" x14ac:dyDescent="0.2">
      <c r="A118" s="6"/>
      <c r="B118" s="6"/>
      <c r="C118" s="6"/>
      <c r="D118" s="100"/>
      <c r="E118" s="100"/>
      <c r="F118" s="100"/>
      <c r="G118" s="100"/>
      <c r="H118" s="100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</row>
    <row r="119" spans="1:24" x14ac:dyDescent="0.2">
      <c r="A119" s="6"/>
      <c r="B119" s="6"/>
      <c r="C119" s="6"/>
      <c r="D119" s="100"/>
      <c r="E119" s="100"/>
      <c r="F119" s="100"/>
      <c r="G119" s="100"/>
      <c r="H119" s="100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</row>
    <row r="120" spans="1:24" x14ac:dyDescent="0.2">
      <c r="A120" s="6"/>
      <c r="B120" s="6"/>
      <c r="C120" s="6"/>
      <c r="D120" s="100"/>
      <c r="E120" s="100"/>
      <c r="F120" s="100"/>
      <c r="G120" s="100"/>
      <c r="H120" s="100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</row>
    <row r="121" spans="1:24" x14ac:dyDescent="0.2">
      <c r="A121" s="6"/>
      <c r="B121" s="6"/>
      <c r="C121" s="6"/>
      <c r="D121" s="100"/>
      <c r="E121" s="100"/>
      <c r="F121" s="100"/>
      <c r="G121" s="100"/>
      <c r="H121" s="100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</row>
    <row r="122" spans="1:24" x14ac:dyDescent="0.2">
      <c r="A122" s="6"/>
      <c r="B122" s="6"/>
      <c r="C122" s="6"/>
      <c r="D122" s="100"/>
      <c r="E122" s="100"/>
      <c r="F122" s="100"/>
      <c r="G122" s="100"/>
      <c r="H122" s="100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</row>
    <row r="123" spans="1:24" x14ac:dyDescent="0.2">
      <c r="A123" s="6"/>
      <c r="B123" s="6"/>
      <c r="C123" s="6"/>
      <c r="D123" s="100"/>
      <c r="E123" s="100"/>
      <c r="F123" s="100"/>
      <c r="G123" s="100"/>
      <c r="H123" s="100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</row>
    <row r="124" spans="1:24" x14ac:dyDescent="0.2">
      <c r="A124" s="6"/>
      <c r="B124" s="6"/>
      <c r="C124" s="6"/>
      <c r="D124" s="100"/>
      <c r="E124" s="100"/>
      <c r="F124" s="100"/>
      <c r="G124" s="100"/>
      <c r="H124" s="100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</row>
    <row r="125" spans="1:24" x14ac:dyDescent="0.2">
      <c r="A125" s="6"/>
      <c r="B125" s="6"/>
      <c r="C125" s="6"/>
      <c r="D125" s="100"/>
      <c r="E125" s="100"/>
      <c r="F125" s="100"/>
      <c r="G125" s="100"/>
      <c r="H125" s="100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</row>
    <row r="126" spans="1:24" x14ac:dyDescent="0.2">
      <c r="A126" s="6"/>
      <c r="B126" s="6"/>
      <c r="C126" s="6"/>
      <c r="D126" s="100"/>
      <c r="E126" s="100"/>
      <c r="F126" s="100"/>
      <c r="G126" s="100"/>
      <c r="H126" s="100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</row>
    <row r="127" spans="1:24" x14ac:dyDescent="0.2">
      <c r="A127" s="6"/>
      <c r="B127" s="6"/>
      <c r="C127" s="6"/>
      <c r="D127" s="100"/>
      <c r="E127" s="100"/>
      <c r="F127" s="100"/>
      <c r="G127" s="100"/>
      <c r="H127" s="100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</row>
    <row r="128" spans="1:24" x14ac:dyDescent="0.2">
      <c r="A128" s="6"/>
      <c r="B128" s="6"/>
      <c r="C128" s="6"/>
      <c r="D128" s="100"/>
      <c r="E128" s="100"/>
      <c r="F128" s="100"/>
      <c r="G128" s="100"/>
      <c r="H128" s="100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</row>
    <row r="129" spans="1:24" x14ac:dyDescent="0.2">
      <c r="A129" s="6"/>
      <c r="B129" s="6"/>
      <c r="C129" s="6"/>
      <c r="D129" s="100"/>
      <c r="E129" s="100"/>
      <c r="F129" s="100"/>
      <c r="G129" s="100"/>
      <c r="H129" s="100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</row>
    <row r="130" spans="1:24" x14ac:dyDescent="0.2">
      <c r="A130" s="6"/>
      <c r="B130" s="6"/>
      <c r="C130" s="6"/>
      <c r="D130" s="100"/>
      <c r="E130" s="100"/>
      <c r="F130" s="100"/>
      <c r="G130" s="100"/>
      <c r="H130" s="100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</row>
    <row r="131" spans="1:24" x14ac:dyDescent="0.2">
      <c r="A131" s="6"/>
      <c r="B131" s="6"/>
      <c r="C131" s="6"/>
      <c r="D131" s="100"/>
      <c r="E131" s="100"/>
      <c r="F131" s="100"/>
      <c r="G131" s="100"/>
      <c r="H131" s="100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</row>
    <row r="132" spans="1:24" x14ac:dyDescent="0.2">
      <c r="A132" s="6"/>
      <c r="B132" s="6"/>
      <c r="C132" s="6"/>
      <c r="D132" s="100"/>
      <c r="E132" s="100"/>
      <c r="F132" s="100"/>
      <c r="G132" s="100"/>
      <c r="H132" s="100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</row>
    <row r="133" spans="1:24" x14ac:dyDescent="0.2">
      <c r="A133" s="6"/>
      <c r="B133" s="6"/>
      <c r="C133" s="6"/>
      <c r="D133" s="100"/>
      <c r="E133" s="100"/>
      <c r="F133" s="100"/>
      <c r="G133" s="100"/>
      <c r="H133" s="100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</row>
    <row r="134" spans="1:24" x14ac:dyDescent="0.2">
      <c r="A134" s="6"/>
      <c r="B134" s="6"/>
      <c r="C134" s="6"/>
      <c r="D134" s="100"/>
      <c r="E134" s="100"/>
      <c r="F134" s="100"/>
      <c r="G134" s="100"/>
      <c r="H134" s="100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</row>
    <row r="135" spans="1:24" x14ac:dyDescent="0.2">
      <c r="A135" s="6"/>
      <c r="B135" s="6"/>
      <c r="C135" s="6"/>
      <c r="D135" s="100"/>
      <c r="E135" s="100"/>
      <c r="F135" s="100"/>
      <c r="G135" s="100"/>
      <c r="H135" s="100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</row>
    <row r="136" spans="1:24" x14ac:dyDescent="0.2">
      <c r="A136" s="6"/>
      <c r="B136" s="6"/>
      <c r="C136" s="6"/>
      <c r="D136" s="100"/>
      <c r="E136" s="100"/>
      <c r="F136" s="100"/>
      <c r="G136" s="100"/>
      <c r="H136" s="100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</row>
    <row r="137" spans="1:24" x14ac:dyDescent="0.2">
      <c r="A137" s="6"/>
      <c r="B137" s="6"/>
      <c r="C137" s="6"/>
      <c r="D137" s="100"/>
      <c r="E137" s="100"/>
      <c r="F137" s="100"/>
      <c r="G137" s="100"/>
      <c r="H137" s="100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</row>
    <row r="138" spans="1:24" x14ac:dyDescent="0.2">
      <c r="A138" s="6"/>
      <c r="B138" s="6"/>
      <c r="C138" s="6"/>
      <c r="D138" s="100"/>
      <c r="E138" s="100"/>
      <c r="F138" s="100"/>
      <c r="G138" s="100"/>
      <c r="H138" s="100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</row>
    <row r="139" spans="1:24" x14ac:dyDescent="0.2">
      <c r="A139" s="6"/>
      <c r="B139" s="6"/>
      <c r="C139" s="6"/>
      <c r="D139" s="100"/>
      <c r="E139" s="100"/>
      <c r="F139" s="100"/>
      <c r="G139" s="100"/>
      <c r="H139" s="100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</row>
    <row r="140" spans="1:24" x14ac:dyDescent="0.2">
      <c r="A140" s="6"/>
      <c r="B140" s="6"/>
      <c r="C140" s="6"/>
      <c r="D140" s="100"/>
      <c r="E140" s="100"/>
      <c r="F140" s="100"/>
      <c r="G140" s="100"/>
      <c r="H140" s="100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</row>
    <row r="141" spans="1:24" x14ac:dyDescent="0.2">
      <c r="A141" s="6"/>
      <c r="B141" s="6"/>
      <c r="C141" s="6"/>
      <c r="D141" s="100"/>
      <c r="E141" s="100"/>
      <c r="F141" s="100"/>
      <c r="G141" s="100"/>
      <c r="H141" s="100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</row>
    <row r="142" spans="1:24" x14ac:dyDescent="0.2">
      <c r="A142" s="6"/>
      <c r="B142" s="6"/>
      <c r="C142" s="6"/>
      <c r="D142" s="100"/>
      <c r="E142" s="100"/>
      <c r="F142" s="100"/>
      <c r="G142" s="100"/>
      <c r="H142" s="100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</row>
    <row r="143" spans="1:24" x14ac:dyDescent="0.2">
      <c r="A143" s="6"/>
      <c r="B143" s="6"/>
      <c r="C143" s="6"/>
      <c r="D143" s="100"/>
      <c r="E143" s="100"/>
      <c r="F143" s="100"/>
      <c r="G143" s="100"/>
      <c r="H143" s="100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</row>
    <row r="144" spans="1:24" x14ac:dyDescent="0.2">
      <c r="A144" s="6"/>
      <c r="B144" s="6"/>
      <c r="C144" s="6"/>
      <c r="D144" s="100"/>
      <c r="E144" s="100"/>
      <c r="F144" s="100"/>
      <c r="G144" s="100"/>
      <c r="H144" s="100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</row>
    <row r="145" spans="1:24" x14ac:dyDescent="0.2">
      <c r="A145" s="6"/>
      <c r="B145" s="6"/>
      <c r="C145" s="6"/>
      <c r="D145" s="100"/>
      <c r="E145" s="100"/>
      <c r="F145" s="100"/>
      <c r="G145" s="100"/>
      <c r="H145" s="100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</row>
    <row r="146" spans="1:24" x14ac:dyDescent="0.2">
      <c r="A146" s="6"/>
      <c r="B146" s="6"/>
      <c r="C146" s="6"/>
      <c r="D146" s="100"/>
      <c r="E146" s="100"/>
      <c r="F146" s="100"/>
      <c r="G146" s="100"/>
      <c r="H146" s="100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</row>
    <row r="147" spans="1:24" x14ac:dyDescent="0.2">
      <c r="A147" s="6"/>
      <c r="B147" s="6"/>
      <c r="C147" s="6"/>
      <c r="D147" s="100"/>
      <c r="E147" s="100"/>
      <c r="F147" s="100"/>
      <c r="G147" s="100"/>
      <c r="H147" s="100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</row>
    <row r="148" spans="1:24" x14ac:dyDescent="0.2">
      <c r="A148" s="6"/>
      <c r="B148" s="6"/>
      <c r="C148" s="6"/>
      <c r="D148" s="100"/>
      <c r="E148" s="100"/>
      <c r="F148" s="100"/>
      <c r="G148" s="100"/>
      <c r="H148" s="100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</row>
    <row r="149" spans="1:24" x14ac:dyDescent="0.2">
      <c r="A149" s="6"/>
      <c r="B149" s="6"/>
      <c r="C149" s="6"/>
      <c r="D149" s="100"/>
      <c r="E149" s="100"/>
      <c r="F149" s="100"/>
      <c r="G149" s="100"/>
      <c r="H149" s="100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</row>
    <row r="150" spans="1:24" x14ac:dyDescent="0.2">
      <c r="A150" s="6"/>
      <c r="B150" s="6"/>
      <c r="C150" s="6"/>
      <c r="D150" s="100"/>
      <c r="E150" s="100"/>
      <c r="F150" s="100"/>
      <c r="G150" s="100"/>
      <c r="H150" s="100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</row>
    <row r="151" spans="1:24" x14ac:dyDescent="0.2">
      <c r="A151" s="6"/>
      <c r="B151" s="6"/>
      <c r="C151" s="6"/>
      <c r="D151" s="100"/>
      <c r="E151" s="100"/>
      <c r="F151" s="100"/>
      <c r="G151" s="100"/>
      <c r="H151" s="100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</row>
    <row r="152" spans="1:24" x14ac:dyDescent="0.2">
      <c r="A152" s="6"/>
      <c r="B152" s="6"/>
      <c r="C152" s="6"/>
      <c r="D152" s="100"/>
      <c r="E152" s="100"/>
      <c r="F152" s="100"/>
      <c r="G152" s="100"/>
      <c r="H152" s="100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</row>
    <row r="153" spans="1:24" x14ac:dyDescent="0.2">
      <c r="A153" s="6"/>
      <c r="B153" s="6"/>
      <c r="C153" s="6"/>
      <c r="D153" s="100"/>
      <c r="E153" s="100"/>
      <c r="F153" s="100"/>
      <c r="G153" s="100"/>
      <c r="H153" s="100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</row>
    <row r="154" spans="1:24" x14ac:dyDescent="0.2">
      <c r="A154" s="6"/>
      <c r="B154" s="6"/>
      <c r="C154" s="6"/>
      <c r="D154" s="100"/>
      <c r="E154" s="100"/>
      <c r="F154" s="100"/>
      <c r="G154" s="100"/>
      <c r="H154" s="100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</row>
    <row r="155" spans="1:24" x14ac:dyDescent="0.2">
      <c r="A155" s="6"/>
      <c r="B155" s="6"/>
      <c r="C155" s="6"/>
      <c r="D155" s="100"/>
      <c r="E155" s="100"/>
      <c r="F155" s="100"/>
      <c r="G155" s="100"/>
      <c r="H155" s="100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</row>
  </sheetData>
  <mergeCells count="32">
    <mergeCell ref="W6:W7"/>
    <mergeCell ref="X6:X7"/>
    <mergeCell ref="Y6:Y7"/>
    <mergeCell ref="Z6:Z7"/>
    <mergeCell ref="Q6:Q7"/>
    <mergeCell ref="R6:R7"/>
    <mergeCell ref="S6:S7"/>
    <mergeCell ref="T6:T7"/>
    <mergeCell ref="U6:U7"/>
    <mergeCell ref="V6:V7"/>
    <mergeCell ref="I6:I7"/>
    <mergeCell ref="J6:J7"/>
    <mergeCell ref="K6:K7"/>
    <mergeCell ref="L6:L7"/>
    <mergeCell ref="M6:M7"/>
    <mergeCell ref="N6:P6"/>
    <mergeCell ref="C6:C7"/>
    <mergeCell ref="D6:D7"/>
    <mergeCell ref="E6:E7"/>
    <mergeCell ref="F6:F7"/>
    <mergeCell ref="G6:G7"/>
    <mergeCell ref="H6:H7"/>
    <mergeCell ref="A1:B1"/>
    <mergeCell ref="Q1:V1"/>
    <mergeCell ref="A2:Z2"/>
    <mergeCell ref="A3:AA3"/>
    <mergeCell ref="U4:Z4"/>
    <mergeCell ref="A5:A7"/>
    <mergeCell ref="B5:B7"/>
    <mergeCell ref="C5:H5"/>
    <mergeCell ref="I5:Q5"/>
    <mergeCell ref="U5:Z5"/>
  </mergeCells>
  <printOptions horizontalCentered="1"/>
  <pageMargins left="0" right="0" top="0.5" bottom="0" header="0.3" footer="0.3"/>
  <pageSetup paperSize="8" scale="70" orientation="landscape" verticalDpi="0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Unknown Document Type" ma:contentTypeID="0x010104" ma:contentTypeVersion="0" ma:contentTypeDescription="" ma:contentTypeScope="" ma:versionID="05d83ceaa0bbd2e3bc716e6e66bd857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3d69fe45253d5ff147bb69036b756a7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0A245ED-2419-405F-9E57-CCEB6EAA9182}"/>
</file>

<file path=customXml/itemProps2.xml><?xml version="1.0" encoding="utf-8"?>
<ds:datastoreItem xmlns:ds="http://schemas.openxmlformats.org/officeDocument/2006/customXml" ds:itemID="{2722686B-4077-4451-A77A-3CF209A09659}"/>
</file>

<file path=customXml/itemProps3.xml><?xml version="1.0" encoding="utf-8"?>
<ds:datastoreItem xmlns:ds="http://schemas.openxmlformats.org/officeDocument/2006/customXml" ds:itemID="{B17582EF-7965-4B3C-9457-37433C5E064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Biểu số 66</vt:lpstr>
      <vt:lpstr>'Biểu số 66'!chuong_phuluc_54</vt:lpstr>
      <vt:lpstr>'Biểu số 66'!chuong_phuluc_54_name</vt:lpstr>
      <vt:lpstr>'Biểu số 66'!Print_Titles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AutoBVT</dc:creator>
  <cp:lastModifiedBy>AutoBVT</cp:lastModifiedBy>
  <dcterms:created xsi:type="dcterms:W3CDTF">2019-12-25T00:49:44Z</dcterms:created>
  <dcterms:modified xsi:type="dcterms:W3CDTF">2019-12-25T00:53:54Z</dcterms:modified>
</cp:coreProperties>
</file>