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1" activeTab="1"/>
  </bookViews>
  <sheets>
    <sheet name="62" sheetId="1" state="hidden" r:id="rId1"/>
    <sheet name="63" sheetId="3" r:id="rId2"/>
    <sheet name="51" sheetId="4" state="hidden" r:id="rId3"/>
    <sheet name="64" sheetId="6" state="hidden"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X31" i="14"/>
  <c r="U31"/>
  <c r="R31"/>
  <c r="O31"/>
  <c r="L31"/>
  <c r="I31"/>
  <c r="H31"/>
  <c r="AI31" s="1"/>
  <c r="G31"/>
  <c r="F31"/>
  <c r="E31"/>
  <c r="D31"/>
  <c r="AH31" s="1"/>
  <c r="X30"/>
  <c r="U30"/>
  <c r="R30"/>
  <c r="O30"/>
  <c r="L30"/>
  <c r="I30"/>
  <c r="H30"/>
  <c r="G30"/>
  <c r="AH30" s="1"/>
  <c r="E30"/>
  <c r="AI30" s="1"/>
  <c r="X29"/>
  <c r="U29"/>
  <c r="R29"/>
  <c r="O29"/>
  <c r="L29"/>
  <c r="J29"/>
  <c r="I29" s="1"/>
  <c r="H29"/>
  <c r="AI29" s="1"/>
  <c r="E29"/>
  <c r="D29"/>
  <c r="C29" s="1"/>
  <c r="X28"/>
  <c r="U28"/>
  <c r="R28"/>
  <c r="O28"/>
  <c r="L28"/>
  <c r="J28"/>
  <c r="I28" s="1"/>
  <c r="H28"/>
  <c r="AI28" s="1"/>
  <c r="E28"/>
  <c r="D28"/>
  <c r="C28" s="1"/>
  <c r="X27"/>
  <c r="U27"/>
  <c r="R27"/>
  <c r="O27"/>
  <c r="L27"/>
  <c r="I27"/>
  <c r="H27"/>
  <c r="G27"/>
  <c r="AH27" s="1"/>
  <c r="E27"/>
  <c r="AI27" s="1"/>
  <c r="D27"/>
  <c r="C27"/>
  <c r="X26"/>
  <c r="U26"/>
  <c r="R26"/>
  <c r="O26"/>
  <c r="L26"/>
  <c r="J26"/>
  <c r="I26"/>
  <c r="H26"/>
  <c r="AI26" s="1"/>
  <c r="G26"/>
  <c r="AH26" s="1"/>
  <c r="E26"/>
  <c r="D26"/>
  <c r="C26"/>
  <c r="X25"/>
  <c r="U25"/>
  <c r="R25"/>
  <c r="O25"/>
  <c r="L25"/>
  <c r="I25"/>
  <c r="H25"/>
  <c r="AI25" s="1"/>
  <c r="G25"/>
  <c r="F25"/>
  <c r="E25"/>
  <c r="D25"/>
  <c r="AH25" s="1"/>
  <c r="X24"/>
  <c r="U24"/>
  <c r="R24"/>
  <c r="O24"/>
  <c r="L24"/>
  <c r="I24"/>
  <c r="H24"/>
  <c r="G24"/>
  <c r="AH24" s="1"/>
  <c r="E24"/>
  <c r="AI24" s="1"/>
  <c r="D24"/>
  <c r="C24"/>
  <c r="X23"/>
  <c r="U23"/>
  <c r="R23"/>
  <c r="O23"/>
  <c r="L23"/>
  <c r="I23"/>
  <c r="H23"/>
  <c r="AI23" s="1"/>
  <c r="G23"/>
  <c r="F23"/>
  <c r="E23"/>
  <c r="D23"/>
  <c r="AH23" s="1"/>
  <c r="X22"/>
  <c r="U22"/>
  <c r="R22"/>
  <c r="O22"/>
  <c r="L22"/>
  <c r="K22"/>
  <c r="I22" s="1"/>
  <c r="H22"/>
  <c r="AI22" s="1"/>
  <c r="G22"/>
  <c r="AH22" s="1"/>
  <c r="F22"/>
  <c r="E22"/>
  <c r="D22"/>
  <c r="C22" s="1"/>
  <c r="X21"/>
  <c r="U21"/>
  <c r="R21"/>
  <c r="O21"/>
  <c r="L21"/>
  <c r="K21"/>
  <c r="I21" s="1"/>
  <c r="H21"/>
  <c r="AI21" s="1"/>
  <c r="G21"/>
  <c r="AH21" s="1"/>
  <c r="F21"/>
  <c r="E21"/>
  <c r="D21"/>
  <c r="C21" s="1"/>
  <c r="X20"/>
  <c r="U20"/>
  <c r="R20"/>
  <c r="O20"/>
  <c r="L20"/>
  <c r="I20"/>
  <c r="H20"/>
  <c r="AI20" s="1"/>
  <c r="G20"/>
  <c r="F20"/>
  <c r="AG20" s="1"/>
  <c r="C20"/>
  <c r="X19"/>
  <c r="U19"/>
  <c r="R19"/>
  <c r="O19"/>
  <c r="L19"/>
  <c r="I19"/>
  <c r="H19"/>
  <c r="AI19" s="1"/>
  <c r="G19"/>
  <c r="F19"/>
  <c r="AG19" s="1"/>
  <c r="C19"/>
  <c r="X18"/>
  <c r="U18"/>
  <c r="R18"/>
  <c r="O18"/>
  <c r="L18"/>
  <c r="I18"/>
  <c r="H18"/>
  <c r="AI18" s="1"/>
  <c r="G18"/>
  <c r="F18"/>
  <c r="AG18" s="1"/>
  <c r="E18"/>
  <c r="C18"/>
  <c r="X17"/>
  <c r="U17"/>
  <c r="R17"/>
  <c r="O17"/>
  <c r="L17"/>
  <c r="I17"/>
  <c r="H17"/>
  <c r="AI17" s="1"/>
  <c r="G17"/>
  <c r="F17" s="1"/>
  <c r="AG17" s="1"/>
  <c r="E17"/>
  <c r="C17" s="1"/>
  <c r="X16"/>
  <c r="U16"/>
  <c r="R16"/>
  <c r="O16"/>
  <c r="L16"/>
  <c r="I16"/>
  <c r="H16"/>
  <c r="AI16" s="1"/>
  <c r="G16"/>
  <c r="F16"/>
  <c r="AG16" s="1"/>
  <c r="C16"/>
  <c r="X15"/>
  <c r="U15"/>
  <c r="R15"/>
  <c r="O15"/>
  <c r="L15"/>
  <c r="I15"/>
  <c r="H15"/>
  <c r="AI15" s="1"/>
  <c r="G15"/>
  <c r="F15"/>
  <c r="AG15" s="1"/>
  <c r="C15"/>
  <c r="X14"/>
  <c r="U14"/>
  <c r="R14"/>
  <c r="O14"/>
  <c r="L14"/>
  <c r="I14"/>
  <c r="H14"/>
  <c r="AI14" s="1"/>
  <c r="G14"/>
  <c r="F14"/>
  <c r="AG14" s="1"/>
  <c r="E14"/>
  <c r="C14"/>
  <c r="X13"/>
  <c r="U13"/>
  <c r="U11" s="1"/>
  <c r="R13"/>
  <c r="O13"/>
  <c r="O11" s="1"/>
  <c r="L13"/>
  <c r="I13"/>
  <c r="I11" s="1"/>
  <c r="H13"/>
  <c r="AI13" s="1"/>
  <c r="G13"/>
  <c r="F13" s="1"/>
  <c r="E13"/>
  <c r="C13" s="1"/>
  <c r="X12"/>
  <c r="U12"/>
  <c r="R12"/>
  <c r="O12"/>
  <c r="L12"/>
  <c r="I12"/>
  <c r="H12"/>
  <c r="AI12" s="1"/>
  <c r="G12"/>
  <c r="F12"/>
  <c r="AG12" s="1"/>
  <c r="E12"/>
  <c r="C12"/>
  <c r="AF11"/>
  <c r="AE11"/>
  <c r="AD11"/>
  <c r="AC11"/>
  <c r="AB11"/>
  <c r="AA11"/>
  <c r="Z11"/>
  <c r="Y11"/>
  <c r="X11"/>
  <c r="W11"/>
  <c r="V11"/>
  <c r="T11"/>
  <c r="S11"/>
  <c r="R11"/>
  <c r="Q11"/>
  <c r="P11"/>
  <c r="N11"/>
  <c r="M11"/>
  <c r="L11"/>
  <c r="K11"/>
  <c r="J11"/>
  <c r="H11"/>
  <c r="D11"/>
  <c r="D10" i="12"/>
  <c r="T10" s="1"/>
  <c r="F10"/>
  <c r="H10"/>
  <c r="I10"/>
  <c r="J10"/>
  <c r="L10"/>
  <c r="N10"/>
  <c r="G10"/>
  <c r="P10"/>
  <c r="R10"/>
  <c r="Q10"/>
  <c r="R85" i="7"/>
  <c r="Q85"/>
  <c r="L85" s="1"/>
  <c r="I85"/>
  <c r="C85" s="1"/>
  <c r="U84"/>
  <c r="R84"/>
  <c r="L84"/>
  <c r="I84"/>
  <c r="C84"/>
  <c r="R83"/>
  <c r="Q83"/>
  <c r="L83"/>
  <c r="V83" s="1"/>
  <c r="I83"/>
  <c r="H83"/>
  <c r="E83"/>
  <c r="C83"/>
  <c r="R82"/>
  <c r="L82"/>
  <c r="I82"/>
  <c r="C82"/>
  <c r="R81"/>
  <c r="L81" s="1"/>
  <c r="V81" s="1"/>
  <c r="I81"/>
  <c r="C81" s="1"/>
  <c r="R80"/>
  <c r="L80"/>
  <c r="V80" s="1"/>
  <c r="I80"/>
  <c r="C80"/>
  <c r="R79"/>
  <c r="L79"/>
  <c r="I79"/>
  <c r="C79"/>
  <c r="R78"/>
  <c r="L78"/>
  <c r="I78"/>
  <c r="D78"/>
  <c r="W78" s="1"/>
  <c r="R77"/>
  <c r="L77" s="1"/>
  <c r="I77"/>
  <c r="C77" s="1"/>
  <c r="R76"/>
  <c r="M76"/>
  <c r="L76"/>
  <c r="I76"/>
  <c r="C76"/>
  <c r="T75"/>
  <c r="R75"/>
  <c r="Q75"/>
  <c r="M75"/>
  <c r="I75"/>
  <c r="E75"/>
  <c r="C75" s="1"/>
  <c r="R74"/>
  <c r="L74" s="1"/>
  <c r="I74"/>
  <c r="C74" s="1"/>
  <c r="X73"/>
  <c r="R73"/>
  <c r="L73" s="1"/>
  <c r="V73" s="1"/>
  <c r="I73"/>
  <c r="C73" s="1"/>
  <c r="R72"/>
  <c r="L72" s="1"/>
  <c r="I72"/>
  <c r="C72" s="1"/>
  <c r="R71"/>
  <c r="L71" s="1"/>
  <c r="I71"/>
  <c r="C71" s="1"/>
  <c r="R70"/>
  <c r="L70" s="1"/>
  <c r="I70"/>
  <c r="C70" s="1"/>
  <c r="X69"/>
  <c r="R69"/>
  <c r="L69" s="1"/>
  <c r="I69"/>
  <c r="C69" s="1"/>
  <c r="R68"/>
  <c r="L68" s="1"/>
  <c r="I68"/>
  <c r="C68" s="1"/>
  <c r="R67"/>
  <c r="L67" s="1"/>
  <c r="I67"/>
  <c r="C67" s="1"/>
  <c r="U66"/>
  <c r="T66"/>
  <c r="S66"/>
  <c r="R66" s="1"/>
  <c r="Q66"/>
  <c r="P66"/>
  <c r="O66"/>
  <c r="M66"/>
  <c r="K66"/>
  <c r="J66"/>
  <c r="I66"/>
  <c r="H66"/>
  <c r="G66"/>
  <c r="F66"/>
  <c r="E66"/>
  <c r="D66"/>
  <c r="C66"/>
  <c r="R65"/>
  <c r="L65"/>
  <c r="I65"/>
  <c r="C65"/>
  <c r="X64"/>
  <c r="R64"/>
  <c r="L64"/>
  <c r="V64" s="1"/>
  <c r="I64"/>
  <c r="C64"/>
  <c r="X63"/>
  <c r="R63"/>
  <c r="L63"/>
  <c r="V63" s="1"/>
  <c r="I63"/>
  <c r="C63"/>
  <c r="X62"/>
  <c r="R62"/>
  <c r="L62"/>
  <c r="V62" s="1"/>
  <c r="I62"/>
  <c r="C62"/>
  <c r="X61"/>
  <c r="R61"/>
  <c r="L61"/>
  <c r="V61" s="1"/>
  <c r="I61"/>
  <c r="C61"/>
  <c r="X60"/>
  <c r="R60"/>
  <c r="L60"/>
  <c r="V60" s="1"/>
  <c r="I60"/>
  <c r="C60"/>
  <c r="X59"/>
  <c r="R59"/>
  <c r="L59"/>
  <c r="V59" s="1"/>
  <c r="I59"/>
  <c r="C59"/>
  <c r="X58"/>
  <c r="R58"/>
  <c r="L58"/>
  <c r="V58" s="1"/>
  <c r="I58"/>
  <c r="C58"/>
  <c r="X57"/>
  <c r="R57"/>
  <c r="L57"/>
  <c r="V57" s="1"/>
  <c r="I57"/>
  <c r="C57"/>
  <c r="X56"/>
  <c r="R56"/>
  <c r="L56"/>
  <c r="V56" s="1"/>
  <c r="I56"/>
  <c r="C56"/>
  <c r="X55"/>
  <c r="R55"/>
  <c r="L55"/>
  <c r="V55" s="1"/>
  <c r="I55"/>
  <c r="C55"/>
  <c r="R54"/>
  <c r="L54"/>
  <c r="I54"/>
  <c r="E54"/>
  <c r="X54" s="1"/>
  <c r="X53"/>
  <c r="R53"/>
  <c r="L53" s="1"/>
  <c r="V53" s="1"/>
  <c r="I53"/>
  <c r="E53"/>
  <c r="C53"/>
  <c r="R52"/>
  <c r="L52"/>
  <c r="I52"/>
  <c r="E52"/>
  <c r="X52" s="1"/>
  <c r="X51"/>
  <c r="R51"/>
  <c r="L51" s="1"/>
  <c r="I51"/>
  <c r="C51" s="1"/>
  <c r="X50"/>
  <c r="R50"/>
  <c r="L50" s="1"/>
  <c r="V50" s="1"/>
  <c r="I50"/>
  <c r="C50" s="1"/>
  <c r="X49"/>
  <c r="R49"/>
  <c r="L49" s="1"/>
  <c r="I49"/>
  <c r="C49" s="1"/>
  <c r="X48"/>
  <c r="R48"/>
  <c r="L48" s="1"/>
  <c r="V48" s="1"/>
  <c r="I48"/>
  <c r="C48" s="1"/>
  <c r="R47"/>
  <c r="L47" s="1"/>
  <c r="I47"/>
  <c r="C47" s="1"/>
  <c r="X46"/>
  <c r="R46"/>
  <c r="L46" s="1"/>
  <c r="I46"/>
  <c r="C46" s="1"/>
  <c r="X45"/>
  <c r="R45"/>
  <c r="L45" s="1"/>
  <c r="V45" s="1"/>
  <c r="I45"/>
  <c r="E45"/>
  <c r="C45"/>
  <c r="R44"/>
  <c r="N44"/>
  <c r="N75" s="1"/>
  <c r="I44"/>
  <c r="E44"/>
  <c r="C44"/>
  <c r="X43"/>
  <c r="R43"/>
  <c r="L43"/>
  <c r="V43" s="1"/>
  <c r="I43"/>
  <c r="C43"/>
  <c r="X42"/>
  <c r="R42"/>
  <c r="L42"/>
  <c r="V42" s="1"/>
  <c r="I42"/>
  <c r="C42"/>
  <c r="X41"/>
  <c r="R41"/>
  <c r="L41"/>
  <c r="V41" s="1"/>
  <c r="I41"/>
  <c r="C41"/>
  <c r="X40"/>
  <c r="R40"/>
  <c r="L40"/>
  <c r="V40" s="1"/>
  <c r="I40"/>
  <c r="C40"/>
  <c r="R39"/>
  <c r="L39"/>
  <c r="I39"/>
  <c r="C39"/>
  <c r="X38"/>
  <c r="R38"/>
  <c r="L38"/>
  <c r="V38" s="1"/>
  <c r="I38"/>
  <c r="C38"/>
  <c r="X37"/>
  <c r="R37"/>
  <c r="L37"/>
  <c r="V37" s="1"/>
  <c r="I37"/>
  <c r="C37"/>
  <c r="X36"/>
  <c r="R36"/>
  <c r="L36"/>
  <c r="V36" s="1"/>
  <c r="I36"/>
  <c r="C36"/>
  <c r="X35"/>
  <c r="R35"/>
  <c r="L35"/>
  <c r="V35" s="1"/>
  <c r="I35"/>
  <c r="C35"/>
  <c r="X34"/>
  <c r="R34"/>
  <c r="L34"/>
  <c r="V34" s="1"/>
  <c r="I34"/>
  <c r="C34"/>
  <c r="X33"/>
  <c r="R33"/>
  <c r="L33"/>
  <c r="V33" s="1"/>
  <c r="I33"/>
  <c r="C33"/>
  <c r="X32"/>
  <c r="R32"/>
  <c r="L32"/>
  <c r="V32" s="1"/>
  <c r="I32"/>
  <c r="C32"/>
  <c r="R31"/>
  <c r="N31"/>
  <c r="X31" s="1"/>
  <c r="I31"/>
  <c r="C31" s="1"/>
  <c r="X30"/>
  <c r="R30"/>
  <c r="M30"/>
  <c r="L30"/>
  <c r="V30" s="1"/>
  <c r="I30"/>
  <c r="C30"/>
  <c r="X29"/>
  <c r="R29"/>
  <c r="L29"/>
  <c r="V29" s="1"/>
  <c r="I29"/>
  <c r="C29"/>
  <c r="X28"/>
  <c r="R28"/>
  <c r="L28"/>
  <c r="V28" s="1"/>
  <c r="I28"/>
  <c r="C28"/>
  <c r="X27"/>
  <c r="R27"/>
  <c r="L27"/>
  <c r="V27" s="1"/>
  <c r="I27"/>
  <c r="C27"/>
  <c r="X26"/>
  <c r="R26"/>
  <c r="L26"/>
  <c r="V26" s="1"/>
  <c r="I26"/>
  <c r="C26"/>
  <c r="R25"/>
  <c r="L25"/>
  <c r="I25"/>
  <c r="E25"/>
  <c r="X25" s="1"/>
  <c r="X24"/>
  <c r="R24"/>
  <c r="L24" s="1"/>
  <c r="V24" s="1"/>
  <c r="I24"/>
  <c r="E24"/>
  <c r="C24"/>
  <c r="R23"/>
  <c r="L23"/>
  <c r="I23"/>
  <c r="E23"/>
  <c r="X23" s="1"/>
  <c r="X22"/>
  <c r="R22"/>
  <c r="L22" s="1"/>
  <c r="I22"/>
  <c r="C22" s="1"/>
  <c r="X21"/>
  <c r="R21"/>
  <c r="L21" s="1"/>
  <c r="V21" s="1"/>
  <c r="I21"/>
  <c r="C21" s="1"/>
  <c r="X20"/>
  <c r="R20"/>
  <c r="L20" s="1"/>
  <c r="I20"/>
  <c r="C20" s="1"/>
  <c r="X19"/>
  <c r="R19"/>
  <c r="L19" s="1"/>
  <c r="V19" s="1"/>
  <c r="I19"/>
  <c r="C19" s="1"/>
  <c r="X18"/>
  <c r="R18"/>
  <c r="L18" s="1"/>
  <c r="I18"/>
  <c r="C18" s="1"/>
  <c r="X17"/>
  <c r="R17"/>
  <c r="L17" s="1"/>
  <c r="V17" s="1"/>
  <c r="I17"/>
  <c r="C17" s="1"/>
  <c r="X16"/>
  <c r="R16"/>
  <c r="L16" s="1"/>
  <c r="V16" s="1"/>
  <c r="I16"/>
  <c r="E16"/>
  <c r="C16"/>
  <c r="X15"/>
  <c r="R15"/>
  <c r="L15"/>
  <c r="V15" s="1"/>
  <c r="I15"/>
  <c r="C15"/>
  <c r="R14"/>
  <c r="L14"/>
  <c r="I14"/>
  <c r="E14"/>
  <c r="X14" s="1"/>
  <c r="X13"/>
  <c r="R13"/>
  <c r="L13" s="1"/>
  <c r="I13"/>
  <c r="C13" s="1"/>
  <c r="X12"/>
  <c r="R12"/>
  <c r="L12" s="1"/>
  <c r="V12" s="1"/>
  <c r="I12"/>
  <c r="C12" s="1"/>
  <c r="X11"/>
  <c r="R11"/>
  <c r="L11" s="1"/>
  <c r="I11"/>
  <c r="C11" s="1"/>
  <c r="U10"/>
  <c r="T10"/>
  <c r="S10"/>
  <c r="Q10"/>
  <c r="P10"/>
  <c r="O10"/>
  <c r="M10"/>
  <c r="K10"/>
  <c r="J10"/>
  <c r="I10"/>
  <c r="H10"/>
  <c r="G10"/>
  <c r="F10"/>
  <c r="E10"/>
  <c r="D10"/>
  <c r="U9"/>
  <c r="T9"/>
  <c r="S9"/>
  <c r="Q9"/>
  <c r="P9"/>
  <c r="O9"/>
  <c r="M9"/>
  <c r="W9" s="1"/>
  <c r="K9"/>
  <c r="J9"/>
  <c r="I9"/>
  <c r="H9"/>
  <c r="G9"/>
  <c r="F9"/>
  <c r="E9"/>
  <c r="D9"/>
  <c r="E48" i="5"/>
  <c r="E47"/>
  <c r="C46"/>
  <c r="F45"/>
  <c r="E45"/>
  <c r="F44"/>
  <c r="E44"/>
  <c r="F43"/>
  <c r="E43"/>
  <c r="E42"/>
  <c r="F41"/>
  <c r="E41"/>
  <c r="F40"/>
  <c r="E40"/>
  <c r="F39"/>
  <c r="E39"/>
  <c r="F38"/>
  <c r="E38"/>
  <c r="F37"/>
  <c r="E37"/>
  <c r="F36"/>
  <c r="E36"/>
  <c r="F35"/>
  <c r="E35"/>
  <c r="F34"/>
  <c r="E34"/>
  <c r="F33"/>
  <c r="E33"/>
  <c r="F32"/>
  <c r="E32"/>
  <c r="F31"/>
  <c r="E31"/>
  <c r="F30"/>
  <c r="E30"/>
  <c r="F29"/>
  <c r="E29"/>
  <c r="D28"/>
  <c r="E28" s="1"/>
  <c r="C28"/>
  <c r="C27"/>
  <c r="E27" s="1"/>
  <c r="E26"/>
  <c r="E25"/>
  <c r="E24"/>
  <c r="E23"/>
  <c r="E22"/>
  <c r="E21"/>
  <c r="E20"/>
  <c r="E19"/>
  <c r="E18"/>
  <c r="E17"/>
  <c r="E16"/>
  <c r="E15"/>
  <c r="E14"/>
  <c r="E13"/>
  <c r="C12"/>
  <c r="F12" s="1"/>
  <c r="D11"/>
  <c r="E11" s="1"/>
  <c r="C11"/>
  <c r="D10"/>
  <c r="E10" s="1"/>
  <c r="C10"/>
  <c r="D9"/>
  <c r="E9" s="1"/>
  <c r="C8"/>
  <c r="G34" i="6"/>
  <c r="F34"/>
  <c r="H33"/>
  <c r="G33"/>
  <c r="F33" s="1"/>
  <c r="C33"/>
  <c r="F32"/>
  <c r="C32"/>
  <c r="F31"/>
  <c r="C31"/>
  <c r="F30"/>
  <c r="C30"/>
  <c r="F29"/>
  <c r="C29"/>
  <c r="F28"/>
  <c r="E28"/>
  <c r="D28"/>
  <c r="C28"/>
  <c r="F27"/>
  <c r="D27"/>
  <c r="C27" s="1"/>
  <c r="K26"/>
  <c r="F26"/>
  <c r="D26"/>
  <c r="J26" s="1"/>
  <c r="G25"/>
  <c r="J25" s="1"/>
  <c r="D25"/>
  <c r="C25" s="1"/>
  <c r="F24"/>
  <c r="D24"/>
  <c r="C24"/>
  <c r="G23"/>
  <c r="J23" s="1"/>
  <c r="F23"/>
  <c r="I23" s="1"/>
  <c r="D23"/>
  <c r="C23"/>
  <c r="J22"/>
  <c r="H22"/>
  <c r="K22" s="1"/>
  <c r="G22"/>
  <c r="F22"/>
  <c r="I22" s="1"/>
  <c r="D22"/>
  <c r="C22"/>
  <c r="F21"/>
  <c r="C21"/>
  <c r="J20"/>
  <c r="H20"/>
  <c r="K20" s="1"/>
  <c r="G20"/>
  <c r="F20"/>
  <c r="I20" s="1"/>
  <c r="D20"/>
  <c r="C20"/>
  <c r="H19"/>
  <c r="K19" s="1"/>
  <c r="G19"/>
  <c r="F19"/>
  <c r="E19"/>
  <c r="D19"/>
  <c r="J19" s="1"/>
  <c r="F18"/>
  <c r="D18"/>
  <c r="C18"/>
  <c r="F17"/>
  <c r="C17"/>
  <c r="F16"/>
  <c r="C16"/>
  <c r="F15"/>
  <c r="C15"/>
  <c r="F14"/>
  <c r="C14"/>
  <c r="F13"/>
  <c r="C13"/>
  <c r="F12"/>
  <c r="C12"/>
  <c r="H11"/>
  <c r="K11" s="1"/>
  <c r="G11"/>
  <c r="F11"/>
  <c r="E11"/>
  <c r="D11"/>
  <c r="J11" s="1"/>
  <c r="G10"/>
  <c r="E10"/>
  <c r="E9" s="1"/>
  <c r="E8" s="1"/>
  <c r="F80" i="3"/>
  <c r="D80"/>
  <c r="F79"/>
  <c r="D79"/>
  <c r="F78"/>
  <c r="D78"/>
  <c r="F77"/>
  <c r="D77"/>
  <c r="F76"/>
  <c r="D76"/>
  <c r="G74"/>
  <c r="G73"/>
  <c r="G72"/>
  <c r="G71"/>
  <c r="F69"/>
  <c r="E69"/>
  <c r="G69" s="1"/>
  <c r="D69"/>
  <c r="C69"/>
  <c r="F68"/>
  <c r="D68"/>
  <c r="F67"/>
  <c r="D67"/>
  <c r="F66"/>
  <c r="D66"/>
  <c r="F65"/>
  <c r="D65"/>
  <c r="G64"/>
  <c r="F64"/>
  <c r="H64" s="1"/>
  <c r="D64"/>
  <c r="E63"/>
  <c r="F63" s="1"/>
  <c r="D63"/>
  <c r="C63"/>
  <c r="G62"/>
  <c r="F62"/>
  <c r="H62" s="1"/>
  <c r="D62"/>
  <c r="F61"/>
  <c r="F60"/>
  <c r="F59"/>
  <c r="F58"/>
  <c r="F57"/>
  <c r="D57"/>
  <c r="F56"/>
  <c r="C56"/>
  <c r="G56" s="1"/>
  <c r="G55"/>
  <c r="F55"/>
  <c r="H55" s="1"/>
  <c r="D55"/>
  <c r="G54"/>
  <c r="F54"/>
  <c r="H54" s="1"/>
  <c r="D54"/>
  <c r="G53"/>
  <c r="F53"/>
  <c r="H53" s="1"/>
  <c r="D53"/>
  <c r="G52"/>
  <c r="F52"/>
  <c r="H52" s="1"/>
  <c r="D52"/>
  <c r="F51"/>
  <c r="D51"/>
  <c r="F50"/>
  <c r="F49"/>
  <c r="G48"/>
  <c r="F48"/>
  <c r="H48" s="1"/>
  <c r="D48"/>
  <c r="F47"/>
  <c r="E47"/>
  <c r="G47" s="1"/>
  <c r="F46"/>
  <c r="H46" s="1"/>
  <c r="E46"/>
  <c r="G46" s="1"/>
  <c r="D46"/>
  <c r="C46"/>
  <c r="G45"/>
  <c r="F45"/>
  <c r="H45" s="1"/>
  <c r="D45"/>
  <c r="G44"/>
  <c r="G43"/>
  <c r="F43"/>
  <c r="H43" s="1"/>
  <c r="D43"/>
  <c r="F42"/>
  <c r="H42" s="1"/>
  <c r="E42"/>
  <c r="G42" s="1"/>
  <c r="D42"/>
  <c r="C42"/>
  <c r="G41"/>
  <c r="F41"/>
  <c r="H41" s="1"/>
  <c r="D41"/>
  <c r="D40"/>
  <c r="F39"/>
  <c r="D39"/>
  <c r="G38"/>
  <c r="F38"/>
  <c r="H38" s="1"/>
  <c r="D38"/>
  <c r="G37"/>
  <c r="F37"/>
  <c r="H37" s="1"/>
  <c r="D37"/>
  <c r="G36"/>
  <c r="F36"/>
  <c r="H36" s="1"/>
  <c r="D36"/>
  <c r="G35"/>
  <c r="F35"/>
  <c r="H35" s="1"/>
  <c r="D35"/>
  <c r="F34"/>
  <c r="H34" s="1"/>
  <c r="E34"/>
  <c r="G34" s="1"/>
  <c r="D34"/>
  <c r="C34"/>
  <c r="D33"/>
  <c r="F32"/>
  <c r="D32"/>
  <c r="F31"/>
  <c r="D31"/>
  <c r="F30"/>
  <c r="D30"/>
  <c r="G29"/>
  <c r="F29"/>
  <c r="H29" s="1"/>
  <c r="D29"/>
  <c r="G28"/>
  <c r="F28"/>
  <c r="H28" s="1"/>
  <c r="D28"/>
  <c r="G27"/>
  <c r="F27"/>
  <c r="H27" s="1"/>
  <c r="D27"/>
  <c r="F26"/>
  <c r="H26" s="1"/>
  <c r="E26"/>
  <c r="G26" s="1"/>
  <c r="D26"/>
  <c r="C26"/>
  <c r="F25"/>
  <c r="D25"/>
  <c r="F24"/>
  <c r="D24"/>
  <c r="F23"/>
  <c r="D23"/>
  <c r="F22"/>
  <c r="D22"/>
  <c r="F21"/>
  <c r="D21"/>
  <c r="F20"/>
  <c r="D20"/>
  <c r="F19"/>
  <c r="E19"/>
  <c r="D19"/>
  <c r="C19"/>
  <c r="D18"/>
  <c r="F17"/>
  <c r="D17"/>
  <c r="F16"/>
  <c r="F15"/>
  <c r="D15"/>
  <c r="F14"/>
  <c r="D14"/>
  <c r="G13"/>
  <c r="F13"/>
  <c r="H13" s="1"/>
  <c r="D13"/>
  <c r="G12"/>
  <c r="F12"/>
  <c r="H12" s="1"/>
  <c r="D12"/>
  <c r="F11"/>
  <c r="H11" s="1"/>
  <c r="E11"/>
  <c r="G11" s="1"/>
  <c r="D11"/>
  <c r="C11"/>
  <c r="E10"/>
  <c r="G10" s="1"/>
  <c r="C10"/>
  <c r="E9"/>
  <c r="G9" s="1"/>
  <c r="C9"/>
  <c r="E8"/>
  <c r="G8" s="1"/>
  <c r="C8"/>
  <c r="E41" i="1"/>
  <c r="F40"/>
  <c r="E40"/>
  <c r="E39"/>
  <c r="D38"/>
  <c r="E38" s="1"/>
  <c r="C38"/>
  <c r="E36"/>
  <c r="C36"/>
  <c r="D35"/>
  <c r="D32"/>
  <c r="D31"/>
  <c r="E31" s="1"/>
  <c r="E30"/>
  <c r="C30"/>
  <c r="F30" s="1"/>
  <c r="C29"/>
  <c r="F29" s="1"/>
  <c r="D28"/>
  <c r="C28"/>
  <c r="C27"/>
  <c r="E27" s="1"/>
  <c r="E26"/>
  <c r="C26"/>
  <c r="F26" s="1"/>
  <c r="D25"/>
  <c r="E25" s="1"/>
  <c r="C25"/>
  <c r="D24"/>
  <c r="C24"/>
  <c r="E24" s="1"/>
  <c r="D23"/>
  <c r="F23" s="1"/>
  <c r="C23"/>
  <c r="E23" s="1"/>
  <c r="D22"/>
  <c r="F22" s="1"/>
  <c r="C22"/>
  <c r="E22" s="1"/>
  <c r="D21"/>
  <c r="F21" s="1"/>
  <c r="C21"/>
  <c r="D20"/>
  <c r="F20" s="1"/>
  <c r="C20"/>
  <c r="D19"/>
  <c r="E19" s="1"/>
  <c r="D18"/>
  <c r="E18" s="1"/>
  <c r="D17"/>
  <c r="E17" s="1"/>
  <c r="D16"/>
  <c r="E16" s="1"/>
  <c r="E15"/>
  <c r="D14"/>
  <c r="E14" s="1"/>
  <c r="E13"/>
  <c r="D13"/>
  <c r="F13" s="1"/>
  <c r="D12"/>
  <c r="E12" s="1"/>
  <c r="C12"/>
  <c r="F11"/>
  <c r="E11"/>
  <c r="F10"/>
  <c r="E10"/>
  <c r="D9"/>
  <c r="E9" s="1"/>
  <c r="C9"/>
  <c r="D8"/>
  <c r="D33" s="1"/>
  <c r="C8"/>
  <c r="C33" s="1"/>
  <c r="C37" s="1"/>
  <c r="A3" i="14"/>
  <c r="A1"/>
  <c r="A3" i="12"/>
  <c r="A1"/>
  <c r="A1" i="11"/>
  <c r="A3" i="7"/>
  <c r="A1"/>
  <c r="A3" i="5"/>
  <c r="A1"/>
  <c r="A3" i="6"/>
  <c r="A1"/>
  <c r="A3" i="3"/>
  <c r="A1"/>
  <c r="AG13" i="14" l="1"/>
  <c r="AI11"/>
  <c r="AG22"/>
  <c r="AG21"/>
  <c r="AG25"/>
  <c r="E11"/>
  <c r="C23"/>
  <c r="C11" s="1"/>
  <c r="F24"/>
  <c r="AG24" s="1"/>
  <c r="C25"/>
  <c r="F26"/>
  <c r="AG26" s="1"/>
  <c r="F27"/>
  <c r="AG27" s="1"/>
  <c r="G28"/>
  <c r="G29"/>
  <c r="C30"/>
  <c r="F30"/>
  <c r="C31"/>
  <c r="AG31" s="1"/>
  <c r="X10" i="12"/>
  <c r="V11" i="7"/>
  <c r="L75"/>
  <c r="V75" s="1"/>
  <c r="X75"/>
  <c r="N66"/>
  <c r="X66" s="1"/>
  <c r="V13"/>
  <c r="V18"/>
  <c r="V20"/>
  <c r="V22"/>
  <c r="V46"/>
  <c r="V49"/>
  <c r="V51"/>
  <c r="L66"/>
  <c r="V66" s="1"/>
  <c r="V69"/>
  <c r="N10"/>
  <c r="R10"/>
  <c r="R9" s="1"/>
  <c r="C14"/>
  <c r="C10" s="1"/>
  <c r="C9" s="1"/>
  <c r="C23"/>
  <c r="V23" s="1"/>
  <c r="C25"/>
  <c r="V25" s="1"/>
  <c r="L31"/>
  <c r="V31" s="1"/>
  <c r="L44"/>
  <c r="V44" s="1"/>
  <c r="X44"/>
  <c r="C52"/>
  <c r="V52" s="1"/>
  <c r="C54"/>
  <c r="V54" s="1"/>
  <c r="C78"/>
  <c r="V78" s="1"/>
  <c r="F9" i="5"/>
  <c r="F10"/>
  <c r="F11"/>
  <c r="E12"/>
  <c r="F27"/>
  <c r="F28"/>
  <c r="D8"/>
  <c r="G9" i="6"/>
  <c r="D10"/>
  <c r="D9" s="1"/>
  <c r="D8" s="1"/>
  <c r="F10"/>
  <c r="H10"/>
  <c r="C11"/>
  <c r="C10" s="1"/>
  <c r="C9" s="1"/>
  <c r="C8" s="1"/>
  <c r="C19"/>
  <c r="I19" s="1"/>
  <c r="F25"/>
  <c r="I25" s="1"/>
  <c r="C26"/>
  <c r="I26" s="1"/>
  <c r="H63" i="3"/>
  <c r="F10"/>
  <c r="H56"/>
  <c r="D56"/>
  <c r="D10" s="1"/>
  <c r="D9" s="1"/>
  <c r="D8" s="1"/>
  <c r="G63"/>
  <c r="E28" i="1"/>
  <c r="E37"/>
  <c r="C35"/>
  <c r="E35" s="1"/>
  <c r="F33"/>
  <c r="E33"/>
  <c r="F8"/>
  <c r="F9"/>
  <c r="F12"/>
  <c r="F14"/>
  <c r="E20"/>
  <c r="E21"/>
  <c r="F25"/>
  <c r="E29"/>
  <c r="D34"/>
  <c r="E34" s="1"/>
  <c r="F38"/>
  <c r="E8"/>
  <c r="B49" i="14"/>
  <c r="B45"/>
  <c r="B42"/>
  <c r="V11" i="1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F28" i="14" l="1"/>
  <c r="AG28" s="1"/>
  <c r="AH28"/>
  <c r="F29"/>
  <c r="AG29" s="1"/>
  <c r="AH29"/>
  <c r="G11"/>
  <c r="AH11" s="1"/>
  <c r="AG30"/>
  <c r="AG23"/>
  <c r="F11"/>
  <c r="AG11" s="1"/>
  <c r="C10" i="12"/>
  <c r="E10"/>
  <c r="O10"/>
  <c r="W10" s="1"/>
  <c r="V14" i="7"/>
  <c r="X10"/>
  <c r="N9"/>
  <c r="X9" s="1"/>
  <c r="L10"/>
  <c r="F8" i="5"/>
  <c r="E8"/>
  <c r="K10" i="6"/>
  <c r="H9"/>
  <c r="J10"/>
  <c r="I10"/>
  <c r="F9"/>
  <c r="J9"/>
  <c r="G8"/>
  <c r="J8" s="1"/>
  <c r="I11"/>
  <c r="H10" i="3"/>
  <c r="F9"/>
  <c r="N13" i="19"/>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M10" i="12" l="1"/>
  <c r="U10" s="1"/>
  <c r="V10" i="7"/>
  <c r="L9"/>
  <c r="V9" s="1"/>
  <c r="K9" i="6"/>
  <c r="H8"/>
  <c r="K8" s="1"/>
  <c r="I9"/>
  <c r="F8"/>
  <c r="I8" s="1"/>
  <c r="H9" i="3"/>
  <c r="F8"/>
  <c r="H8" s="1"/>
  <c r="Y482" i="19"/>
  <c r="J479"/>
  <c r="X479"/>
  <c r="L479"/>
  <c r="R356"/>
  <c r="Y521"/>
  <c r="R124"/>
  <c r="L521"/>
  <c r="V378"/>
  <c r="V357"/>
  <c r="V356" s="1"/>
  <c r="V14"/>
  <c r="V13" s="1"/>
  <c r="V125"/>
  <c r="V124" s="1"/>
  <c r="K10" i="12" l="1"/>
  <c r="S10" s="1"/>
  <c r="J478" i="19"/>
  <c r="X478"/>
  <c r="L478"/>
  <c r="P479"/>
  <c r="Y479"/>
  <c r="Y478" l="1"/>
  <c r="P478"/>
  <c r="J477"/>
  <c r="X477"/>
  <c r="L477"/>
  <c r="P477" l="1"/>
  <c r="Y477"/>
  <c r="J476"/>
  <c r="X476"/>
  <c r="L476"/>
  <c r="P476" l="1"/>
  <c r="Y476"/>
  <c r="X475"/>
  <c r="L475"/>
  <c r="J475"/>
  <c r="Y475" l="1"/>
  <c r="P475"/>
  <c r="J474"/>
  <c r="X474"/>
  <c r="L474"/>
  <c r="Y474" l="1"/>
  <c r="P474"/>
  <c r="L473"/>
  <c r="J473"/>
  <c r="X473"/>
  <c r="N99" i="7"/>
  <c r="N102" s="1"/>
  <c r="N98"/>
  <c r="J472" i="19" l="1"/>
  <c r="X472"/>
  <c r="L472"/>
  <c r="P473"/>
  <c r="Y473"/>
  <c r="J471" l="1"/>
  <c r="X471"/>
  <c r="L471"/>
  <c r="Y472"/>
  <c r="P472"/>
  <c r="J470" l="1"/>
  <c r="X470"/>
  <c r="L470"/>
  <c r="P471"/>
  <c r="Y471"/>
  <c r="P470" l="1"/>
  <c r="Y470"/>
  <c r="J469"/>
  <c r="X469"/>
  <c r="L469"/>
  <c r="J468" l="1"/>
  <c r="X468"/>
  <c r="L468"/>
  <c r="P469"/>
  <c r="Y469"/>
  <c r="N95" i="7"/>
  <c r="X467" i="19" l="1"/>
  <c r="L467"/>
  <c r="J467"/>
  <c r="Y468"/>
  <c r="P468"/>
  <c r="J466" l="1"/>
  <c r="X466"/>
  <c r="L466"/>
  <c r="Y467"/>
  <c r="P467"/>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K13"/>
  <c r="K14"/>
  <c r="K15"/>
  <c r="K17"/>
  <c r="K18"/>
  <c r="K19"/>
  <c r="K21"/>
  <c r="T21" s="1"/>
  <c r="F304" i="18"/>
  <c r="F318"/>
  <c r="F317"/>
  <c r="F316"/>
  <c r="F313"/>
  <c r="E379"/>
  <c r="E376"/>
  <c r="E371"/>
  <c r="E350"/>
  <c r="E348"/>
  <c r="E345"/>
  <c r="E317" s="1"/>
  <c r="E264"/>
  <c r="F264" s="1"/>
  <c r="E6"/>
  <c r="E5" s="1"/>
  <c r="Y466" i="19" l="1"/>
  <c r="P466"/>
  <c r="X465"/>
  <c r="L465"/>
  <c r="J465"/>
  <c r="P10" i="11"/>
  <c r="K11"/>
  <c r="T11" s="1"/>
  <c r="J464" i="19" l="1"/>
  <c r="X464"/>
  <c r="L464"/>
  <c r="P465"/>
  <c r="Y465"/>
  <c r="F21" i="11"/>
  <c r="F20"/>
  <c r="F19"/>
  <c r="F18"/>
  <c r="F17"/>
  <c r="F16"/>
  <c r="F15"/>
  <c r="F14"/>
  <c r="F13"/>
  <c r="F12"/>
  <c r="F11"/>
  <c r="D10"/>
  <c r="E10"/>
  <c r="G10"/>
  <c r="H10"/>
  <c r="I10"/>
  <c r="J10"/>
  <c r="K10"/>
  <c r="T10" s="1"/>
  <c r="L10"/>
  <c r="M10"/>
  <c r="N10"/>
  <c r="O10"/>
  <c r="Q10"/>
  <c r="R10"/>
  <c r="C10"/>
  <c r="J463" i="19" l="1"/>
  <c r="X463"/>
  <c r="L463"/>
  <c r="P464"/>
  <c r="Y464"/>
  <c r="F10" i="11"/>
  <c r="J462" i="19" l="1"/>
  <c r="X462"/>
  <c r="L462"/>
  <c r="Y463"/>
  <c r="P463"/>
  <c r="P462" l="1"/>
  <c r="Y462"/>
  <c r="J461"/>
  <c r="X461"/>
  <c r="L461"/>
  <c r="P461" l="1"/>
  <c r="Y461"/>
  <c r="J460"/>
  <c r="X460"/>
  <c r="L460"/>
  <c r="Y460" l="1"/>
  <c r="P460"/>
  <c r="X459"/>
  <c r="X458" s="1"/>
  <c r="L459"/>
  <c r="J459"/>
  <c r="J458" s="1"/>
  <c r="L458" l="1"/>
  <c r="Y459"/>
  <c r="Y458" s="1"/>
  <c r="P459"/>
  <c r="P458" s="1"/>
  <c r="X456"/>
  <c r="L456"/>
  <c r="J456"/>
  <c r="C10" i="4"/>
  <c r="E10" s="1"/>
  <c r="C31"/>
  <c r="C32"/>
  <c r="D28"/>
  <c r="C28"/>
  <c r="C27" s="1"/>
  <c r="C18"/>
  <c r="E18" s="1"/>
  <c r="D9"/>
  <c r="D8" s="1"/>
  <c r="D7" s="1"/>
  <c r="E19"/>
  <c r="E21"/>
  <c r="E22"/>
  <c r="E24"/>
  <c r="E25"/>
  <c r="E30"/>
  <c r="E31"/>
  <c r="E33"/>
  <c r="C7" l="1"/>
  <c r="E27"/>
  <c r="Y456" i="19"/>
  <c r="P456"/>
  <c r="J455"/>
  <c r="X455"/>
  <c r="L455"/>
  <c r="E28" i="4"/>
  <c r="C9"/>
  <c r="C8" s="1"/>
  <c r="L454" i="19" l="1"/>
  <c r="J454"/>
  <c r="X454"/>
  <c r="P455"/>
  <c r="Y455"/>
  <c r="E9" i="4"/>
  <c r="E7"/>
  <c r="E8"/>
  <c r="X453" i="19" l="1"/>
  <c r="L453"/>
  <c r="J453"/>
  <c r="Y454"/>
  <c r="P454"/>
  <c r="L452" l="1"/>
  <c r="X452"/>
  <c r="J452"/>
  <c r="Y453"/>
  <c r="P453"/>
  <c r="Y452" l="1"/>
  <c r="P452"/>
  <c r="J451"/>
  <c r="X451"/>
  <c r="L451"/>
  <c r="I8" i="3" l="1"/>
  <c r="Y451" i="19"/>
  <c r="P451"/>
  <c r="L450"/>
  <c r="J450"/>
  <c r="X450"/>
  <c r="J449" l="1"/>
  <c r="L449"/>
  <c r="X449"/>
  <c r="Y450"/>
  <c r="P450"/>
  <c r="J8" i="3" l="1"/>
  <c r="X448" i="19"/>
  <c r="J448"/>
  <c r="L448"/>
  <c r="Y449"/>
  <c r="P449"/>
  <c r="X447" l="1"/>
  <c r="J447"/>
  <c r="L447"/>
  <c r="P448"/>
  <c r="Y448"/>
  <c r="Y447" l="1"/>
  <c r="P447"/>
  <c r="X446"/>
  <c r="J446"/>
  <c r="L446"/>
  <c r="X445" l="1"/>
  <c r="L445"/>
  <c r="J445"/>
  <c r="Y446"/>
  <c r="P446"/>
  <c r="X444" l="1"/>
  <c r="J444"/>
  <c r="L444"/>
  <c r="Y445"/>
  <c r="P445"/>
  <c r="J443"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<sst xmlns="http://schemas.openxmlformats.org/spreadsheetml/2006/main" count="3147" uniqueCount="1431">
  <si>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</si>
  <si>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</si>
  <si>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</si>
  <si>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</si>
  <si>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</si>
  <si>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</si>
  <si>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</si>
  <si>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</si>
  <si>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</si>
  <si>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</si>
  <si>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</si>
  <si>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</si>
  <si>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</si>
  <si>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</si>
  <si>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</si>
  <si>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</si>
  <si>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</si>
  <si>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</si>
  <si>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</si>
  <si>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</si>
  <si>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</si>
  <si>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</si>
  <si>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</si>
  <si>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</si>
  <si>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</si>
  <si>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</si>
  <si>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</si>
  <si>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</si>
  <si>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</si>
  <si>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</si>
  <si>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</si>
  <si>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</si>
  <si>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</si>
  <si>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</si>
  <si>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</si>
  <si>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</si>
  <si>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</si>
  <si>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</si>
  <si>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</si>
  <si>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</si>
  <si>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</si>
  <si>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</si>
  <si>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</si>
  <si>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</si>
  <si>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</si>
  <si>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</si>
  <si>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</si>
  <si>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</si>
  <si>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</si>
  <si>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</si>
  <si>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</si>
  <si>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</si>
  <si>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</si>
  <si>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</si>
  <si>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</si>
  <si>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</si>
  <si>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</si>
  <si>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</si>
  <si>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</si>
  <si>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</si>
  <si>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</si>
  <si>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</si>
  <si>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</si>
  <si>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</si>
  <si>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</si>
  <si>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</si>
  <si>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</si>
  <si>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</si>
  <si>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</si>
  <si>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</si>
  <si>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</si>
  <si>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</si>
  <si>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</si>
  <si>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</si>
  <si>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</si>
  <si>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</si>
  <si>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</si>
  <si>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</si>
  <si>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</si>
  <si>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</si>
  <si>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</si>
  <si>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</si>
  <si>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</si>
  <si>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</si>
  <si>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</si>
  <si>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</si>
  <si>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</si>
  <si>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</si>
  <si>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</si>
  <si>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</si>
  <si>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</si>
  <si>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</si>
  <si>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</si>
  <si>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</si>
  <si>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</si>
  <si>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</si>
  <si>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</si>
  <si>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</si>
  <si>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</si>
  <si>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</si>
  <si>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</si>
  <si>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</si>
  <si>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</si>
  <si>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</si>
  <si>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</si>
  <si>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</si>
  <si>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</si>
  <si>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</si>
  <si>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</si>
  <si>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</si>
  <si>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</si>
  <si>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</si>
  <si>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</si>
  <si>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</si>
  <si>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</si>
  <si>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</si>
  <si>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</si>
  <si>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</si>
  <si>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</si>
  <si>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</si>
  <si>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</si>
  <si>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</si>
  <si>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</si>
  <si>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</si>
  <si>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</si>
  <si>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</si>
  <si>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</si>
  <si>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</si>
  <si>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</si>
  <si>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</si>
  <si>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</si>
  <si>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</si>
  <si>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</si>
  <si>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</si>
  <si>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</si>
  <si>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</si>
  <si>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</si>
  <si>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</si>
  <si>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</si>
  <si>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</si>
  <si>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</si>
  <si>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</si>
  <si>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</si>
  <si>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</si>
  <si>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</si>
  <si>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</si>
  <si>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</si>
  <si>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</si>
  <si>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</si>
  <si>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</si>
  <si>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</si>
  <si>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</si>
  <si>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</si>
  <si>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</si>
  <si>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</si>
  <si>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</si>
  <si>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</si>
  <si>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</si>
  <si>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</si>
  <si>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</si>
  <si>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</si>
  <si>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</si>
  <si>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</si>
  <si>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</si>
  <si>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</si>
  <si>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</si>
  <si>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</si>
  <si>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</si>
  <si>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</si>
  <si>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</si>
  <si>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</si>
  <si>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</si>
  <si>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</si>
  <si>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</si>
  <si>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</si>
  <si>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</si>
  <si>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</si>
  <si>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</si>
  <si>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</si>
  <si>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</si>
  <si>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</si>
  <si>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</si>
  <si>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</si>
  <si>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</si>
  <si>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</si>
  <si>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</si>
  <si>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</si>
  <si>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</si>
  <si>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</si>
  <si>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</si>
  <si>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</si>
  <si>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</si>
  <si>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</si>
  <si>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</si>
  <si>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</si>
  <si>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</si>
  <si>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</si>
  <si>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</si>
  <si>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</si>
  <si>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</si>
  <si>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</si>
  <si>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</si>
  <si>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</si>
  <si>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</si>
  <si>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</si>
  <si>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</si>
  <si>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</si>
  <si>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</si>
  <si>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</si>
  <si>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</si>
  <si>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</si>
  <si>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</si>
  <si>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</si>
  <si>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</si>
  <si>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</si>
  <si>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</si>
  <si>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</si>
  <si>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</si>
  <si>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</si>
  <si>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</si>
  <si>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</si>
  <si>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</si>
  <si>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</si>
  <si>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</si>
  <si>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</si>
  <si>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</si>
  <si>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</si>
  <si>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</si>
  <si>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</si>
  <si>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</si>
  <si>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</si>
  <si>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</si>
  <si>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</si>
  <si>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</si>
  <si>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</si>
  <si>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</si>
  <si>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</si>
  <si>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</si>
  <si>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</si>
  <si>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</si>
  <si>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</si>
  <si>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</si>
  <si>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</si>
  <si>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</si>
  <si>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</si>
  <si>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</si>
  <si>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</si>
  <si>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</si>
  <si>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</si>
  <si>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</si>
  <si>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</si>
  <si>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</si>
  <si>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</si>
  <si>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</si>
  <si>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</si>
  <si>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</si>
  <si>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</si>
  <si>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</si>
  <si>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</si>
  <si>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</si>
  <si>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</si>
  <si>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</si>
  <si>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</si>
  <si>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</si>
  <si>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</si>
  <si>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</si>
  <si>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</si>
  <si>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</si>
  <si>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</si>
  <si>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</si>
  <si>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</si>
  <si>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</si>
  <si>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</si>
  <si>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</si>
  <si>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</si>
  <si>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</si>
  <si>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</si>
  <si>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</si>
  <si>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</si>
  <si>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</si>
  <si>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</si>
  <si>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</si>
  <si>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</si>
  <si>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</si>
  <si>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</si>
  <si>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</si>
  <si>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</si>
  <si>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</si>
  <si>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</si>
  <si>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</si>
  <si>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</si>
  <si>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</si>
  <si>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</si>
  <si>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</si>
  <si>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</si>
  <si>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</si>
  <si>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</si>
  <si>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</si>
  <si>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</si>
  <si>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</si>
  <si>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</si>
  <si>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</si>
  <si>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</si>
  <si>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</si>
  <si>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</si>
  <si>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</si>
  <si>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</si>
  <si>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</si>
  <si>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</si>
  <si>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</si>
  <si>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</si>
  <si>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</si>
  <si>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</si>
  <si>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</si>
  <si>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</si>
  <si>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</si>
  <si>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</si>
  <si>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</si>
  <si>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</si>
  <si>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</si>
  <si>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</si>
  <si>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</si>
  <si>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</si>
  <si>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</si>
  <si>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</si>
  <si>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</si>
  <si>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</si>
  <si>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</si>
  <si>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</si>
  <si>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</si>
  <si>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</si>
  <si>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</si>
  <si>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</si>
  <si>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</si>
  <si>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</si>
  <si>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</si>
  <si>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</si>
  <si>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</si>
  <si>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</si>
  <si>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</si>
  <si>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</si>
  <si>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</si>
  <si>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</si>
  <si>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</si>
  <si>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</si>
  <si>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</si>
  <si>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</si>
  <si>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</si>
  <si>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</si>
  <si>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</si>
  <si>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</si>
  <si>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</si>
  <si>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</si>
  <si>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</si>
  <si>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</si>
  <si>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</si>
  <si>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</si>
  <si>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</si>
  <si>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</si>
  <si>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</si>
  <si>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</si>
  <si>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</si>
  <si>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</si>
  <si>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</si>
  <si>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</si>
  <si>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</si>
  <si>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</si>
  <si>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</si>
  <si>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</si>
  <si>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</si>
  <si>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</si>
  <si>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</si>
  <si>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</si>
  <si>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</si>
  <si>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</si>
  <si>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</si>
  <si>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</si>
  <si>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</si>
  <si>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</si>
  <si>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</si>
  <si>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</si>
  <si>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</si>
  <si>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</si>
  <si>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</si>
  <si>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</si>
  <si>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</si>
  <si>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</si>
  <si>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</si>
  <si>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</si>
  <si>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</si>
  <si>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</si>
  <si>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</si>
  <si>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</si>
  <si>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</si>
  <si>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</si>
  <si>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</si>
  <si>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</si>
  <si>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</si>
  <si>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</si>
  <si>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</si>
  <si>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</si>
  <si>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</si>
  <si>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</si>
  <si>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</si>
  <si>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</si>
  <si>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</si>
  <si>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</si>
  <si>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</si>
  <si>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</si>
  <si>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</si>
  <si>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</si>
  <si>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</si>
  <si>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</si>
  <si>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</si>
  <si>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</si>
  <si>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</si>
  <si>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</si>
  <si>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</si>
  <si>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</si>
  <si>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</si>
  <si>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</si>
  <si>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</si>
  <si>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</si>
  <si>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</si>
  <si>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</si>
  <si>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</si>
  <si>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</si>
  <si>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</si>
  <si>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</si>
  <si>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</si>
  <si>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</si>
  <si>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</si>
  <si>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</si>
  <si>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</si>
  <si>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</si>
  <si>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</si>
  <si>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</si>
  <si>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</si>
  <si>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</si>
  <si>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</si>
  <si>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</si>
  <si>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</si>
  <si>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</si>
  <si>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</si>
  <si>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</si>
  <si>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</si>
  <si>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</si>
  <si>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</si>
  <si>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</si>
  <si>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</si>
  <si>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</si>
  <si>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</si>
  <si>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</si>
  <si>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</si>
  <si>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</si>
  <si>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</si>
  <si>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</si>
  <si>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</si>
  <si>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</si>
  <si>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</si>
  <si>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</si>
  <si>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</si>
  <si>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</si>
  <si>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</si>
  <si>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</si>
  <si>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</si>
  <si>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</si>
  <si>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</si>
  <si>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</si>
  <si>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</si>
  <si>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</si>
  <si>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</si>
  <si>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</si>
  <si>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</si>
  <si>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</si>
  <si>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</si>
  <si>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</si>
  <si>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</si>
  <si>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</si>
  <si>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</si>
  <si>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</si>
  <si>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</si>
  <si>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</si>
  <si>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</si>
  <si>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</si>
  <si>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</si>
  <si>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</si>
  <si>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</si>
  <si>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</si>
  <si>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</si>
  <si>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</si>
  <si>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</si>
  <si>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</si>
  <si>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</si>
  <si>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</si>
  <si>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</si>
  <si>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</si>
  <si>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</si>
  <si>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</si>
  <si>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</si>
  <si>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</si>
  <si>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</si>
  <si>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</si>
  <si>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</si>
  <si>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</si>
  <si>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</si>
  <si>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</si>
  <si>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</si>
  <si>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</si>
  <si>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</si>
  <si>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</si>
  <si>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</si>
  <si>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</si>
  <si>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</si>
  <si>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</si>
  <si>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</si>
  <si>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</si>
  <si>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</si>
  <si>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</si>
  <si>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</si>
  <si>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</si>
  <si>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</si>
  <si>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</si>
  <si>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</si>
  <si>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</si>
  <si>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</si>
  <si>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</si>
  <si>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</si>
  <si>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</si>
  <si>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</si>
  <si>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</si>
  <si>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</si>
  <si>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</si>
  <si>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</si>
  <si>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</si>
  <si>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</si>
  <si>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</si>
  <si>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</si>
  <si>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</si>
  <si>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</si>
  <si>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</si>
  <si>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</si>
  <si>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</si>
  <si>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</si>
  <si>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</si>
  <si>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</si>
  <si>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</si>
  <si>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</si>
  <si>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</si>
  <si>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</si>
  <si>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</si>
  <si>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</si>
  <si>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</si>
  <si>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</si>
  <si>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</si>
  <si>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</si>
  <si>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</si>
  <si>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</si>
  <si>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</si>
  <si>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</si>
  <si>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</si>
  <si>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</si>
  <si>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</si>
  <si>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</si>
  <si>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</si>
  <si>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</si>
  <si>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</si>
  <si>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</si>
  <si>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</si>
  <si>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</si>
  <si>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</si>
  <si>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</si>
  <si>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</si>
  <si>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</si>
  <si>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</si>
  <si>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</si>
  <si>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</si>
  <si>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</si>
  <si>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</si>
  <si>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</si>
  <si>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</si>
  <si>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</si>
  <si>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</si>
  <si>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</si>
  <si>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</si>
  <si>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</si>
  <si>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</si>
  <si>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</si>
  <si>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</si>
  <si>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</si>
  <si>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</si>
  <si>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</si>
  <si>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</si>
  <si>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</si>
  <si>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</si>
  <si>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</si>
  <si>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</si>
  <si>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</si>
  <si>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</si>
  <si>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</si>
  <si>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</si>
  <si>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</si>
  <si>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</si>
  <si>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</si>
  <si>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</si>
  <si>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</si>
  <si>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</si>
  <si>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</si>
  <si>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</si>
  <si>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</si>
  <si>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</si>
  <si>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</si>
  <si>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</si>
  <si>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</si>
  <si>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</si>
  <si>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</si>
  <si>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</si>
  <si>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</si>
  <si>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</si>
  <si>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</si>
  <si>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</si>
  <si>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</si>
  <si>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</si>
  <si>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</si>
  <si>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</si>
  <si>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</si>
  <si>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</si>
  <si>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</si>
  <si>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</si>
  <si>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</si>
  <si>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</si>
  <si>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</si>
  <si>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</si>
  <si>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</si>
  <si>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</si>
  <si>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</si>
  <si>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</si>
  <si>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</si>
  <si>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</si>
  <si>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</si>
  <si>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</si>
  <si>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</si>
  <si>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</si>
  <si>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</si>
  <si>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</si>
  <si>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</si>
  <si>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</si>
  <si>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</si>
  <si>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</si>
  <si>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</si>
  <si>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</si>
  <si>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</si>
  <si>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</si>
  <si>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</si>
  <si>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</si>
  <si>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</si>
  <si>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</si>
  <si>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</si>
  <si>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</si>
  <si>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</si>
  <si>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</si>
  <si>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</si>
  <si>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</si>
  <si>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</si>
  <si>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</si>
  <si>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</si>
  <si>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</si>
  <si>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</si>
  <si>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</si>
  <si>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</si>
  <si>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</si>
  <si>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</si>
  <si>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</si>
  <si>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</si>
  <si>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</si>
  <si>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</si>
  <si>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</si>
  <si>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</si>
  <si>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</si>
  <si>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</si>
  <si>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</si>
  <si>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</si>
  <si>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</si>
  <si>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</si>
  <si>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</si>
  <si>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</si>
  <si>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</si>
  <si>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</si>
  <si>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</si>
  <si>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</si>
  <si>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</si>
  <si>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</si>
  <si>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</si>
  <si>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</si>
  <si>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</si>
  <si>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</si>
  <si>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</si>
  <si>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</si>
  <si>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</si>
  <si>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</si>
  <si>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</si>
  <si>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</si>
  <si>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</si>
  <si>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</si>
  <si>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</si>
  <si>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</si>
  <si>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</si>
  <si>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</si>
  <si>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</si>
  <si>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</si>
  <si>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</si>
  <si>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</si>
  <si>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</si>
  <si>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</si>
  <si>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</si>
  <si>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</si>
  <si>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</si>
  <si>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</si>
  <si>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</si>
  <si>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</si>
  <si>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</si>
  <si>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</si>
  <si>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</si>
  <si>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</si>
  <si>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</si>
  <si>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</si>
  <si>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</si>
  <si>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</si>
  <si>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</si>
  <si>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</si>
  <si>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</si>
  <si>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</si>
  <si>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</si>
  <si>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</si>
  <si>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</si>
  <si>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</si>
  <si>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</si>
  <si>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</si>
  <si>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</si>
  <si>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</si>
  <si>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</si>
  <si>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</si>
  <si>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</si>
  <si>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</si>
  <si>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</si>
  <si>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</si>
  <si>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</si>
  <si>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</si>
  <si>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</si>
  <si>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</si>
  <si>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</si>
  <si>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</si>
  <si>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</si>
  <si>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</si>
  <si>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</si>
  <si>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</si>
  <si>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</si>
  <si>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</si>
  <si>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</si>
  <si>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</si>
  <si>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</si>
  <si>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</si>
  <si>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</si>
  <si>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</si>
  <si>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</si>
  <si>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</si>
  <si>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</si>
  <si>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</si>
  <si>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</si>
  <si>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</si>
  <si>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</si>
  <si>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</si>
  <si>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</si>
  <si>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</si>
  <si>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</si>
  <si>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</si>
  <si>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</si>
  <si>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</si>
  <si>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</si>
  <si>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</si>
  <si>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</si>
  <si>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</si>
  <si>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</si>
  <si>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</si>
  <si>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</si>
  <si>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</si>
  <si>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</si>
  <si>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</si>
  <si>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</si>
  <si>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</si>
  <si>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</si>
  <si>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</si>
  <si>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</si>
  <si>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</si>
  <si>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</si>
  <si>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</si>
  <si>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</si>
  <si>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</si>
  <si>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</si>
  <si>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</si>
  <si>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</si>
  <si>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</si>
  <si>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</si>
  <si>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</si>
  <si>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</si>
  <si>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</si>
  <si>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</si>
  <si>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</si>
  <si>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</si>
  <si>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</si>
  <si>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</si>
  <si>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</si>
  <si>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</si>
  <si>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</si>
  <si>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</si>
  <si>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</si>
  <si>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</si>
  <si>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</si>
  <si>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</si>
  <si>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</si>
  <si>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</si>
  <si>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</si>
  <si>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</si>
  <si>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</si>
  <si>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</si>
  <si>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</si>
  <si>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</si>
  <si>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</si>
  <si>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</si>
  <si>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</si>
  <si>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</si>
  <si>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</si>
  <si>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</si>
  <si>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</si>
  <si>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</si>
  <si>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</si>
  <si>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</si>
  <si>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</si>
  <si>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</si>
  <si>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</si>
  <si>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</si>
  <si>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</si>
  <si>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</si>
  <si>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</si>
  <si>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</si>
  <si>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</si>
  <si>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</si>
  <si>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</si>
  <si>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</si>
  <si>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</si>
  <si>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</si>
  <si>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</si>
  <si>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</si>
  <si>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</si>
  <si>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</si>
  <si>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</si>
  <si>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</si>
  <si>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</si>
  <si>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</si>
  <si>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</si>
  <si>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</si>
  <si>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</si>
  <si>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</si>
  <si>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</si>
  <si>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</si>
  <si>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</si>
  <si>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</si>
  <si>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</si>
  <si>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</si>
  <si>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</si>
  <si>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</si>
  <si>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</si>
  <si>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</si>
  <si>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</si>
  <si>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</si>
  <si>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</si>
  <si>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</si>
  <si>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</si>
  <si>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</si>
  <si>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</si>
  <si>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</si>
  <si>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</si>
  <si>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</si>
  <si>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</si>
  <si>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</si>
  <si>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</si>
  <si>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</si>
  <si>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</si>
  <si>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</si>
  <si>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</si>
  <si>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</si>
  <si>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</si>
  <si>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</si>
  <si>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</si>
  <si>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</si>
  <si>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</si>
  <si>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</si>
  <si>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</si>
  <si>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</si>
  <si>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</si>
  <si>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</si>
  <si>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</si>
  <si>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</si>
  <si>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</si>
  <si>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</si>
  <si>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</si>
  <si>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</si>
  <si>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</si>
  <si>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</si>
  <si>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</si>
  <si>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</si>
  <si>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</si>
  <si>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</si>
  <si>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</si>
  <si>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</si>
  <si>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</si>
  <si>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</si>
  <si>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</si>
  <si>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</si>
  <si>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</si>
  <si>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</si>
  <si>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</si>
  <si>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</si>
  <si>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</si>
  <si>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</si>
  <si>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</si>
  <si>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</si>
  <si>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</si>
  <si>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</si>
  <si>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</si>
  <si>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</si>
  <si>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</si>
  <si>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</si>
  <si>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</si>
  <si>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</si>
  <si>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</si>
  <si>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</si>
  <si>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</si>
  <si>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</si>
  <si>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</si>
  <si>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</si>
  <si>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</si>
  <si>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</si>
  <si>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</si>
  <si>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</si>
  <si>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</si>
  <si>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</si>
  <si>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</si>
  <si>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</si>
  <si>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</si>
  <si>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</si>
  <si>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</si>
  <si>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</si>
  <si>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</si>
  <si>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</si>
  <si>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</si>
  <si>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</si>
  <si>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</si>
  <si>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</si>
  <si>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</si>
  <si>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</si>
  <si>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</si>
  <si>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</si>
  <si>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</si>
  <si>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</si>
  <si>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</si>
  <si>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</si>
  <si>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</si>
  <si>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</si>
  <si>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</si>
  <si>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</si>
  <si>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</si>
  <si>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</si>
  <si>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</si>
  <si>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</si>
  <si>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</si>
  <si>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</si>
  <si>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</si>
  <si>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</si>
  <si>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</si>
  <si>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</si>
  <si>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</si>
  <si>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</si>
  <si>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</si>
  <si>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</si>
  <si>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</si>
  <si>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</si>
  <si>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</si>
  <si>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</si>
  <si>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</si>
  <si>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</si>
  <si>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</si>
  <si>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</si>
  <si>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</si>
  <si>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</si>
  <si>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</si>
  <si>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</si>
  <si>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</si>
  <si>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</si>
  <si>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</si>
  <si>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</si>
  <si>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</si>
  <si>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</si>
  <si>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</si>
  <si>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</si>
  <si>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</si>
  <si>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</si>
  <si>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</si>
  <si>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</si>
  <si>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</si>
  <si>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</si>
  <si>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</si>
  <si>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</si>
  <si>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</si>
  <si>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</si>
  <si>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</si>
  <si>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</si>
  <si>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</si>
  <si>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</si>
  <si>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</si>
  <si>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</si>
  <si>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</si>
  <si>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</si>
  <si>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</si>
  <si>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</si>
  <si>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</si>
  <si>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</si>
  <si>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</si>
  <si>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</si>
  <si>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</si>
  <si>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</si>
  <si>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</si>
  <si>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</si>
  <si>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</si>
  <si>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</si>
  <si>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</si>
  <si>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</si>
  <si>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</si>
  <si>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</si>
  <si>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</si>
  <si>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</si>
  <si>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</si>
  <si>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</si>
  <si>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</si>
  <si>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</si>
  <si>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</si>
  <si>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</si>
  <si>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</si>
  <si>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</si>
  <si>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</si>
  <si>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</si>
  <si>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</si>
  <si>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</si>
  <si>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</si>
  <si>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</si>
  <si>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</si>
  <si>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</si>
  <si>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</si>
  <si>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</si>
  <si>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</si>
  <si>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</si>
  <si>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</si>
  <si>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</si>
  <si>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</si>
  <si>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</si>
  <si>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</si>
  <si>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</si>
  <si>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</si>
  <si>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</si>
  <si>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</si>
  <si>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</si>
  <si>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</si>
  <si>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</si>
  <si>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</si>
  <si>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</si>
  <si>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</si>
  <si>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</si>
  <si>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</si>
  <si>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</si>
  <si>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</si>
  <si>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</si>
  <si>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</si>
  <si>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</si>
  <si>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</si>
  <si>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</si>
  <si>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</si>
  <si>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</si>
  <si>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</si>
  <si>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</si>
  <si>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</si>
  <si>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</si>
  <si>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</si>
  <si>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</si>
  <si>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</si>
  <si>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</si>
  <si>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</si>
  <si>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</si>
  <si>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</si>
  <si>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</si>
  <si>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</si>
  <si>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</si>
  <si>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</si>
  <si>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</si>
  <si>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</si>
  <si>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</si>
  <si>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</si>
  <si>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</si>
  <si>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</si>
  <si>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</si>
  <si>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</si>
  <si>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</si>
  <si>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</si>
  <si>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</si>
  <si>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</si>
  <si>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</si>
  <si>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</si>
  <si>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</si>
  <si>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</si>
  <si>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</si>
  <si>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</si>
  <si>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</si>
  <si>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</si>
  <si>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</si>
  <si>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</si>
  <si>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</si>
  <si>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</si>
  <si>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</si>
  <si>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</si>
  <si>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</si>
  <si>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</si>
  <si>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</si>
  <si>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</si>
  <si>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</si>
  <si>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</si>
  <si>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</si>
  <si>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</si>
  <si>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</si>
  <si>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</si>
  <si>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</si>
  <si>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</si>
  <si>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</si>
  <si>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</si>
  <si>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</si>
  <si>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</si>
  <si>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</si>
  <si>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</si>
  <si>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</si>
  <si>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</si>
  <si>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</si>
  <si>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</si>
  <si>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</si>
  <si>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</si>
  <si>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</si>
  <si>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</si>
  <si>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</si>
  <si>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</si>
  <si>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</si>
  <si>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</si>
  <si>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</si>
  <si>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</si>
  <si>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</si>
  <si>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</si>
  <si>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</si>
  <si>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</si>
  <si>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</si>
  <si>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</si>
  <si>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</si>
  <si>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</si>
  <si>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</si>
  <si>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</si>
  <si>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</si>
  <si>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</si>
  <si>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</si>
  <si>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</si>
  <si>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</si>
  <si>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</si>
  <si>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</si>
  <si>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</si>
  <si>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</si>
  <si>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</si>
  <si>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</si>
  <si>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</si>
  <si>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</si>
  <si>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</si>
  <si>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</si>
  <si>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</si>
  <si>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</si>
  <si>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</si>
  <si>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</si>
  <si>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</si>
  <si>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</si>
  <si>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</si>
  <si>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</si>
  <si>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</si>
  <si>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</si>
  <si>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</si>
  <si>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</si>
  <si>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</si>
  <si>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</si>
  <si>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</si>
  <si>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</si>
  <si>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</si>
  <si>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</si>
  <si>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</si>
  <si>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</si>
  <si>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</si>
  <si>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</si>
  <si>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</si>
  <si>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</si>
  <si>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</si>
  <si>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</si>
  <si>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</si>
  <si>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</si>
  <si>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</si>
  <si>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</si>
  <si>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</si>
  <si>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</si>
  <si>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</si>
  <si>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</si>
  <si>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</si>
  <si>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</si>
  <si>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</si>
  <si>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</si>
  <si>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</si>
  <si>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</si>
  <si>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</si>
  <si>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</si>
  <si>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</si>
  <si>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</si>
  <si>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</si>
  <si>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</si>
  <si>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</si>
  <si>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</si>
  <si>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</si>
  <si>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</si>
  <si>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</si>
  <si>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</si>
  <si>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</si>
  <si>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</si>
  <si>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</si>
  <si>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</si>
  <si>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</si>
  <si>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</si>
  <si>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</si>
  <si>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</si>
  <si>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</si>
  <si>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</si>
  <si>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</si>
  <si>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</si>
  <si>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</si>
  <si>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</si>
  <si>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</si>
  <si>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</si>
  <si>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</si>
  <si>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</si>
  <si>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</si>
  <si>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</si>
  <si>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</si>
  <si>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</si>
  <si>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</si>
  <si>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</si>
  <si>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</si>
  <si>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</si>
  <si>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</si>
  <si>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</si>
  <si>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</si>
  <si>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</si>
  <si>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</si>
  <si>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</si>
  <si>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</si>
  <si>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</si>
  <si>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</si>
  <si>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</si>
  <si>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</si>
  <si>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</si>
  <si>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</si>
  <si>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</si>
  <si>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</si>
  <si>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</si>
  <si>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</si>
  <si>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</si>
  <si>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</si>
  <si>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</si>
  <si>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</si>
  <si>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</si>
  <si>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</si>
  <si>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</si>
  <si>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</si>
  <si>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</si>
  <si>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</si>
  <si>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</si>
  <si>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</si>
  <si>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</si>
  <si>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</si>
  <si>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</si>
  <si>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</si>
  <si>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</si>
  <si>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</si>
  <si>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</si>
  <si>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</si>
  <si>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</si>
  <si>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</si>
  <si>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</si>
  <si>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</si>
  <si>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</si>
  <si>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</si>
  <si>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</si>
  <si>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</si>
  <si>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</si>
  <si>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</si>
  <si>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</si>
  <si>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</si>
  <si>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</si>
  <si>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</si>
  <si>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</si>
  <si>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</si>
  <si>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</si>
  <si>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</si>
  <si>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</si>
  <si>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</si>
  <si>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</si>
  <si>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</si>
  <si>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</si>
  <si>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</si>
  <si>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</si>
  <si>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</si>
  <si>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</si>
  <si>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</si>
  <si>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</si>
  <si>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</si>
  <si>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</si>
  <si>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</si>
  <si>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</si>
  <si>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</si>
  <si>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</si>
  <si>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</si>
  <si>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</si>
  <si>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</si>
  <si>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</si>
  <si>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</si>
  <si>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</si>
  <si>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</si>
  <si>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</si>
  <si>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</si>
  <si>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</si>
  <si>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</si>
  <si>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</si>
  <si>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</si>
  <si>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</si>
  <si>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</si>
  <si>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</si>
  <si>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</si>
  <si>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</si>
  <si>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</si>
  <si>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</si>
  <si>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</si>
  <si>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</si>
  <si>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</si>
  <si>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</si>
  <si>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</si>
  <si>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</si>
  <si>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</si>
  <si>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</si>
  <si>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</si>
  <si>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</si>
  <si>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</si>
  <si>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</si>
  <si>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</si>
  <si>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</si>
  <si>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</si>
  <si>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</si>
  <si>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</si>
  <si>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</si>
  <si>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</si>
  <si>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</si>
  <si>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</si>
  <si>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</si>
  <si>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</si>
  <si>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</si>
  <si>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</si>
  <si>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</si>
  <si>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</si>
  <si>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</si>
  <si>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</si>
  <si>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</si>
  <si>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</si>
  <si>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</si>
  <si>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</si>
  <si>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</si>
  <si>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</si>
  <si>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</si>
  <si>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</si>
  <si>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</si>
  <si>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</si>
  <si>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</si>
  <si>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</si>
  <si>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</si>
  <si>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</si>
  <si>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</si>
  <si>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</si>
  <si>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</si>
  <si>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</si>
  <si>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</si>
  <si>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</si>
  <si>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</si>
  <si>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</si>
  <si>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</si>
  <si>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</si>
  <si>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</si>
  <si>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</si>
  <si>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</si>
  <si>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</si>
  <si>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</si>
  <si>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</si>
  <si>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</si>
  <si>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</si>
  <si>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</si>
  <si>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</si>
  <si>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</si>
  <si>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</si>
  <si>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</si>
  <si>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</si>
  <si>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CHI BỔ SUNG CÂN ĐỐI CHO NGÂN SÁCH CẤP DƯỚI (1)</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</si>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</sst>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13">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center"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3" fillId="0" borderId="0" xfId="0" applyNumberFormat="1" applyFont="1" applyFill="1" applyAlignment="1">
      <alignment horizontal="lef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5" fillId="0" borderId="3" xfId="0" applyNumberFormat="1" applyFont="1" applyFill="1" applyBorder="1" applyAlignment="1">
      <alignment horizontal="center"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3" fontId="3" fillId="0" borderId="0" xfId="0" applyNumberFormat="1" applyFont="1" applyAlignment="1">
      <alignment horizont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31" fillId="4" borderId="21" xfId="0" applyFont="1" applyFill="1" applyBorder="1" applyAlignment="1">
      <alignment horizontal="center" vertical="center" wrapText="1"/>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cell r="L10">
            <v>3121630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opLeftCell="A25" workbookViewId="0">
      <selection activeCell="A3" sqref="A3:H3"/>
    </sheetView>
  </sheetViews>
  <sheetFormatPr defaultRowHeight="15.75"/>
  <cols>
    <col min="1" max="1" width="6.85546875" style="256" customWidth="1"/>
    <col min="2" max="2" width="40.42578125" style="256" customWidth="1"/>
    <col min="3" max="3" width="11.7109375" style="256" customWidth="1"/>
    <col min="4" max="4" width="12" style="256" bestFit="1" customWidth="1"/>
    <col min="5" max="5" width="12" style="311" hidden="1" customWidth="1"/>
    <col min="6" max="6" width="10.7109375" style="256" customWidth="1"/>
    <col min="7" max="16384" width="9.140625" style="256"/>
  </cols>
  <sheetData>
    <row r="1" spans="1:6" ht="21" customHeight="1">
      <c r="A1" s="331" t="s">
        <v>1406</v>
      </c>
      <c r="B1" s="331"/>
      <c r="C1" s="331"/>
      <c r="D1" s="333" t="s">
        <v>1407</v>
      </c>
      <c r="E1" s="333"/>
      <c r="F1" s="333"/>
    </row>
    <row r="2" spans="1:6" ht="25.5" customHeight="1">
      <c r="A2" s="333" t="s">
        <v>1418</v>
      </c>
      <c r="B2" s="333"/>
      <c r="C2" s="333"/>
      <c r="D2" s="333"/>
      <c r="E2" s="333"/>
      <c r="F2" s="333"/>
    </row>
    <row r="3" spans="1:6">
      <c r="A3" s="334" t="s">
        <v>1416</v>
      </c>
      <c r="B3" s="334"/>
      <c r="C3" s="334"/>
      <c r="D3" s="334"/>
      <c r="E3" s="334"/>
      <c r="F3" s="334"/>
    </row>
    <row r="4" spans="1:6" ht="15.75" customHeight="1">
      <c r="A4" s="289"/>
      <c r="D4" s="332" t="s">
        <v>1</v>
      </c>
      <c r="E4" s="332"/>
      <c r="F4" s="332"/>
    </row>
    <row r="5" spans="1:6">
      <c r="A5" s="330" t="s">
        <v>2</v>
      </c>
      <c r="B5" s="330" t="s">
        <v>1393</v>
      </c>
      <c r="C5" s="330" t="s">
        <v>3</v>
      </c>
      <c r="D5" s="330" t="s">
        <v>4</v>
      </c>
      <c r="E5" s="330" t="s">
        <v>5</v>
      </c>
      <c r="F5" s="330"/>
    </row>
    <row r="6" spans="1:6" ht="31.5" customHeight="1">
      <c r="A6" s="330"/>
      <c r="B6" s="330"/>
      <c r="C6" s="330"/>
      <c r="D6" s="330"/>
      <c r="E6" s="312" t="s">
        <v>6</v>
      </c>
      <c r="F6" s="312" t="s">
        <v>1414</v>
      </c>
    </row>
    <row r="7" spans="1:6">
      <c r="A7" s="302" t="s">
        <v>7</v>
      </c>
      <c r="B7" s="302" t="s">
        <v>8</v>
      </c>
      <c r="C7" s="302">
        <v>1</v>
      </c>
      <c r="D7" s="302">
        <v>2</v>
      </c>
      <c r="E7" s="302" t="s">
        <v>9</v>
      </c>
      <c r="F7" s="302" t="s">
        <v>128</v>
      </c>
    </row>
    <row r="8" spans="1:6" s="260" customFormat="1">
      <c r="A8" s="299" t="s">
        <v>7</v>
      </c>
      <c r="B8" s="300" t="s">
        <v>10</v>
      </c>
      <c r="C8" s="300">
        <f>C9+C12+C15+C16+C17</f>
        <v>10266719</v>
      </c>
      <c r="D8" s="300">
        <f>D9+D12+D15+D16+D17+D18+D19</f>
        <v>14040950</v>
      </c>
      <c r="E8" s="317">
        <f>D8-C8</f>
        <v>3774231</v>
      </c>
      <c r="F8" s="301">
        <f>D8/C8*100</f>
        <v>136.76180287003083</v>
      </c>
    </row>
    <row r="9" spans="1:6" s="260" customFormat="1">
      <c r="A9" s="290" t="s">
        <v>11</v>
      </c>
      <c r="B9" s="291" t="s">
        <v>12</v>
      </c>
      <c r="C9" s="291">
        <f>C10+C11</f>
        <v>7089400</v>
      </c>
      <c r="D9" s="291">
        <f>D10+D11</f>
        <v>7878999</v>
      </c>
      <c r="E9" s="292">
        <f t="shared" ref="E9:E41" si="0">D9-C9</f>
        <v>789599</v>
      </c>
      <c r="F9" s="293">
        <f t="shared" ref="F9:F40" si="1">D9/C9*100</f>
        <v>111.13774085254042</v>
      </c>
    </row>
    <row r="10" spans="1:6">
      <c r="A10" s="294" t="s">
        <v>13</v>
      </c>
      <c r="B10" s="295" t="s">
        <v>14</v>
      </c>
      <c r="C10" s="295">
        <v>2365700</v>
      </c>
      <c r="D10" s="295">
        <v>2734192</v>
      </c>
      <c r="E10" s="313">
        <f t="shared" si="0"/>
        <v>368492</v>
      </c>
      <c r="F10" s="314">
        <f t="shared" si="1"/>
        <v>115.57644671767342</v>
      </c>
    </row>
    <row r="11" spans="1:6" ht="31.5">
      <c r="A11" s="294" t="s">
        <v>13</v>
      </c>
      <c r="B11" s="295" t="s">
        <v>15</v>
      </c>
      <c r="C11" s="295">
        <v>4723700</v>
      </c>
      <c r="D11" s="295">
        <v>5144807</v>
      </c>
      <c r="E11" s="313">
        <f t="shared" si="0"/>
        <v>421107</v>
      </c>
      <c r="F11" s="314">
        <f t="shared" si="1"/>
        <v>108.91477020132523</v>
      </c>
    </row>
    <row r="12" spans="1:6" s="260" customFormat="1">
      <c r="A12" s="290" t="s">
        <v>16</v>
      </c>
      <c r="B12" s="291" t="s">
        <v>17</v>
      </c>
      <c r="C12" s="291">
        <f>C13+C14</f>
        <v>3177319</v>
      </c>
      <c r="D12" s="291">
        <f>D13+D14</f>
        <v>3386336</v>
      </c>
      <c r="E12" s="292">
        <f t="shared" si="0"/>
        <v>209017</v>
      </c>
      <c r="F12" s="293">
        <f t="shared" si="1"/>
        <v>106.57840777082816</v>
      </c>
    </row>
    <row r="13" spans="1:6">
      <c r="A13" s="294">
        <v>1</v>
      </c>
      <c r="B13" s="295" t="s">
        <v>18</v>
      </c>
      <c r="C13" s="295">
        <v>1904237</v>
      </c>
      <c r="D13" s="295">
        <f>C13</f>
        <v>1904237</v>
      </c>
      <c r="E13" s="313">
        <f t="shared" si="0"/>
        <v>0</v>
      </c>
      <c r="F13" s="314">
        <f t="shared" si="1"/>
        <v>100</v>
      </c>
    </row>
    <row r="14" spans="1:6">
      <c r="A14" s="294">
        <v>2</v>
      </c>
      <c r="B14" s="295" t="s">
        <v>19</v>
      </c>
      <c r="C14" s="295">
        <v>1273082</v>
      </c>
      <c r="D14" s="295">
        <f>1459102+22997</f>
        <v>1482099</v>
      </c>
      <c r="E14" s="313">
        <f t="shared" si="0"/>
        <v>209017</v>
      </c>
      <c r="F14" s="314">
        <f t="shared" si="1"/>
        <v>116.41818830208894</v>
      </c>
    </row>
    <row r="15" spans="1:6" s="260" customFormat="1">
      <c r="A15" s="290" t="s">
        <v>20</v>
      </c>
      <c r="B15" s="291" t="s">
        <v>21</v>
      </c>
      <c r="C15" s="291"/>
      <c r="D15" s="291"/>
      <c r="E15" s="292">
        <f t="shared" si="0"/>
        <v>0</v>
      </c>
      <c r="F15" s="293"/>
    </row>
    <row r="16" spans="1:6" s="260" customFormat="1">
      <c r="A16" s="290" t="s">
        <v>22</v>
      </c>
      <c r="B16" s="291" t="s">
        <v>23</v>
      </c>
      <c r="C16" s="291"/>
      <c r="D16" s="291">
        <f>'[1]50'!E79</f>
        <v>1044369</v>
      </c>
      <c r="E16" s="292">
        <f>D16-C16</f>
        <v>1044369</v>
      </c>
      <c r="F16" s="293"/>
    </row>
    <row r="17" spans="1:6" s="260" customFormat="1" ht="31.5">
      <c r="A17" s="290" t="s">
        <v>24</v>
      </c>
      <c r="B17" s="291" t="s">
        <v>25</v>
      </c>
      <c r="C17" s="291"/>
      <c r="D17" s="291">
        <f>'[1]50'!E80</f>
        <v>1707622</v>
      </c>
      <c r="E17" s="292">
        <f t="shared" si="0"/>
        <v>1707622</v>
      </c>
      <c r="F17" s="293"/>
    </row>
    <row r="18" spans="1:6" s="260" customFormat="1">
      <c r="A18" s="290" t="s">
        <v>141</v>
      </c>
      <c r="B18" s="291" t="s">
        <v>116</v>
      </c>
      <c r="C18" s="291"/>
      <c r="D18" s="291">
        <f>'[1]50'!E76</f>
        <v>3309</v>
      </c>
      <c r="E18" s="292">
        <f t="shared" si="0"/>
        <v>3309</v>
      </c>
      <c r="F18" s="293"/>
    </row>
    <row r="19" spans="1:6" s="260" customFormat="1">
      <c r="A19" s="290" t="s">
        <v>192</v>
      </c>
      <c r="B19" s="291" t="s">
        <v>354</v>
      </c>
      <c r="C19" s="291"/>
      <c r="D19" s="291">
        <f>'[1]50'!E77</f>
        <v>20315</v>
      </c>
      <c r="E19" s="292">
        <f t="shared" si="0"/>
        <v>20315</v>
      </c>
      <c r="F19" s="293"/>
    </row>
    <row r="20" spans="1:6" s="260" customFormat="1">
      <c r="A20" s="290" t="s">
        <v>8</v>
      </c>
      <c r="B20" s="291" t="s">
        <v>26</v>
      </c>
      <c r="C20" s="291">
        <f>C21+C28+C31</f>
        <v>10203719</v>
      </c>
      <c r="D20" s="291">
        <f>D21+D28+D31+D32</f>
        <v>12839509</v>
      </c>
      <c r="E20" s="292">
        <f t="shared" si="0"/>
        <v>2635790</v>
      </c>
      <c r="F20" s="293">
        <f t="shared" si="1"/>
        <v>125.83166000553328</v>
      </c>
    </row>
    <row r="21" spans="1:6" s="260" customFormat="1">
      <c r="A21" s="290" t="s">
        <v>11</v>
      </c>
      <c r="B21" s="291" t="s">
        <v>27</v>
      </c>
      <c r="C21" s="291">
        <f>SUM(C22:C27)</f>
        <v>10203719</v>
      </c>
      <c r="D21" s="291">
        <f>SUM(D22:D27)</f>
        <v>10040491</v>
      </c>
      <c r="E21" s="292">
        <f t="shared" si="0"/>
        <v>-163228</v>
      </c>
      <c r="F21" s="293">
        <f t="shared" si="1"/>
        <v>98.400308750172357</v>
      </c>
    </row>
    <row r="22" spans="1:6">
      <c r="A22" s="294">
        <v>1</v>
      </c>
      <c r="B22" s="295" t="s">
        <v>28</v>
      </c>
      <c r="C22" s="295">
        <f>'[1]51'!C9</f>
        <v>3383958</v>
      </c>
      <c r="D22" s="295">
        <f>'[1]51'!D9</f>
        <v>3228658</v>
      </c>
      <c r="E22" s="313">
        <f t="shared" si="0"/>
        <v>-155300</v>
      </c>
      <c r="F22" s="314">
        <f t="shared" si="1"/>
        <v>95.410699541779181</v>
      </c>
    </row>
    <row r="23" spans="1:6">
      <c r="A23" s="294">
        <v>2</v>
      </c>
      <c r="B23" s="295" t="s">
        <v>29</v>
      </c>
      <c r="C23" s="295">
        <f>'[1]51'!C19</f>
        <v>6397357</v>
      </c>
      <c r="D23" s="295">
        <f>'[1]51'!D19</f>
        <v>6810688</v>
      </c>
      <c r="E23" s="313">
        <f t="shared" si="0"/>
        <v>413331</v>
      </c>
      <c r="F23" s="314">
        <f t="shared" si="1"/>
        <v>106.46096505166118</v>
      </c>
    </row>
    <row r="24" spans="1:6" ht="31.5">
      <c r="A24" s="294">
        <v>3</v>
      </c>
      <c r="B24" s="295" t="s">
        <v>30</v>
      </c>
      <c r="C24" s="295">
        <f>'[1]51'!C23</f>
        <v>0</v>
      </c>
      <c r="D24" s="295">
        <f>'[1]51'!D23</f>
        <v>145</v>
      </c>
      <c r="E24" s="313">
        <f t="shared" si="0"/>
        <v>145</v>
      </c>
      <c r="F24" s="314"/>
    </row>
    <row r="25" spans="1:6">
      <c r="A25" s="294">
        <v>4</v>
      </c>
      <c r="B25" s="295" t="s">
        <v>31</v>
      </c>
      <c r="C25" s="295">
        <f>'[1]51'!C24</f>
        <v>1000</v>
      </c>
      <c r="D25" s="295">
        <f>'[1]51'!D24</f>
        <v>1000</v>
      </c>
      <c r="E25" s="313">
        <f t="shared" si="0"/>
        <v>0</v>
      </c>
      <c r="F25" s="314">
        <f t="shared" si="1"/>
        <v>100</v>
      </c>
    </row>
    <row r="26" spans="1:6">
      <c r="A26" s="294">
        <v>5</v>
      </c>
      <c r="B26" s="295" t="s">
        <v>32</v>
      </c>
      <c r="C26" s="295">
        <f>'[1]51'!C25</f>
        <v>179870</v>
      </c>
      <c r="D26" s="295"/>
      <c r="E26" s="313">
        <f t="shared" si="0"/>
        <v>-179870</v>
      </c>
      <c r="F26" s="314">
        <f t="shared" si="1"/>
        <v>0</v>
      </c>
    </row>
    <row r="27" spans="1:6">
      <c r="A27" s="294">
        <v>6</v>
      </c>
      <c r="B27" s="295" t="s">
        <v>33</v>
      </c>
      <c r="C27" s="295">
        <f>'[1]51'!C26</f>
        <v>241534</v>
      </c>
      <c r="D27" s="295"/>
      <c r="E27" s="313">
        <f t="shared" si="0"/>
        <v>-241534</v>
      </c>
      <c r="F27" s="314"/>
    </row>
    <row r="28" spans="1:6" s="260" customFormat="1">
      <c r="A28" s="290" t="s">
        <v>16</v>
      </c>
      <c r="B28" s="291" t="s">
        <v>34</v>
      </c>
      <c r="C28" s="291">
        <f>SUM(C29:C30)</f>
        <v>0</v>
      </c>
      <c r="D28" s="291">
        <f>SUM(D29:D30)</f>
        <v>0</v>
      </c>
      <c r="E28" s="292">
        <f t="shared" si="0"/>
        <v>0</v>
      </c>
      <c r="F28" s="293"/>
    </row>
    <row r="29" spans="1:6" hidden="1">
      <c r="A29" s="294">
        <v>1</v>
      </c>
      <c r="B29" s="295" t="s">
        <v>35</v>
      </c>
      <c r="C29" s="295">
        <f>'[1]51'!C28</f>
        <v>0</v>
      </c>
      <c r="D29" s="295"/>
      <c r="E29" s="313">
        <f t="shared" si="0"/>
        <v>0</v>
      </c>
      <c r="F29" s="314" t="e">
        <f t="shared" si="1"/>
        <v>#DIV/0!</v>
      </c>
    </row>
    <row r="30" spans="1:6" s="260" customFormat="1" hidden="1">
      <c r="A30" s="294">
        <v>2</v>
      </c>
      <c r="B30" s="295" t="s">
        <v>36</v>
      </c>
      <c r="C30" s="295">
        <f>'[1]51'!C31</f>
        <v>0</v>
      </c>
      <c r="D30" s="295"/>
      <c r="E30" s="313">
        <f t="shared" si="0"/>
        <v>0</v>
      </c>
      <c r="F30" s="314" t="e">
        <f t="shared" si="1"/>
        <v>#DIV/0!</v>
      </c>
    </row>
    <row r="31" spans="1:6" s="260" customFormat="1">
      <c r="A31" s="290" t="s">
        <v>20</v>
      </c>
      <c r="B31" s="291" t="s">
        <v>37</v>
      </c>
      <c r="C31" s="291"/>
      <c r="D31" s="291">
        <f>'[1]51'!D34</f>
        <v>2783761</v>
      </c>
      <c r="E31" s="292">
        <f t="shared" si="0"/>
        <v>2783761</v>
      </c>
      <c r="F31" s="293"/>
    </row>
    <row r="32" spans="1:6" s="260" customFormat="1">
      <c r="A32" s="290" t="s">
        <v>22</v>
      </c>
      <c r="B32" s="291" t="s">
        <v>353</v>
      </c>
      <c r="C32" s="291"/>
      <c r="D32" s="291">
        <f>'[1]51'!D35</f>
        <v>15257</v>
      </c>
      <c r="E32" s="292"/>
      <c r="F32" s="293"/>
    </row>
    <row r="33" spans="1:6" s="260" customFormat="1">
      <c r="A33" s="290" t="s">
        <v>38</v>
      </c>
      <c r="B33" s="291" t="s">
        <v>1415</v>
      </c>
      <c r="C33" s="291">
        <f>C8-C20</f>
        <v>63000</v>
      </c>
      <c r="D33" s="291">
        <f>D8-D20</f>
        <v>1201441</v>
      </c>
      <c r="E33" s="292">
        <f t="shared" si="0"/>
        <v>1138441</v>
      </c>
      <c r="F33" s="293">
        <f t="shared" si="1"/>
        <v>1907.0492063492065</v>
      </c>
    </row>
    <row r="34" spans="1:6" s="260" customFormat="1">
      <c r="A34" s="290" t="s">
        <v>39</v>
      </c>
      <c r="B34" s="291" t="s">
        <v>338</v>
      </c>
      <c r="C34" s="291"/>
      <c r="D34" s="291">
        <f>D8-D20-D37</f>
        <v>1133654</v>
      </c>
      <c r="E34" s="292">
        <f t="shared" si="0"/>
        <v>1133654</v>
      </c>
      <c r="F34" s="293"/>
    </row>
    <row r="35" spans="1:6">
      <c r="A35" s="290" t="s">
        <v>43</v>
      </c>
      <c r="B35" s="291" t="s">
        <v>40</v>
      </c>
      <c r="C35" s="291">
        <f>C36+C37</f>
        <v>65700</v>
      </c>
      <c r="D35" s="291">
        <f>D36+D37</f>
        <v>67787</v>
      </c>
      <c r="E35" s="292">
        <f>D35-C35</f>
        <v>2087</v>
      </c>
      <c r="F35" s="293"/>
    </row>
    <row r="36" spans="1:6">
      <c r="A36" s="290" t="s">
        <v>11</v>
      </c>
      <c r="B36" s="291" t="s">
        <v>41</v>
      </c>
      <c r="C36" s="291">
        <f>C40</f>
        <v>2700</v>
      </c>
      <c r="D36" s="291">
        <v>0</v>
      </c>
      <c r="E36" s="292">
        <f t="shared" si="0"/>
        <v>-2700</v>
      </c>
      <c r="F36" s="293"/>
    </row>
    <row r="37" spans="1:6" s="260" customFormat="1" ht="31.5">
      <c r="A37" s="290" t="s">
        <v>16</v>
      </c>
      <c r="B37" s="291" t="s">
        <v>42</v>
      </c>
      <c r="C37" s="291">
        <f>C33</f>
        <v>63000</v>
      </c>
      <c r="D37" s="291">
        <v>67787</v>
      </c>
      <c r="E37" s="292">
        <f t="shared" si="0"/>
        <v>4787</v>
      </c>
      <c r="F37" s="293"/>
    </row>
    <row r="38" spans="1:6" s="260" customFormat="1">
      <c r="A38" s="290" t="s">
        <v>47</v>
      </c>
      <c r="B38" s="291" t="s">
        <v>44</v>
      </c>
      <c r="C38" s="291">
        <f>C39+C40</f>
        <v>2700</v>
      </c>
      <c r="D38" s="291">
        <f>D39+D40</f>
        <v>0</v>
      </c>
      <c r="E38" s="292">
        <f t="shared" si="0"/>
        <v>-2700</v>
      </c>
      <c r="F38" s="293">
        <f t="shared" si="1"/>
        <v>0</v>
      </c>
    </row>
    <row r="39" spans="1:6">
      <c r="A39" s="290" t="s">
        <v>11</v>
      </c>
      <c r="B39" s="291" t="s">
        <v>45</v>
      </c>
      <c r="C39" s="291"/>
      <c r="D39" s="291">
        <v>0</v>
      </c>
      <c r="E39" s="292">
        <f t="shared" si="0"/>
        <v>0</v>
      </c>
      <c r="F39" s="293"/>
    </row>
    <row r="40" spans="1:6">
      <c r="A40" s="290" t="s">
        <v>16</v>
      </c>
      <c r="B40" s="291" t="s">
        <v>46</v>
      </c>
      <c r="C40" s="291">
        <v>2700</v>
      </c>
      <c r="D40" s="291">
        <v>0</v>
      </c>
      <c r="E40" s="292">
        <f t="shared" si="0"/>
        <v>-2700</v>
      </c>
      <c r="F40" s="293">
        <f t="shared" si="1"/>
        <v>0</v>
      </c>
    </row>
    <row r="41" spans="1:6" ht="31.5">
      <c r="A41" s="251" t="s">
        <v>339</v>
      </c>
      <c r="B41" s="252" t="s">
        <v>48</v>
      </c>
      <c r="C41" s="253"/>
      <c r="D41" s="253"/>
      <c r="E41" s="254">
        <f t="shared" si="0"/>
        <v>0</v>
      </c>
      <c r="F41" s="255"/>
    </row>
    <row r="42" spans="1:6" ht="66.75" hidden="1" customHeight="1">
      <c r="A42" s="329" t="s">
        <v>270</v>
      </c>
      <c r="B42" s="329"/>
      <c r="C42" s="329"/>
      <c r="D42" s="329"/>
      <c r="E42" s="329"/>
      <c r="F42" s="329"/>
    </row>
    <row r="43" spans="1:6">
      <c r="A43" s="296"/>
    </row>
    <row r="455" spans="1:1">
      <c r="A455" s="296"/>
    </row>
    <row r="456" spans="1:1">
      <c r="A456" s="297"/>
    </row>
    <row r="480" spans="1:1">
      <c r="A480" s="296"/>
    </row>
    <row r="508" spans="1:1">
      <c r="A508" s="298"/>
    </row>
  </sheetData>
  <mergeCells count="11">
    <mergeCell ref="A1:C1"/>
    <mergeCell ref="D4:F4"/>
    <mergeCell ref="D1:F1"/>
    <mergeCell ref="A2:F2"/>
    <mergeCell ref="A3:F3"/>
    <mergeCell ref="A42:F42"/>
    <mergeCell ref="A5:A6"/>
    <mergeCell ref="B5:B6"/>
    <mergeCell ref="C5:C6"/>
    <mergeCell ref="D5:D6"/>
    <mergeCell ref="E5:F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7" t="s">
        <v>49</v>
      </c>
      <c r="E1" s="357"/>
    </row>
    <row r="2" spans="1:5">
      <c r="A2" s="378" t="s">
        <v>50</v>
      </c>
      <c r="B2" s="378"/>
      <c r="C2" s="378"/>
      <c r="D2" s="378"/>
      <c r="E2" s="378"/>
    </row>
    <row r="3" spans="1:5">
      <c r="A3" s="378" t="s">
        <v>51</v>
      </c>
      <c r="B3" s="378"/>
      <c r="C3" s="378"/>
      <c r="D3" s="378"/>
      <c r="E3" s="378"/>
    </row>
    <row r="4" spans="1:5">
      <c r="A4" s="19"/>
      <c r="D4" s="379" t="s">
        <v>1</v>
      </c>
      <c r="E4" s="379"/>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1" t="s">
        <v>271</v>
      </c>
      <c r="B39" s="381"/>
      <c r="C39" s="381"/>
      <c r="D39" s="381"/>
      <c r="E39" s="381"/>
    </row>
    <row r="40" spans="1:5" ht="38.25" customHeight="1">
      <c r="A40" s="380" t="s">
        <v>73</v>
      </c>
      <c r="B40" s="380"/>
      <c r="C40" s="380"/>
      <c r="D40" s="380"/>
      <c r="E40" s="380"/>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2" t="s">
        <v>196</v>
      </c>
      <c r="S1" s="382"/>
      <c r="T1" s="382"/>
    </row>
    <row r="2" spans="1:20">
      <c r="A2" s="357" t="s">
        <v>197</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207</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 ref="G5:G6"/>
    <mergeCell ref="A5:A6"/>
    <mergeCell ref="B5:B6"/>
    <mergeCell ref="C5:C6"/>
    <mergeCell ref="D5:D6"/>
    <mergeCell ref="E5:E6"/>
    <mergeCell ref="F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7" t="s">
        <v>212</v>
      </c>
      <c r="S1" s="357"/>
      <c r="T1" s="357"/>
    </row>
    <row r="2" spans="1:20">
      <c r="A2" s="357" t="s">
        <v>213</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214</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 ref="I5:I6"/>
    <mergeCell ref="J5:J6"/>
    <mergeCell ref="A5:A6"/>
    <mergeCell ref="B5:B6"/>
    <mergeCell ref="C5:C6"/>
    <mergeCell ref="D5:D6"/>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3" t="s">
        <v>215</v>
      </c>
      <c r="I1" s="383"/>
      <c r="J1" s="383"/>
    </row>
    <row r="2" spans="1:10">
      <c r="A2" s="383" t="s">
        <v>216</v>
      </c>
      <c r="B2" s="383"/>
      <c r="C2" s="383"/>
      <c r="D2" s="383"/>
      <c r="E2" s="383"/>
      <c r="F2" s="383"/>
      <c r="G2" s="383"/>
      <c r="H2" s="383"/>
      <c r="I2" s="383"/>
      <c r="J2" s="383"/>
    </row>
    <row r="3" spans="1:10">
      <c r="A3" s="384" t="s">
        <v>0</v>
      </c>
      <c r="B3" s="384"/>
      <c r="C3" s="384"/>
      <c r="D3" s="384"/>
      <c r="E3" s="384"/>
      <c r="F3" s="384"/>
      <c r="G3" s="384"/>
      <c r="H3" s="384"/>
      <c r="I3" s="384"/>
      <c r="J3" s="384"/>
    </row>
    <row r="4" spans="1:10">
      <c r="A4" s="3"/>
      <c r="H4" s="385" t="s">
        <v>1</v>
      </c>
      <c r="I4" s="385"/>
      <c r="J4" s="385"/>
    </row>
    <row r="5" spans="1:10">
      <c r="A5" s="355" t="s">
        <v>2</v>
      </c>
      <c r="B5" s="355" t="s">
        <v>198</v>
      </c>
      <c r="C5" s="355" t="s">
        <v>217</v>
      </c>
      <c r="D5" s="355" t="s">
        <v>170</v>
      </c>
      <c r="E5" s="355"/>
      <c r="F5" s="355"/>
      <c r="G5" s="355" t="s">
        <v>218</v>
      </c>
      <c r="H5" s="355" t="s">
        <v>219</v>
      </c>
      <c r="I5" s="355" t="s">
        <v>203</v>
      </c>
      <c r="J5" s="355"/>
    </row>
    <row r="6" spans="1:10" ht="78.75">
      <c r="A6" s="355"/>
      <c r="B6" s="355"/>
      <c r="C6" s="355"/>
      <c r="D6" s="34" t="s">
        <v>220</v>
      </c>
      <c r="E6" s="34" t="s">
        <v>274</v>
      </c>
      <c r="F6" s="34" t="s">
        <v>275</v>
      </c>
      <c r="G6" s="355"/>
      <c r="H6" s="355"/>
      <c r="I6" s="34" t="s">
        <v>221</v>
      </c>
      <c r="J6" s="34" t="s">
        <v>222</v>
      </c>
    </row>
    <row r="7" spans="1:10">
      <c r="A7" s="36" t="s">
        <v>7</v>
      </c>
      <c r="B7" s="36" t="s">
        <v>8</v>
      </c>
      <c r="C7" s="36" t="s">
        <v>223</v>
      </c>
      <c r="D7" s="36">
        <v>2</v>
      </c>
      <c r="E7" s="36">
        <v>3</v>
      </c>
      <c r="F7" s="36">
        <v>4</v>
      </c>
      <c r="G7" s="36">
        <v>5</v>
      </c>
      <c r="H7" s="36" t="s">
        <v>224</v>
      </c>
      <c r="I7" s="36">
        <v>7</v>
      </c>
      <c r="J7" s="36">
        <v>8</v>
      </c>
    </row>
    <row r="8" spans="1:10">
      <c r="A8" s="32"/>
      <c r="B8" s="33" t="s">
        <v>208</v>
      </c>
      <c r="C8" s="32"/>
      <c r="D8" s="32"/>
      <c r="E8" s="32"/>
      <c r="F8" s="32"/>
      <c r="G8" s="32"/>
      <c r="H8" s="32"/>
      <c r="I8" s="32"/>
      <c r="J8" s="32"/>
    </row>
    <row r="9" spans="1:10">
      <c r="A9" s="9">
        <v>1</v>
      </c>
      <c r="B9" s="10" t="s">
        <v>225</v>
      </c>
      <c r="C9" s="11"/>
      <c r="D9" s="11"/>
      <c r="E9" s="11"/>
      <c r="F9" s="11"/>
      <c r="G9" s="11"/>
      <c r="H9" s="11"/>
      <c r="I9" s="11"/>
      <c r="J9" s="11"/>
    </row>
    <row r="10" spans="1:10">
      <c r="A10" s="9">
        <v>2</v>
      </c>
      <c r="B10" s="10" t="s">
        <v>186</v>
      </c>
      <c r="C10" s="11"/>
      <c r="D10" s="11"/>
      <c r="E10" s="11"/>
      <c r="F10" s="11"/>
      <c r="G10" s="11"/>
      <c r="H10" s="11"/>
      <c r="I10" s="11"/>
      <c r="J10" s="11"/>
    </row>
    <row r="11" spans="1:10">
      <c r="A11" s="9">
        <v>3</v>
      </c>
      <c r="B11" s="10" t="s">
        <v>226</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7" t="s">
        <v>257</v>
      </c>
      <c r="G1" s="357"/>
      <c r="H1" s="357"/>
    </row>
    <row r="2" spans="1:8">
      <c r="A2" s="357" t="s">
        <v>258</v>
      </c>
      <c r="B2" s="357"/>
      <c r="C2" s="357"/>
      <c r="D2" s="357"/>
      <c r="E2" s="357"/>
      <c r="F2" s="357"/>
      <c r="G2" s="357"/>
      <c r="H2" s="357"/>
    </row>
    <row r="3" spans="1:8">
      <c r="A3" s="357" t="s">
        <v>51</v>
      </c>
      <c r="B3" s="357"/>
      <c r="C3" s="357"/>
      <c r="D3" s="357"/>
      <c r="E3" s="357"/>
      <c r="F3" s="357"/>
      <c r="G3" s="357"/>
      <c r="H3" s="357"/>
    </row>
    <row r="4" spans="1:8">
      <c r="A4" s="7"/>
      <c r="F4" s="363" t="s">
        <v>1</v>
      </c>
      <c r="G4" s="363"/>
      <c r="H4" s="363"/>
    </row>
    <row r="5" spans="1:8">
      <c r="A5" s="355" t="s">
        <v>2</v>
      </c>
      <c r="B5" s="355" t="s">
        <v>179</v>
      </c>
      <c r="C5" s="355" t="s">
        <v>259</v>
      </c>
      <c r="D5" s="355" t="s">
        <v>203</v>
      </c>
      <c r="E5" s="355"/>
      <c r="F5" s="355"/>
      <c r="G5" s="355"/>
      <c r="H5" s="355"/>
    </row>
    <row r="6" spans="1:8" ht="110.25">
      <c r="A6" s="355"/>
      <c r="B6" s="355"/>
      <c r="C6" s="355"/>
      <c r="D6" s="34" t="s">
        <v>260</v>
      </c>
      <c r="E6" s="34" t="s">
        <v>261</v>
      </c>
      <c r="F6" s="34" t="s">
        <v>262</v>
      </c>
      <c r="G6" s="34" t="s">
        <v>25</v>
      </c>
      <c r="H6" s="34" t="s">
        <v>263</v>
      </c>
    </row>
    <row r="7" spans="1:8">
      <c r="A7" s="34" t="s">
        <v>7</v>
      </c>
      <c r="B7" s="34" t="s">
        <v>8</v>
      </c>
      <c r="C7" s="34">
        <v>1</v>
      </c>
      <c r="D7" s="34">
        <v>2</v>
      </c>
      <c r="E7" s="34">
        <v>3</v>
      </c>
      <c r="F7" s="34">
        <v>4</v>
      </c>
      <c r="G7" s="34">
        <v>5</v>
      </c>
      <c r="H7" s="34">
        <v>6</v>
      </c>
    </row>
    <row r="8" spans="1:8">
      <c r="A8" s="32"/>
      <c r="B8" s="33" t="s">
        <v>184</v>
      </c>
      <c r="C8" s="32"/>
      <c r="D8" s="32"/>
      <c r="E8" s="32"/>
      <c r="F8" s="32"/>
      <c r="G8" s="32"/>
      <c r="H8" s="32"/>
    </row>
    <row r="9" spans="1:8">
      <c r="A9" s="11">
        <v>1</v>
      </c>
      <c r="B9" s="12" t="s">
        <v>233</v>
      </c>
      <c r="C9" s="11"/>
      <c r="D9" s="11"/>
      <c r="E9" s="11"/>
      <c r="F9" s="11"/>
      <c r="G9" s="11"/>
      <c r="H9" s="11"/>
    </row>
    <row r="10" spans="1:8">
      <c r="A10" s="11">
        <v>2</v>
      </c>
      <c r="B10" s="12" t="s">
        <v>234</v>
      </c>
      <c r="C10" s="11"/>
      <c r="D10" s="11"/>
      <c r="E10" s="11"/>
      <c r="F10" s="11"/>
      <c r="G10" s="11"/>
      <c r="H10" s="11"/>
    </row>
    <row r="11" spans="1:8">
      <c r="A11" s="11">
        <v>3</v>
      </c>
      <c r="B11" s="12" t="s">
        <v>264</v>
      </c>
      <c r="C11" s="11"/>
      <c r="D11" s="11"/>
      <c r="E11" s="11"/>
      <c r="F11" s="11"/>
      <c r="G11" s="11"/>
      <c r="H11" s="11"/>
    </row>
    <row r="12" spans="1:8">
      <c r="A12" s="11">
        <v>4</v>
      </c>
      <c r="B12" s="12" t="s">
        <v>235</v>
      </c>
      <c r="C12" s="11"/>
      <c r="D12" s="11"/>
      <c r="E12" s="11"/>
      <c r="F12" s="11"/>
      <c r="G12" s="11"/>
      <c r="H12" s="11"/>
    </row>
    <row r="13" spans="1:8">
      <c r="A13" s="11">
        <v>5</v>
      </c>
      <c r="B13" s="12" t="s">
        <v>265</v>
      </c>
      <c r="C13" s="11"/>
      <c r="D13" s="11"/>
      <c r="E13" s="11"/>
      <c r="F13" s="11"/>
      <c r="G13" s="11"/>
      <c r="H13" s="11"/>
    </row>
    <row r="14" spans="1:8">
      <c r="A14" s="11">
        <v>6</v>
      </c>
      <c r="B14" s="12" t="s">
        <v>236</v>
      </c>
      <c r="C14" s="11"/>
      <c r="D14" s="11"/>
      <c r="E14" s="11"/>
      <c r="F14" s="11"/>
      <c r="G14" s="11"/>
      <c r="H14" s="11"/>
    </row>
    <row r="15" spans="1:8">
      <c r="A15" s="11">
        <v>7</v>
      </c>
      <c r="B15" s="12" t="s">
        <v>237</v>
      </c>
      <c r="C15" s="11"/>
      <c r="D15" s="11"/>
      <c r="E15" s="11"/>
      <c r="F15" s="11"/>
      <c r="G15" s="11"/>
      <c r="H15" s="11"/>
    </row>
    <row r="16" spans="1:8">
      <c r="A16" s="11">
        <v>8</v>
      </c>
      <c r="B16" s="12" t="s">
        <v>266</v>
      </c>
      <c r="C16" s="11"/>
      <c r="D16" s="11"/>
      <c r="E16" s="11"/>
      <c r="F16" s="11"/>
      <c r="G16" s="11"/>
      <c r="H16" s="11"/>
    </row>
    <row r="17" spans="1:8">
      <c r="A17" s="11">
        <v>9</v>
      </c>
      <c r="B17" s="12" t="s">
        <v>267</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361</v>
      </c>
    </row>
    <row r="2" spans="1:9">
      <c r="A2" s="389" t="s">
        <v>362</v>
      </c>
      <c r="B2" s="389"/>
      <c r="C2" s="389"/>
      <c r="D2" s="389"/>
      <c r="E2" s="389"/>
    </row>
    <row r="4" spans="1:9" s="54" customFormat="1" ht="63">
      <c r="A4" s="66" t="s">
        <v>363</v>
      </c>
      <c r="B4" s="66" t="s">
        <v>364</v>
      </c>
      <c r="C4" s="66" t="s">
        <v>365</v>
      </c>
      <c r="D4" s="66" t="s">
        <v>366</v>
      </c>
      <c r="E4" s="66" t="s">
        <v>367</v>
      </c>
      <c r="F4" s="81"/>
    </row>
    <row r="5" spans="1:9" s="68" customFormat="1">
      <c r="A5" s="390" t="s">
        <v>368</v>
      </c>
      <c r="B5" s="390"/>
      <c r="C5" s="390"/>
      <c r="D5" s="390"/>
      <c r="E5" s="67">
        <f>E6+E264+E317+E371+E376+E379</f>
        <v>187247053801</v>
      </c>
      <c r="F5" s="82">
        <v>186888617136</v>
      </c>
    </row>
    <row r="6" spans="1:9">
      <c r="A6" s="391" t="s">
        <v>369</v>
      </c>
      <c r="B6" s="391"/>
      <c r="C6" s="391"/>
      <c r="D6" s="391"/>
      <c r="E6" s="69">
        <f>SUM(E7:E263)</f>
        <v>157093587357</v>
      </c>
    </row>
    <row r="7" spans="1:9">
      <c r="A7" s="70"/>
      <c r="B7" s="70">
        <v>412</v>
      </c>
      <c r="C7" s="71" t="s">
        <v>370</v>
      </c>
      <c r="D7" s="70">
        <v>6106</v>
      </c>
      <c r="E7" s="72">
        <v>13782768</v>
      </c>
    </row>
    <row r="8" spans="1:9">
      <c r="A8" s="70"/>
      <c r="B8" s="70">
        <v>412</v>
      </c>
      <c r="C8" s="71" t="s">
        <v>370</v>
      </c>
      <c r="D8" s="70">
        <v>6257</v>
      </c>
      <c r="E8" s="72">
        <v>1194120</v>
      </c>
    </row>
    <row r="9" spans="1:9">
      <c r="A9" s="70"/>
      <c r="B9" s="70">
        <v>412</v>
      </c>
      <c r="C9" s="71" t="s">
        <v>370</v>
      </c>
      <c r="D9" s="70">
        <v>6503</v>
      </c>
      <c r="E9" s="72">
        <v>485730</v>
      </c>
      <c r="I9" s="65"/>
    </row>
    <row r="10" spans="1:9">
      <c r="A10" s="70"/>
      <c r="B10" s="70">
        <v>412</v>
      </c>
      <c r="C10" s="71" t="s">
        <v>370</v>
      </c>
      <c r="D10" s="70">
        <v>6551</v>
      </c>
      <c r="E10" s="72">
        <v>21464000</v>
      </c>
    </row>
    <row r="11" spans="1:9">
      <c r="A11" s="70"/>
      <c r="B11" s="70">
        <v>412</v>
      </c>
      <c r="C11" s="71" t="s">
        <v>370</v>
      </c>
      <c r="D11" s="70">
        <v>6603</v>
      </c>
      <c r="E11" s="72">
        <v>1553368</v>
      </c>
    </row>
    <row r="12" spans="1:9">
      <c r="A12" s="70"/>
      <c r="B12" s="70">
        <v>412</v>
      </c>
      <c r="C12" s="71" t="s">
        <v>370</v>
      </c>
      <c r="D12" s="70">
        <v>6651</v>
      </c>
      <c r="E12" s="72">
        <v>2274250</v>
      </c>
    </row>
    <row r="13" spans="1:9">
      <c r="A13" s="70"/>
      <c r="B13" s="70">
        <v>412</v>
      </c>
      <c r="C13" s="71" t="s">
        <v>370</v>
      </c>
      <c r="D13" s="70">
        <v>6652</v>
      </c>
      <c r="E13" s="72">
        <v>3400000</v>
      </c>
    </row>
    <row r="14" spans="1:9">
      <c r="A14" s="70"/>
      <c r="B14" s="70">
        <v>412</v>
      </c>
      <c r="C14" s="71" t="s">
        <v>370</v>
      </c>
      <c r="D14" s="70">
        <v>6654</v>
      </c>
      <c r="E14" s="72">
        <v>30400000</v>
      </c>
    </row>
    <row r="15" spans="1:9">
      <c r="A15" s="70"/>
      <c r="B15" s="70">
        <v>412</v>
      </c>
      <c r="C15" s="71" t="s">
        <v>370</v>
      </c>
      <c r="D15" s="70">
        <v>6655</v>
      </c>
      <c r="E15" s="72">
        <v>33670039</v>
      </c>
    </row>
    <row r="16" spans="1:9">
      <c r="A16" s="70"/>
      <c r="B16" s="70">
        <v>412</v>
      </c>
      <c r="C16" s="71" t="s">
        <v>370</v>
      </c>
      <c r="D16" s="70">
        <v>6657</v>
      </c>
      <c r="E16" s="72">
        <v>4980066</v>
      </c>
    </row>
    <row r="17" spans="1:5">
      <c r="A17" s="70"/>
      <c r="B17" s="70">
        <v>412</v>
      </c>
      <c r="C17" s="71" t="s">
        <v>370</v>
      </c>
      <c r="D17" s="70">
        <v>6658</v>
      </c>
      <c r="E17" s="72">
        <v>43104895</v>
      </c>
    </row>
    <row r="18" spans="1:5">
      <c r="A18" s="70"/>
      <c r="B18" s="70">
        <v>412</v>
      </c>
      <c r="C18" s="71" t="s">
        <v>370</v>
      </c>
      <c r="D18" s="70">
        <v>6699</v>
      </c>
      <c r="E18" s="72">
        <v>9120000</v>
      </c>
    </row>
    <row r="19" spans="1:5">
      <c r="A19" s="70"/>
      <c r="B19" s="70">
        <v>412</v>
      </c>
      <c r="C19" s="71" t="s">
        <v>370</v>
      </c>
      <c r="D19" s="70">
        <v>6702</v>
      </c>
      <c r="E19" s="72">
        <v>22858750</v>
      </c>
    </row>
    <row r="20" spans="1:5">
      <c r="A20" s="70"/>
      <c r="B20" s="70">
        <v>412</v>
      </c>
      <c r="C20" s="71" t="s">
        <v>370</v>
      </c>
      <c r="D20" s="70">
        <v>6703</v>
      </c>
      <c r="E20" s="72">
        <v>3600000</v>
      </c>
    </row>
    <row r="21" spans="1:5">
      <c r="A21" s="70"/>
      <c r="B21" s="70">
        <v>412</v>
      </c>
      <c r="C21" s="71" t="s">
        <v>370</v>
      </c>
      <c r="D21" s="70">
        <v>6912</v>
      </c>
      <c r="E21" s="72">
        <v>30000</v>
      </c>
    </row>
    <row r="22" spans="1:5">
      <c r="A22" s="70"/>
      <c r="B22" s="70">
        <v>412</v>
      </c>
      <c r="C22" s="71" t="s">
        <v>370</v>
      </c>
      <c r="D22" s="70">
        <v>7003</v>
      </c>
      <c r="E22" s="72">
        <v>19525876</v>
      </c>
    </row>
    <row r="23" spans="1:5">
      <c r="A23" s="70"/>
      <c r="B23" s="70">
        <v>412</v>
      </c>
      <c r="C23" s="71" t="s">
        <v>370</v>
      </c>
      <c r="D23" s="70">
        <v>7012</v>
      </c>
      <c r="E23" s="72">
        <v>1291213365</v>
      </c>
    </row>
    <row r="24" spans="1:5">
      <c r="A24" s="70"/>
      <c r="B24" s="70">
        <v>412</v>
      </c>
      <c r="C24" s="71" t="s">
        <v>370</v>
      </c>
      <c r="D24" s="70">
        <v>7049</v>
      </c>
      <c r="E24" s="72">
        <v>81104831</v>
      </c>
    </row>
    <row r="25" spans="1:5">
      <c r="A25" s="70"/>
      <c r="B25" s="70">
        <v>412</v>
      </c>
      <c r="C25" s="71" t="s">
        <v>370</v>
      </c>
      <c r="D25" s="70">
        <v>7049</v>
      </c>
      <c r="E25" s="72">
        <v>283264977</v>
      </c>
    </row>
    <row r="26" spans="1:5">
      <c r="A26" s="70"/>
      <c r="B26" s="70">
        <v>412</v>
      </c>
      <c r="C26" s="71" t="s">
        <v>370</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371</v>
      </c>
      <c r="D50" s="70">
        <v>6106</v>
      </c>
      <c r="E50" s="72">
        <v>1216000</v>
      </c>
    </row>
    <row r="51" spans="1:5">
      <c r="A51" s="70"/>
      <c r="B51" s="70">
        <v>612</v>
      </c>
      <c r="C51" s="71" t="s">
        <v>371</v>
      </c>
      <c r="D51" s="70">
        <v>6652</v>
      </c>
      <c r="E51" s="72">
        <v>600000</v>
      </c>
    </row>
    <row r="52" spans="1:5">
      <c r="A52" s="70"/>
      <c r="B52" s="70">
        <v>612</v>
      </c>
      <c r="C52" s="71" t="s">
        <v>371</v>
      </c>
      <c r="D52" s="70">
        <v>6657</v>
      </c>
      <c r="E52" s="72">
        <v>300000</v>
      </c>
    </row>
    <row r="53" spans="1:5">
      <c r="A53" s="70"/>
      <c r="B53" s="70">
        <v>612</v>
      </c>
      <c r="C53" s="71" t="s">
        <v>371</v>
      </c>
      <c r="D53" s="70">
        <v>6658</v>
      </c>
      <c r="E53" s="72">
        <v>3375000</v>
      </c>
    </row>
    <row r="54" spans="1:5">
      <c r="A54" s="70"/>
      <c r="B54" s="70">
        <v>612</v>
      </c>
      <c r="C54" s="71" t="s">
        <v>371</v>
      </c>
      <c r="D54" s="70">
        <v>6699</v>
      </c>
      <c r="E54" s="72">
        <v>570000</v>
      </c>
    </row>
    <row r="55" spans="1:5">
      <c r="A55" s="70"/>
      <c r="B55" s="70">
        <v>612</v>
      </c>
      <c r="C55" s="71" t="s">
        <v>371</v>
      </c>
      <c r="D55" s="70">
        <v>6702</v>
      </c>
      <c r="E55" s="72">
        <v>5775000</v>
      </c>
    </row>
    <row r="56" spans="1:5">
      <c r="A56" s="70"/>
      <c r="B56" s="70">
        <v>612</v>
      </c>
      <c r="C56" s="71" t="s">
        <v>371</v>
      </c>
      <c r="D56" s="70">
        <v>6751</v>
      </c>
      <c r="E56" s="72">
        <v>5500000</v>
      </c>
    </row>
    <row r="57" spans="1:5">
      <c r="A57" s="70"/>
      <c r="B57" s="70">
        <v>612</v>
      </c>
      <c r="C57" s="71" t="s">
        <v>371</v>
      </c>
      <c r="D57" s="70">
        <v>7001</v>
      </c>
      <c r="E57" s="72">
        <v>302160000</v>
      </c>
    </row>
    <row r="58" spans="1:5">
      <c r="A58" s="70"/>
      <c r="B58" s="70">
        <v>612</v>
      </c>
      <c r="C58" s="71" t="s">
        <v>371</v>
      </c>
      <c r="D58" s="70">
        <v>7049</v>
      </c>
      <c r="E58" s="72">
        <v>6750000</v>
      </c>
    </row>
    <row r="59" spans="1:5">
      <c r="A59" s="70"/>
      <c r="B59" s="70">
        <v>612</v>
      </c>
      <c r="C59" s="71" t="s">
        <v>372</v>
      </c>
      <c r="D59" s="70">
        <v>6606</v>
      </c>
      <c r="E59" s="72">
        <v>99000000</v>
      </c>
    </row>
    <row r="60" spans="1:5">
      <c r="A60" s="70"/>
      <c r="B60" s="70">
        <v>612</v>
      </c>
      <c r="C60" s="71" t="s">
        <v>372</v>
      </c>
      <c r="D60" s="70">
        <v>6651</v>
      </c>
      <c r="E60" s="72">
        <v>50332000</v>
      </c>
    </row>
    <row r="61" spans="1:5">
      <c r="A61" s="70"/>
      <c r="B61" s="70">
        <v>612</v>
      </c>
      <c r="C61" s="71" t="s">
        <v>372</v>
      </c>
      <c r="D61" s="70">
        <v>6652</v>
      </c>
      <c r="E61" s="72">
        <v>18000000</v>
      </c>
    </row>
    <row r="62" spans="1:5">
      <c r="A62" s="70"/>
      <c r="B62" s="70">
        <v>612</v>
      </c>
      <c r="C62" s="71" t="s">
        <v>372</v>
      </c>
      <c r="D62" s="70">
        <v>6655</v>
      </c>
      <c r="E62" s="72">
        <v>19300000</v>
      </c>
    </row>
    <row r="63" spans="1:5">
      <c r="A63" s="70"/>
      <c r="B63" s="70">
        <v>612</v>
      </c>
      <c r="C63" s="71" t="s">
        <v>372</v>
      </c>
      <c r="D63" s="70">
        <v>6699</v>
      </c>
      <c r="E63" s="72">
        <v>123573000</v>
      </c>
    </row>
    <row r="64" spans="1:5">
      <c r="A64" s="70"/>
      <c r="B64" s="70">
        <v>612</v>
      </c>
      <c r="C64" s="71" t="s">
        <v>372</v>
      </c>
      <c r="D64" s="70">
        <v>6751</v>
      </c>
      <c r="E64" s="72">
        <v>10000000</v>
      </c>
    </row>
    <row r="65" spans="1:5">
      <c r="A65" s="70"/>
      <c r="B65" s="70">
        <v>612</v>
      </c>
      <c r="C65" s="71" t="s">
        <v>372</v>
      </c>
      <c r="D65" s="70">
        <v>7012</v>
      </c>
      <c r="E65" s="72">
        <v>70987245</v>
      </c>
    </row>
    <row r="66" spans="1:5">
      <c r="A66" s="70"/>
      <c r="B66" s="70">
        <v>612</v>
      </c>
      <c r="C66" s="71" t="s">
        <v>372</v>
      </c>
      <c r="D66" s="70">
        <v>7049</v>
      </c>
      <c r="E66" s="72">
        <v>18190000</v>
      </c>
    </row>
    <row r="67" spans="1:5">
      <c r="A67" s="70"/>
      <c r="B67" s="70">
        <v>612</v>
      </c>
      <c r="C67" s="71" t="s">
        <v>373</v>
      </c>
      <c r="D67" s="70">
        <v>6655</v>
      </c>
      <c r="E67" s="72">
        <v>1000000</v>
      </c>
    </row>
    <row r="68" spans="1:5">
      <c r="A68" s="70"/>
      <c r="B68" s="70">
        <v>612</v>
      </c>
      <c r="C68" s="71" t="s">
        <v>373</v>
      </c>
      <c r="D68" s="70">
        <v>6657</v>
      </c>
      <c r="E68" s="72">
        <v>300000</v>
      </c>
    </row>
    <row r="69" spans="1:5">
      <c r="A69" s="70"/>
      <c r="B69" s="70">
        <v>612</v>
      </c>
      <c r="C69" s="71" t="s">
        <v>373</v>
      </c>
      <c r="D69" s="70">
        <v>6699</v>
      </c>
      <c r="E69" s="72">
        <v>12900000</v>
      </c>
    </row>
    <row r="70" spans="1:5">
      <c r="A70" s="70"/>
      <c r="B70" s="70">
        <v>612</v>
      </c>
      <c r="C70" s="71" t="s">
        <v>373</v>
      </c>
      <c r="D70" s="70">
        <v>6751</v>
      </c>
      <c r="E70" s="72">
        <v>10600000</v>
      </c>
    </row>
    <row r="71" spans="1:5">
      <c r="A71" s="70"/>
      <c r="B71" s="70">
        <v>612</v>
      </c>
      <c r="C71" s="71" t="s">
        <v>373</v>
      </c>
      <c r="D71" s="70">
        <v>7049</v>
      </c>
      <c r="E71" s="72">
        <v>100000000</v>
      </c>
    </row>
    <row r="72" spans="1:5">
      <c r="A72" s="70"/>
      <c r="B72" s="70">
        <v>612</v>
      </c>
      <c r="C72" s="71" t="s">
        <v>373</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374</v>
      </c>
      <c r="D95" s="70">
        <v>6551</v>
      </c>
      <c r="E95" s="72">
        <v>6643000</v>
      </c>
    </row>
    <row r="96" spans="1:5">
      <c r="A96" s="70"/>
      <c r="B96" s="70">
        <v>620</v>
      </c>
      <c r="C96" s="71" t="s">
        <v>374</v>
      </c>
      <c r="D96" s="70">
        <v>6651</v>
      </c>
      <c r="E96" s="72">
        <v>252000</v>
      </c>
    </row>
    <row r="97" spans="1:5">
      <c r="A97" s="70"/>
      <c r="B97" s="70">
        <v>620</v>
      </c>
      <c r="C97" s="71" t="s">
        <v>374</v>
      </c>
      <c r="D97" s="70">
        <v>6699</v>
      </c>
      <c r="E97" s="72">
        <v>1695000</v>
      </c>
    </row>
    <row r="98" spans="1:5">
      <c r="A98" s="70"/>
      <c r="B98" s="70">
        <v>620</v>
      </c>
      <c r="C98" s="71" t="s">
        <v>374</v>
      </c>
      <c r="D98" s="70">
        <v>6749</v>
      </c>
      <c r="E98" s="72">
        <v>500000</v>
      </c>
    </row>
    <row r="99" spans="1:5">
      <c r="A99" s="70"/>
      <c r="B99" s="70">
        <v>620</v>
      </c>
      <c r="C99" s="71" t="s">
        <v>374</v>
      </c>
      <c r="D99" s="70">
        <v>6912</v>
      </c>
      <c r="E99" s="72">
        <v>6955000</v>
      </c>
    </row>
    <row r="100" spans="1:5">
      <c r="A100" s="70"/>
      <c r="B100" s="70">
        <v>620</v>
      </c>
      <c r="C100" s="71" t="s">
        <v>374</v>
      </c>
      <c r="D100" s="70">
        <v>7003</v>
      </c>
      <c r="E100" s="72">
        <v>4350000</v>
      </c>
    </row>
    <row r="101" spans="1:5">
      <c r="A101" s="70"/>
      <c r="B101" s="70">
        <v>620</v>
      </c>
      <c r="C101" s="71" t="s">
        <v>374</v>
      </c>
      <c r="D101" s="70">
        <v>7049</v>
      </c>
      <c r="E101" s="72">
        <v>141115000</v>
      </c>
    </row>
    <row r="102" spans="1:5">
      <c r="A102" s="70"/>
      <c r="B102" s="70">
        <v>620</v>
      </c>
      <c r="C102" s="71" t="s">
        <v>374</v>
      </c>
      <c r="D102" s="70">
        <v>7761</v>
      </c>
      <c r="E102" s="72">
        <v>4323000</v>
      </c>
    </row>
    <row r="103" spans="1:5">
      <c r="A103" s="70"/>
      <c r="B103" s="70">
        <v>620</v>
      </c>
      <c r="C103" s="71" t="s">
        <v>370</v>
      </c>
      <c r="D103" s="70">
        <v>6503</v>
      </c>
      <c r="E103" s="72">
        <v>5709120</v>
      </c>
    </row>
    <row r="104" spans="1:5">
      <c r="A104" s="70"/>
      <c r="B104" s="70">
        <v>620</v>
      </c>
      <c r="C104" s="71" t="s">
        <v>370</v>
      </c>
      <c r="D104" s="70">
        <v>6551</v>
      </c>
      <c r="E104" s="72">
        <v>2500000</v>
      </c>
    </row>
    <row r="105" spans="1:5">
      <c r="A105" s="70"/>
      <c r="B105" s="70">
        <v>620</v>
      </c>
      <c r="C105" s="71" t="s">
        <v>370</v>
      </c>
      <c r="D105" s="70">
        <v>6651</v>
      </c>
      <c r="E105" s="72">
        <v>700000</v>
      </c>
    </row>
    <row r="106" spans="1:5">
      <c r="A106" s="70"/>
      <c r="B106" s="70">
        <v>620</v>
      </c>
      <c r="C106" s="71" t="s">
        <v>370</v>
      </c>
      <c r="D106" s="70">
        <v>6699</v>
      </c>
      <c r="E106" s="72">
        <v>1050000</v>
      </c>
    </row>
    <row r="107" spans="1:5">
      <c r="A107" s="70"/>
      <c r="B107" s="70">
        <v>620</v>
      </c>
      <c r="C107" s="71" t="s">
        <v>370</v>
      </c>
      <c r="D107" s="70">
        <v>7049</v>
      </c>
      <c r="E107" s="72">
        <v>215299000</v>
      </c>
    </row>
    <row r="108" spans="1:5">
      <c r="A108" s="70"/>
      <c r="B108" s="70">
        <v>620</v>
      </c>
      <c r="C108" s="71" t="s">
        <v>370</v>
      </c>
      <c r="D108" s="70">
        <v>7799</v>
      </c>
      <c r="E108" s="72">
        <v>6228000</v>
      </c>
    </row>
    <row r="109" spans="1:5">
      <c r="A109" s="70"/>
      <c r="B109" s="70">
        <v>620</v>
      </c>
      <c r="C109" s="71" t="s">
        <v>370</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371</v>
      </c>
      <c r="D146" s="70">
        <v>7758</v>
      </c>
      <c r="E146" s="72">
        <v>29666000</v>
      </c>
    </row>
    <row r="147" spans="1:5">
      <c r="A147" s="70"/>
      <c r="B147" s="70">
        <v>800</v>
      </c>
      <c r="C147" s="71" t="s">
        <v>373</v>
      </c>
      <c r="D147" s="70">
        <v>6922</v>
      </c>
      <c r="E147" s="72">
        <v>16788000</v>
      </c>
    </row>
    <row r="148" spans="1:5">
      <c r="A148" s="70"/>
      <c r="B148" s="70">
        <v>800</v>
      </c>
      <c r="C148" s="71" t="s">
        <v>373</v>
      </c>
      <c r="D148" s="70">
        <v>6923</v>
      </c>
      <c r="E148" s="72">
        <v>33797000</v>
      </c>
    </row>
    <row r="149" spans="1:5">
      <c r="A149" s="70"/>
      <c r="B149" s="70">
        <v>800</v>
      </c>
      <c r="C149" s="71" t="s">
        <v>373</v>
      </c>
      <c r="D149" s="70">
        <v>9201</v>
      </c>
      <c r="E149" s="72">
        <v>31800000</v>
      </c>
    </row>
    <row r="150" spans="1:5">
      <c r="A150" s="70"/>
      <c r="B150" s="70">
        <v>800</v>
      </c>
      <c r="C150" s="71" t="s">
        <v>373</v>
      </c>
      <c r="D150" s="70">
        <v>9202</v>
      </c>
      <c r="E150" s="72">
        <v>64617000</v>
      </c>
    </row>
    <row r="151" spans="1:5">
      <c r="A151" s="70"/>
      <c r="B151" s="70">
        <v>800</v>
      </c>
      <c r="C151" s="71" t="s">
        <v>373</v>
      </c>
      <c r="D151" s="70">
        <v>9203</v>
      </c>
      <c r="E151" s="72">
        <v>161934</v>
      </c>
    </row>
    <row r="152" spans="1:5">
      <c r="A152" s="70"/>
      <c r="B152" s="70">
        <v>800</v>
      </c>
      <c r="C152" s="71" t="s">
        <v>373</v>
      </c>
      <c r="D152" s="70">
        <v>9301</v>
      </c>
      <c r="E152" s="72">
        <v>1917820000</v>
      </c>
    </row>
    <row r="153" spans="1:5">
      <c r="A153" s="70"/>
      <c r="B153" s="70">
        <v>800</v>
      </c>
      <c r="C153" s="71" t="s">
        <v>373</v>
      </c>
      <c r="D153" s="70">
        <v>9401</v>
      </c>
      <c r="E153" s="72">
        <v>34303414</v>
      </c>
    </row>
    <row r="154" spans="1:5">
      <c r="A154" s="70"/>
      <c r="B154" s="70">
        <v>800</v>
      </c>
      <c r="C154" s="71" t="s">
        <v>373</v>
      </c>
      <c r="D154" s="70">
        <v>9402</v>
      </c>
      <c r="E154" s="72">
        <v>64878000</v>
      </c>
    </row>
    <row r="155" spans="1:5">
      <c r="A155" s="70"/>
      <c r="B155" s="70">
        <v>800</v>
      </c>
      <c r="C155" s="71" t="s">
        <v>373</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1" t="s">
        <v>375</v>
      </c>
      <c r="B264" s="391"/>
      <c r="C264" s="391"/>
      <c r="D264" s="391"/>
      <c r="E264" s="69">
        <f>SUM(E265:E316)</f>
        <v>22650022536</v>
      </c>
      <c r="F264" s="73">
        <f>E264-21074054536</f>
        <v>1575968000</v>
      </c>
    </row>
    <row r="265" spans="1:6">
      <c r="A265" s="70"/>
      <c r="B265" s="70">
        <v>412</v>
      </c>
      <c r="C265" s="71" t="s">
        <v>373</v>
      </c>
      <c r="D265" s="70">
        <v>9301</v>
      </c>
      <c r="E265" s="72">
        <v>335500000</v>
      </c>
    </row>
    <row r="266" spans="1:6">
      <c r="A266" s="70"/>
      <c r="B266" s="70">
        <v>412</v>
      </c>
      <c r="C266" s="71" t="s">
        <v>373</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2" t="s">
        <v>376</v>
      </c>
      <c r="B317" s="392"/>
      <c r="C317" s="392"/>
      <c r="D317" s="392"/>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3" t="s">
        <v>377</v>
      </c>
      <c r="B371" s="393"/>
      <c r="C371" s="393"/>
      <c r="D371" s="393"/>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6" t="s">
        <v>378</v>
      </c>
      <c r="B376" s="386"/>
      <c r="C376" s="386"/>
      <c r="D376" s="386"/>
      <c r="E376" s="69">
        <f>SUM(E377:E378)</f>
        <v>5300000000</v>
      </c>
    </row>
    <row r="377" spans="1:5">
      <c r="A377" s="70"/>
      <c r="B377" s="70">
        <v>412</v>
      </c>
      <c r="C377" s="71" t="s">
        <v>374</v>
      </c>
      <c r="D377" s="70">
        <v>9301</v>
      </c>
      <c r="E377" s="72">
        <v>5244770200</v>
      </c>
    </row>
    <row r="378" spans="1:5">
      <c r="A378" s="70"/>
      <c r="B378" s="70">
        <v>412</v>
      </c>
      <c r="C378" s="71" t="s">
        <v>374</v>
      </c>
      <c r="D378" s="70">
        <v>9402</v>
      </c>
      <c r="E378" s="72">
        <v>55229800</v>
      </c>
    </row>
    <row r="379" spans="1:5">
      <c r="A379" s="387" t="s">
        <v>379</v>
      </c>
      <c r="B379" s="387"/>
      <c r="C379" s="387"/>
      <c r="D379" s="387"/>
      <c r="E379" s="69">
        <f>SUM(E380:E383)</f>
        <v>290376928</v>
      </c>
    </row>
    <row r="380" spans="1:5">
      <c r="A380" s="70"/>
      <c r="B380" s="70">
        <v>412</v>
      </c>
      <c r="C380" s="71" t="s">
        <v>380</v>
      </c>
      <c r="D380" s="70">
        <v>6551</v>
      </c>
      <c r="E380" s="72">
        <v>1500000</v>
      </c>
    </row>
    <row r="381" spans="1:5">
      <c r="A381" s="70"/>
      <c r="B381" s="70">
        <v>412</v>
      </c>
      <c r="C381" s="71" t="s">
        <v>380</v>
      </c>
      <c r="D381" s="70">
        <v>6702</v>
      </c>
      <c r="E381" s="72">
        <v>4340000</v>
      </c>
    </row>
    <row r="382" spans="1:5">
      <c r="A382" s="70"/>
      <c r="B382" s="70">
        <v>412</v>
      </c>
      <c r="C382" s="71" t="s">
        <v>380</v>
      </c>
      <c r="D382" s="70">
        <v>6751</v>
      </c>
      <c r="E382" s="72">
        <v>15000000</v>
      </c>
    </row>
    <row r="383" spans="1:5">
      <c r="A383" s="74"/>
      <c r="B383" s="74">
        <v>412</v>
      </c>
      <c r="C383" s="75" t="s">
        <v>380</v>
      </c>
      <c r="D383" s="74">
        <v>7049</v>
      </c>
      <c r="E383" s="76">
        <v>269536928</v>
      </c>
    </row>
    <row r="385" spans="1:6" s="78" customFormat="1">
      <c r="A385" s="77"/>
      <c r="C385" s="388" t="s">
        <v>381</v>
      </c>
      <c r="D385" s="388"/>
      <c r="E385" s="388"/>
      <c r="F385" s="83"/>
    </row>
    <row r="386" spans="1:6" s="80" customFormat="1">
      <c r="A386" s="79"/>
      <c r="C386" s="389" t="s">
        <v>382</v>
      </c>
      <c r="D386" s="389"/>
      <c r="E386" s="389"/>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418</v>
      </c>
      <c r="B1" s="88"/>
      <c r="C1" s="89"/>
      <c r="D1" s="89"/>
      <c r="E1" s="89"/>
      <c r="F1" s="89"/>
      <c r="G1" s="89"/>
      <c r="H1" s="89"/>
      <c r="I1" s="89"/>
      <c r="J1" s="90"/>
      <c r="K1" s="89"/>
      <c r="L1" s="89"/>
      <c r="M1" s="89"/>
      <c r="N1" s="89"/>
      <c r="O1" s="89"/>
      <c r="P1" s="89"/>
      <c r="Q1" s="89"/>
      <c r="R1" s="89"/>
      <c r="S1" s="89"/>
      <c r="T1" s="89"/>
      <c r="U1" s="89"/>
      <c r="V1" s="89"/>
      <c r="W1" s="91"/>
      <c r="X1" s="400" t="s">
        <v>419</v>
      </c>
      <c r="Y1" s="400"/>
    </row>
    <row r="2" spans="1:26">
      <c r="A2" s="400" t="s">
        <v>420</v>
      </c>
      <c r="B2" s="400"/>
      <c r="C2" s="400"/>
      <c r="D2" s="400"/>
      <c r="E2" s="400"/>
      <c r="F2" s="400"/>
      <c r="G2" s="400"/>
      <c r="H2" s="400"/>
      <c r="I2" s="400"/>
      <c r="J2" s="400"/>
      <c r="K2" s="400"/>
      <c r="L2" s="400"/>
      <c r="M2" s="400"/>
      <c r="N2" s="400"/>
      <c r="O2" s="400"/>
      <c r="P2" s="400"/>
      <c r="Q2" s="400"/>
      <c r="R2" s="400"/>
      <c r="S2" s="400"/>
      <c r="T2" s="400"/>
      <c r="U2" s="400"/>
      <c r="V2" s="400"/>
      <c r="W2" s="400"/>
      <c r="X2" s="400"/>
      <c r="Y2" s="400"/>
    </row>
    <row r="3" spans="1:26">
      <c r="A3" s="400" t="s">
        <v>421</v>
      </c>
      <c r="B3" s="400"/>
      <c r="C3" s="400"/>
      <c r="D3" s="400"/>
      <c r="E3" s="400"/>
      <c r="F3" s="400"/>
      <c r="G3" s="400"/>
      <c r="H3" s="400"/>
      <c r="I3" s="400"/>
      <c r="J3" s="400"/>
      <c r="K3" s="400"/>
      <c r="L3" s="400"/>
      <c r="M3" s="400"/>
      <c r="N3" s="400"/>
      <c r="O3" s="400"/>
      <c r="P3" s="400"/>
      <c r="Q3" s="400"/>
      <c r="R3" s="400"/>
      <c r="S3" s="400"/>
      <c r="T3" s="400"/>
      <c r="U3" s="400"/>
      <c r="V3" s="400"/>
      <c r="W3" s="400"/>
      <c r="X3" s="400"/>
      <c r="Y3" s="400"/>
    </row>
    <row r="4" spans="1:26">
      <c r="A4" s="401" t="s">
        <v>422</v>
      </c>
      <c r="B4" s="401"/>
      <c r="C4" s="401"/>
      <c r="D4" s="401"/>
      <c r="E4" s="401"/>
      <c r="F4" s="401"/>
      <c r="G4" s="401"/>
      <c r="H4" s="401"/>
      <c r="I4" s="401"/>
      <c r="J4" s="401"/>
      <c r="K4" s="401"/>
      <c r="L4" s="401"/>
      <c r="M4" s="401"/>
      <c r="N4" s="401"/>
      <c r="O4" s="401"/>
      <c r="P4" s="401"/>
      <c r="Q4" s="401"/>
      <c r="R4" s="401"/>
      <c r="S4" s="401"/>
      <c r="T4" s="401"/>
      <c r="U4" s="401"/>
      <c r="V4" s="401"/>
      <c r="W4" s="401"/>
      <c r="X4" s="401"/>
      <c r="Y4" s="401"/>
    </row>
    <row r="5" spans="1:26">
      <c r="A5" s="89"/>
      <c r="B5" s="93"/>
      <c r="C5" s="89"/>
      <c r="D5" s="89"/>
      <c r="E5" s="89"/>
      <c r="F5" s="89"/>
      <c r="G5" s="89"/>
      <c r="H5" s="89"/>
      <c r="I5" s="89"/>
      <c r="J5" s="90"/>
      <c r="K5" s="89"/>
      <c r="L5" s="89"/>
      <c r="M5" s="89"/>
      <c r="N5" s="89"/>
      <c r="O5" s="89"/>
      <c r="P5" s="89"/>
      <c r="Q5" s="89"/>
      <c r="R5" s="89"/>
      <c r="S5" s="89"/>
      <c r="T5" s="89"/>
      <c r="U5" s="94"/>
      <c r="V5" s="94"/>
      <c r="W5" s="203"/>
      <c r="X5" s="402" t="s">
        <v>423</v>
      </c>
      <c r="Y5" s="402"/>
    </row>
    <row r="6" spans="1:26" s="96" customFormat="1" ht="11.25">
      <c r="A6" s="394" t="s">
        <v>424</v>
      </c>
      <c r="B6" s="394" t="s">
        <v>52</v>
      </c>
      <c r="C6" s="397" t="s">
        <v>425</v>
      </c>
      <c r="D6" s="394" t="s">
        <v>426</v>
      </c>
      <c r="E6" s="394" t="s">
        <v>427</v>
      </c>
      <c r="F6" s="403" t="s">
        <v>428</v>
      </c>
      <c r="G6" s="403"/>
      <c r="H6" s="404" t="s">
        <v>429</v>
      </c>
      <c r="I6" s="404" t="s">
        <v>430</v>
      </c>
      <c r="J6" s="95"/>
      <c r="K6" s="405" t="s">
        <v>431</v>
      </c>
      <c r="L6" s="406"/>
      <c r="M6" s="406"/>
      <c r="N6" s="406"/>
      <c r="O6" s="406"/>
      <c r="P6" s="407"/>
      <c r="Q6" s="405" t="s">
        <v>432</v>
      </c>
      <c r="R6" s="406"/>
      <c r="S6" s="406"/>
      <c r="T6" s="406"/>
      <c r="U6" s="406"/>
      <c r="V6" s="406"/>
      <c r="W6" s="394" t="s">
        <v>433</v>
      </c>
      <c r="X6" s="394" t="s">
        <v>434</v>
      </c>
      <c r="Y6" s="394" t="s">
        <v>435</v>
      </c>
    </row>
    <row r="7" spans="1:26" s="96" customFormat="1" ht="11.25">
      <c r="A7" s="395"/>
      <c r="B7" s="395"/>
      <c r="C7" s="398"/>
      <c r="D7" s="395"/>
      <c r="E7" s="395"/>
      <c r="F7" s="403"/>
      <c r="G7" s="403"/>
      <c r="H7" s="404"/>
      <c r="I7" s="404"/>
      <c r="J7" s="97"/>
      <c r="K7" s="408"/>
      <c r="L7" s="409"/>
      <c r="M7" s="409"/>
      <c r="N7" s="409"/>
      <c r="O7" s="409"/>
      <c r="P7" s="410"/>
      <c r="Q7" s="408"/>
      <c r="R7" s="409"/>
      <c r="S7" s="409"/>
      <c r="T7" s="409"/>
      <c r="U7" s="409"/>
      <c r="V7" s="409"/>
      <c r="W7" s="395"/>
      <c r="X7" s="395"/>
      <c r="Y7" s="395"/>
    </row>
    <row r="8" spans="1:26" s="96" customFormat="1" ht="11.25">
      <c r="A8" s="395" t="s">
        <v>436</v>
      </c>
      <c r="B8" s="395" t="s">
        <v>436</v>
      </c>
      <c r="C8" s="398" t="s">
        <v>436</v>
      </c>
      <c r="D8" s="395"/>
      <c r="E8" s="395" t="s">
        <v>436</v>
      </c>
      <c r="F8" s="403"/>
      <c r="G8" s="403"/>
      <c r="H8" s="404"/>
      <c r="I8" s="404"/>
      <c r="J8" s="98"/>
      <c r="K8" s="394" t="s">
        <v>437</v>
      </c>
      <c r="L8" s="412" t="s">
        <v>438</v>
      </c>
      <c r="M8" s="412"/>
      <c r="N8" s="412"/>
      <c r="O8" s="394" t="s">
        <v>439</v>
      </c>
      <c r="P8" s="394" t="s">
        <v>440</v>
      </c>
      <c r="Q8" s="394" t="s">
        <v>441</v>
      </c>
      <c r="R8" s="412" t="s">
        <v>438</v>
      </c>
      <c r="S8" s="412"/>
      <c r="T8" s="412"/>
      <c r="U8" s="394" t="s">
        <v>439</v>
      </c>
      <c r="V8" s="394" t="s">
        <v>440</v>
      </c>
      <c r="W8" s="395"/>
      <c r="X8" s="395"/>
      <c r="Y8" s="395"/>
    </row>
    <row r="9" spans="1:26" s="96" customFormat="1" ht="11.25">
      <c r="A9" s="395" t="s">
        <v>442</v>
      </c>
      <c r="B9" s="395" t="s">
        <v>442</v>
      </c>
      <c r="C9" s="398" t="s">
        <v>442</v>
      </c>
      <c r="D9" s="395"/>
      <c r="E9" s="395" t="s">
        <v>442</v>
      </c>
      <c r="F9" s="404" t="s">
        <v>180</v>
      </c>
      <c r="G9" s="404" t="s">
        <v>443</v>
      </c>
      <c r="H9" s="404"/>
      <c r="I9" s="404"/>
      <c r="J9" s="99"/>
      <c r="K9" s="395"/>
      <c r="L9" s="412" t="s">
        <v>180</v>
      </c>
      <c r="M9" s="412" t="s">
        <v>444</v>
      </c>
      <c r="N9" s="412" t="s">
        <v>445</v>
      </c>
      <c r="O9" s="395"/>
      <c r="P9" s="395"/>
      <c r="Q9" s="395"/>
      <c r="R9" s="412" t="s">
        <v>180</v>
      </c>
      <c r="S9" s="412" t="s">
        <v>444</v>
      </c>
      <c r="T9" s="412" t="s">
        <v>445</v>
      </c>
      <c r="U9" s="395"/>
      <c r="V9" s="395"/>
      <c r="W9" s="395"/>
      <c r="X9" s="395"/>
      <c r="Y9" s="395"/>
    </row>
    <row r="10" spans="1:26" s="96" customFormat="1" ht="21">
      <c r="A10" s="396"/>
      <c r="B10" s="396"/>
      <c r="C10" s="399"/>
      <c r="D10" s="396"/>
      <c r="E10" s="396"/>
      <c r="F10" s="411"/>
      <c r="G10" s="411"/>
      <c r="H10" s="404"/>
      <c r="I10" s="404"/>
      <c r="J10" s="100" t="s">
        <v>446</v>
      </c>
      <c r="K10" s="396"/>
      <c r="L10" s="412"/>
      <c r="M10" s="412"/>
      <c r="N10" s="412"/>
      <c r="O10" s="396"/>
      <c r="P10" s="396"/>
      <c r="Q10" s="396"/>
      <c r="R10" s="412"/>
      <c r="S10" s="412"/>
      <c r="T10" s="412"/>
      <c r="U10" s="396"/>
      <c r="V10" s="396"/>
      <c r="W10" s="396"/>
      <c r="X10" s="396"/>
      <c r="Y10" s="396"/>
    </row>
    <row r="11" spans="1:26" s="96" customFormat="1" ht="11.25">
      <c r="A11" s="101">
        <v>1</v>
      </c>
      <c r="B11" s="101">
        <v>2</v>
      </c>
      <c r="C11" s="102">
        <v>3</v>
      </c>
      <c r="D11" s="101">
        <v>4</v>
      </c>
      <c r="E11" s="101">
        <v>5</v>
      </c>
      <c r="F11" s="101">
        <v>6</v>
      </c>
      <c r="G11" s="101">
        <v>7</v>
      </c>
      <c r="H11" s="101">
        <v>8</v>
      </c>
      <c r="I11" s="101">
        <v>9</v>
      </c>
      <c r="J11" s="103" t="e">
        <f>SUM(#REF!)</f>
        <v>#REF!</v>
      </c>
      <c r="K11" s="101">
        <v>10</v>
      </c>
      <c r="L11" s="101" t="s">
        <v>248</v>
      </c>
      <c r="M11" s="101">
        <v>12</v>
      </c>
      <c r="N11" s="101">
        <v>13</v>
      </c>
      <c r="O11" s="101">
        <v>14</v>
      </c>
      <c r="P11" s="101" t="s">
        <v>447</v>
      </c>
      <c r="Q11" s="101">
        <v>16</v>
      </c>
      <c r="R11" s="101" t="s">
        <v>448</v>
      </c>
      <c r="S11" s="101">
        <v>18</v>
      </c>
      <c r="T11" s="101">
        <v>19</v>
      </c>
      <c r="U11" s="101">
        <v>20</v>
      </c>
      <c r="V11" s="101" t="s">
        <v>449</v>
      </c>
      <c r="W11" s="101" t="s">
        <v>450</v>
      </c>
      <c r="X11" s="101" t="s">
        <v>451</v>
      </c>
      <c r="Y11" s="101" t="s">
        <v>452</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453</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454</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455</v>
      </c>
      <c r="B15" s="115" t="s">
        <v>456</v>
      </c>
      <c r="C15" s="116" t="s">
        <v>457</v>
      </c>
      <c r="D15" s="116" t="s">
        <v>458</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459</v>
      </c>
      <c r="B16" s="115" t="s">
        <v>460</v>
      </c>
      <c r="C16" s="116" t="s">
        <v>457</v>
      </c>
      <c r="D16" s="116" t="s">
        <v>461</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462</v>
      </c>
      <c r="B17" s="115" t="s">
        <v>463</v>
      </c>
      <c r="C17" s="116" t="s">
        <v>457</v>
      </c>
      <c r="D17" s="116" t="s">
        <v>464</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465</v>
      </c>
      <c r="B18" s="115" t="s">
        <v>466</v>
      </c>
      <c r="C18" s="116" t="s">
        <v>457</v>
      </c>
      <c r="D18" s="116" t="s">
        <v>467</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468</v>
      </c>
      <c r="B19" s="115" t="s">
        <v>469</v>
      </c>
      <c r="C19" s="116" t="s">
        <v>457</v>
      </c>
      <c r="D19" s="116" t="s">
        <v>470</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471</v>
      </c>
      <c r="B20" s="115" t="s">
        <v>472</v>
      </c>
      <c r="C20" s="116" t="s">
        <v>457</v>
      </c>
      <c r="D20" s="116" t="s">
        <v>473</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474</v>
      </c>
      <c r="B21" s="115" t="s">
        <v>475</v>
      </c>
      <c r="C21" s="116" t="s">
        <v>457</v>
      </c>
      <c r="D21" s="116" t="s">
        <v>476</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477</v>
      </c>
      <c r="B22" s="115" t="s">
        <v>478</v>
      </c>
      <c r="C22" s="116" t="s">
        <v>457</v>
      </c>
      <c r="D22" s="116" t="s">
        <v>479</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480</v>
      </c>
      <c r="B23" s="115" t="s">
        <v>481</v>
      </c>
      <c r="C23" s="116" t="s">
        <v>457</v>
      </c>
      <c r="D23" s="116" t="s">
        <v>482</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483</v>
      </c>
      <c r="B24" s="115" t="s">
        <v>484</v>
      </c>
      <c r="C24" s="116" t="s">
        <v>457</v>
      </c>
      <c r="D24" s="116" t="s">
        <v>485</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486</v>
      </c>
      <c r="B25" s="115" t="s">
        <v>487</v>
      </c>
      <c r="C25" s="116" t="s">
        <v>457</v>
      </c>
      <c r="D25" s="116" t="s">
        <v>488</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489</v>
      </c>
      <c r="B26" s="115" t="s">
        <v>490</v>
      </c>
      <c r="C26" s="116" t="s">
        <v>457</v>
      </c>
      <c r="D26" s="116" t="s">
        <v>491</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492</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455</v>
      </c>
      <c r="B28" s="115" t="s">
        <v>493</v>
      </c>
      <c r="C28" s="116" t="s">
        <v>457</v>
      </c>
      <c r="D28" s="116" t="s">
        <v>494</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459</v>
      </c>
      <c r="B29" s="115" t="s">
        <v>495</v>
      </c>
      <c r="C29" s="116" t="s">
        <v>457</v>
      </c>
      <c r="D29" s="116" t="s">
        <v>496</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462</v>
      </c>
      <c r="B30" s="115" t="s">
        <v>497</v>
      </c>
      <c r="C30" s="116" t="s">
        <v>457</v>
      </c>
      <c r="D30" s="116" t="s">
        <v>498</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465</v>
      </c>
      <c r="B31" s="115" t="s">
        <v>499</v>
      </c>
      <c r="C31" s="116" t="s">
        <v>457</v>
      </c>
      <c r="D31" s="116" t="s">
        <v>500</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468</v>
      </c>
      <c r="B32" s="115" t="s">
        <v>501</v>
      </c>
      <c r="C32" s="116" t="s">
        <v>457</v>
      </c>
      <c r="D32" s="116" t="s">
        <v>502</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471</v>
      </c>
      <c r="B33" s="115" t="s">
        <v>503</v>
      </c>
      <c r="C33" s="116" t="s">
        <v>457</v>
      </c>
      <c r="D33" s="116" t="s">
        <v>504</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474</v>
      </c>
      <c r="B34" s="115" t="s">
        <v>505</v>
      </c>
      <c r="C34" s="116" t="s">
        <v>457</v>
      </c>
      <c r="D34" s="116" t="s">
        <v>506</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507</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455</v>
      </c>
      <c r="B36" s="115" t="s">
        <v>508</v>
      </c>
      <c r="C36" s="116" t="s">
        <v>457</v>
      </c>
      <c r="D36" s="116" t="s">
        <v>509</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459</v>
      </c>
      <c r="B37" s="115" t="s">
        <v>510</v>
      </c>
      <c r="C37" s="116" t="s">
        <v>457</v>
      </c>
      <c r="D37" s="116" t="s">
        <v>511</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462</v>
      </c>
      <c r="B38" s="115" t="s">
        <v>512</v>
      </c>
      <c r="C38" s="116" t="s">
        <v>457</v>
      </c>
      <c r="D38" s="116" t="s">
        <v>513</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465</v>
      </c>
      <c r="B39" s="115" t="s">
        <v>514</v>
      </c>
      <c r="C39" s="116" t="s">
        <v>457</v>
      </c>
      <c r="D39" s="116" t="s">
        <v>515</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468</v>
      </c>
      <c r="B40" s="115" t="s">
        <v>516</v>
      </c>
      <c r="C40" s="116" t="s">
        <v>457</v>
      </c>
      <c r="D40" s="116" t="s">
        <v>517</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471</v>
      </c>
      <c r="B41" s="115" t="s">
        <v>518</v>
      </c>
      <c r="C41" s="116" t="s">
        <v>457</v>
      </c>
      <c r="D41" s="116" t="s">
        <v>519</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474</v>
      </c>
      <c r="B42" s="115" t="s">
        <v>520</v>
      </c>
      <c r="C42" s="116" t="s">
        <v>457</v>
      </c>
      <c r="D42" s="116" t="s">
        <v>521</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477</v>
      </c>
      <c r="B43" s="115" t="s">
        <v>522</v>
      </c>
      <c r="C43" s="116" t="s">
        <v>457</v>
      </c>
      <c r="D43" s="116" t="s">
        <v>523</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480</v>
      </c>
      <c r="B44" s="115" t="s">
        <v>524</v>
      </c>
      <c r="C44" s="116" t="s">
        <v>457</v>
      </c>
      <c r="D44" s="116" t="s">
        <v>525</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483</v>
      </c>
      <c r="B45" s="115" t="s">
        <v>526</v>
      </c>
      <c r="C45" s="116" t="s">
        <v>457</v>
      </c>
      <c r="D45" s="116" t="s">
        <v>527</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528</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455</v>
      </c>
      <c r="B47" s="115" t="s">
        <v>529</v>
      </c>
      <c r="C47" s="116" t="s">
        <v>457</v>
      </c>
      <c r="D47" s="116" t="s">
        <v>530</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459</v>
      </c>
      <c r="B48" s="115" t="s">
        <v>531</v>
      </c>
      <c r="C48" s="116" t="s">
        <v>457</v>
      </c>
      <c r="D48" s="116" t="s">
        <v>532</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462</v>
      </c>
      <c r="B49" s="115" t="s">
        <v>533</v>
      </c>
      <c r="C49" s="116" t="s">
        <v>457</v>
      </c>
      <c r="D49" s="116" t="s">
        <v>534</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465</v>
      </c>
      <c r="B50" s="115" t="s">
        <v>535</v>
      </c>
      <c r="C50" s="116" t="s">
        <v>457</v>
      </c>
      <c r="D50" s="116" t="s">
        <v>536</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468</v>
      </c>
      <c r="B51" s="115" t="s">
        <v>537</v>
      </c>
      <c r="C51" s="116" t="s">
        <v>457</v>
      </c>
      <c r="D51" s="116" t="s">
        <v>538</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471</v>
      </c>
      <c r="B52" s="115" t="s">
        <v>539</v>
      </c>
      <c r="C52" s="116" t="s">
        <v>457</v>
      </c>
      <c r="D52" s="116" t="s">
        <v>540</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474</v>
      </c>
      <c r="B53" s="115" t="s">
        <v>541</v>
      </c>
      <c r="C53" s="116" t="s">
        <v>457</v>
      </c>
      <c r="D53" s="116" t="s">
        <v>542</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477</v>
      </c>
      <c r="B54" s="115" t="s">
        <v>543</v>
      </c>
      <c r="C54" s="116" t="s">
        <v>457</v>
      </c>
      <c r="D54" s="116" t="s">
        <v>544</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480</v>
      </c>
      <c r="B55" s="115" t="s">
        <v>545</v>
      </c>
      <c r="C55" s="116" t="s">
        <v>457</v>
      </c>
      <c r="D55" s="116" t="s">
        <v>546</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483</v>
      </c>
      <c r="B56" s="115" t="s">
        <v>547</v>
      </c>
      <c r="C56" s="116" t="s">
        <v>457</v>
      </c>
      <c r="D56" s="116" t="s">
        <v>548</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486</v>
      </c>
      <c r="B57" s="115" t="s">
        <v>549</v>
      </c>
      <c r="C57" s="116" t="s">
        <v>457</v>
      </c>
      <c r="D57" s="116" t="s">
        <v>550</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489</v>
      </c>
      <c r="B58" s="115" t="s">
        <v>551</v>
      </c>
      <c r="C58" s="116" t="s">
        <v>457</v>
      </c>
      <c r="D58" s="116" t="s">
        <v>552</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553</v>
      </c>
      <c r="B59" s="115" t="s">
        <v>554</v>
      </c>
      <c r="C59" s="116" t="s">
        <v>457</v>
      </c>
      <c r="D59" s="116" t="s">
        <v>555</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556</v>
      </c>
      <c r="B60" s="115" t="s">
        <v>557</v>
      </c>
      <c r="C60" s="116" t="s">
        <v>457</v>
      </c>
      <c r="D60" s="116" t="s">
        <v>558</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559</v>
      </c>
      <c r="B61" s="115" t="s">
        <v>560</v>
      </c>
      <c r="C61" s="116" t="s">
        <v>457</v>
      </c>
      <c r="D61" s="116" t="s">
        <v>561</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562</v>
      </c>
      <c r="B62" s="115" t="s">
        <v>563</v>
      </c>
      <c r="C62" s="116" t="s">
        <v>457</v>
      </c>
      <c r="D62" s="116" t="s">
        <v>564</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565</v>
      </c>
      <c r="B63" s="115" t="s">
        <v>566</v>
      </c>
      <c r="C63" s="116" t="s">
        <v>457</v>
      </c>
      <c r="D63" s="116" t="s">
        <v>567</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568</v>
      </c>
      <c r="B64" s="115" t="s">
        <v>569</v>
      </c>
      <c r="C64" s="116" t="s">
        <v>457</v>
      </c>
      <c r="D64" s="116" t="s">
        <v>570</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571</v>
      </c>
      <c r="B65" s="115" t="s">
        <v>572</v>
      </c>
      <c r="C65" s="116" t="s">
        <v>457</v>
      </c>
      <c r="D65" s="116" t="s">
        <v>573</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574</v>
      </c>
      <c r="B66" s="115" t="s">
        <v>575</v>
      </c>
      <c r="C66" s="116" t="s">
        <v>457</v>
      </c>
      <c r="D66" s="116" t="s">
        <v>576</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577</v>
      </c>
      <c r="B67" s="115" t="s">
        <v>578</v>
      </c>
      <c r="C67" s="116" t="s">
        <v>457</v>
      </c>
      <c r="D67" s="116" t="s">
        <v>579</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580</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455</v>
      </c>
      <c r="B69" s="115" t="s">
        <v>581</v>
      </c>
      <c r="C69" s="116" t="s">
        <v>457</v>
      </c>
      <c r="D69" s="116" t="s">
        <v>582</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459</v>
      </c>
      <c r="B70" s="115" t="s">
        <v>583</v>
      </c>
      <c r="C70" s="116" t="s">
        <v>457</v>
      </c>
      <c r="D70" s="116" t="s">
        <v>584</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462</v>
      </c>
      <c r="B71" s="115" t="s">
        <v>585</v>
      </c>
      <c r="C71" s="116" t="s">
        <v>457</v>
      </c>
      <c r="D71" s="116" t="s">
        <v>586</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465</v>
      </c>
      <c r="B72" s="115" t="s">
        <v>587</v>
      </c>
      <c r="C72" s="116" t="s">
        <v>457</v>
      </c>
      <c r="D72" s="116" t="s">
        <v>588</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468</v>
      </c>
      <c r="B73" s="115" t="s">
        <v>589</v>
      </c>
      <c r="C73" s="116" t="s">
        <v>457</v>
      </c>
      <c r="D73" s="116" t="s">
        <v>590</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471</v>
      </c>
      <c r="B74" s="115" t="s">
        <v>591</v>
      </c>
      <c r="C74" s="116" t="s">
        <v>457</v>
      </c>
      <c r="D74" s="116" t="s">
        <v>592</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474</v>
      </c>
      <c r="B75" s="115" t="s">
        <v>593</v>
      </c>
      <c r="C75" s="116" t="s">
        <v>457</v>
      </c>
      <c r="D75" s="116" t="s">
        <v>594</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477</v>
      </c>
      <c r="B76" s="115" t="s">
        <v>595</v>
      </c>
      <c r="C76" s="116" t="s">
        <v>457</v>
      </c>
      <c r="D76" s="116" t="s">
        <v>596</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480</v>
      </c>
      <c r="B77" s="115" t="s">
        <v>597</v>
      </c>
      <c r="C77" s="116" t="s">
        <v>457</v>
      </c>
      <c r="D77" s="116" t="s">
        <v>598</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483</v>
      </c>
      <c r="B78" s="115" t="s">
        <v>599</v>
      </c>
      <c r="C78" s="116" t="s">
        <v>457</v>
      </c>
      <c r="D78" s="116" t="s">
        <v>600</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486</v>
      </c>
      <c r="B79" s="115" t="s">
        <v>601</v>
      </c>
      <c r="C79" s="116" t="s">
        <v>457</v>
      </c>
      <c r="D79" s="116" t="s">
        <v>602</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489</v>
      </c>
      <c r="B80" s="115" t="s">
        <v>603</v>
      </c>
      <c r="C80" s="116" t="s">
        <v>457</v>
      </c>
      <c r="D80" s="116" t="s">
        <v>604</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553</v>
      </c>
      <c r="B81" s="115" t="s">
        <v>605</v>
      </c>
      <c r="C81" s="116" t="s">
        <v>457</v>
      </c>
      <c r="D81" s="116" t="s">
        <v>606</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556</v>
      </c>
      <c r="B82" s="115" t="s">
        <v>607</v>
      </c>
      <c r="C82" s="116" t="s">
        <v>457</v>
      </c>
      <c r="D82" s="116" t="s">
        <v>608</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559</v>
      </c>
      <c r="B83" s="115" t="s">
        <v>609</v>
      </c>
      <c r="C83" s="116" t="s">
        <v>457</v>
      </c>
      <c r="D83" s="116" t="s">
        <v>610</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611</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269</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455</v>
      </c>
      <c r="B86" s="115" t="s">
        <v>612</v>
      </c>
      <c r="C86" s="116" t="s">
        <v>457</v>
      </c>
      <c r="D86" s="116" t="s">
        <v>613</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455</v>
      </c>
      <c r="B88" s="115" t="s">
        <v>614</v>
      </c>
      <c r="C88" s="116" t="s">
        <v>457</v>
      </c>
      <c r="D88" s="116" t="s">
        <v>615</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459</v>
      </c>
      <c r="B89" s="115" t="s">
        <v>616</v>
      </c>
      <c r="C89" s="116" t="s">
        <v>457</v>
      </c>
      <c r="D89" s="116" t="s">
        <v>617</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462</v>
      </c>
      <c r="B90" s="115" t="s">
        <v>618</v>
      </c>
      <c r="C90" s="116" t="s">
        <v>457</v>
      </c>
      <c r="D90" s="116" t="s">
        <v>619</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465</v>
      </c>
      <c r="B91" s="115" t="s">
        <v>620</v>
      </c>
      <c r="C91" s="116" t="s">
        <v>457</v>
      </c>
      <c r="D91" s="116" t="s">
        <v>621</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468</v>
      </c>
      <c r="B92" s="115" t="s">
        <v>622</v>
      </c>
      <c r="C92" s="116" t="s">
        <v>457</v>
      </c>
      <c r="D92" s="116" t="s">
        <v>623</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471</v>
      </c>
      <c r="B93" s="115" t="s">
        <v>624</v>
      </c>
      <c r="C93" s="116" t="s">
        <v>457</v>
      </c>
      <c r="D93" s="116" t="s">
        <v>625</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474</v>
      </c>
      <c r="B94" s="115" t="s">
        <v>626</v>
      </c>
      <c r="C94" s="116" t="s">
        <v>457</v>
      </c>
      <c r="D94" s="116" t="s">
        <v>627</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477</v>
      </c>
      <c r="B95" s="126" t="s">
        <v>628</v>
      </c>
      <c r="C95" s="127" t="s">
        <v>457</v>
      </c>
      <c r="D95" s="127" t="s">
        <v>629</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480</v>
      </c>
      <c r="B96" s="115" t="s">
        <v>630</v>
      </c>
      <c r="C96" s="116" t="s">
        <v>457</v>
      </c>
      <c r="D96" s="116" t="s">
        <v>631</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483</v>
      </c>
      <c r="B97" s="115" t="s">
        <v>632</v>
      </c>
      <c r="C97" s="116" t="s">
        <v>457</v>
      </c>
      <c r="D97" s="116" t="s">
        <v>633</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486</v>
      </c>
      <c r="B98" s="115" t="s">
        <v>634</v>
      </c>
      <c r="C98" s="116" t="s">
        <v>457</v>
      </c>
      <c r="D98" s="116" t="s">
        <v>635</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489</v>
      </c>
      <c r="B99" s="115" t="s">
        <v>636</v>
      </c>
      <c r="C99" s="116" t="s">
        <v>457</v>
      </c>
      <c r="D99" s="116" t="s">
        <v>637</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553</v>
      </c>
      <c r="B100" s="115" t="s">
        <v>638</v>
      </c>
      <c r="C100" s="116" t="s">
        <v>457</v>
      </c>
      <c r="D100" s="116" t="s">
        <v>639</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556</v>
      </c>
      <c r="B101" s="115" t="s">
        <v>640</v>
      </c>
      <c r="C101" s="116" t="s">
        <v>457</v>
      </c>
      <c r="D101" s="116" t="s">
        <v>641</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559</v>
      </c>
      <c r="B102" s="115" t="s">
        <v>642</v>
      </c>
      <c r="C102" s="116" t="s">
        <v>457</v>
      </c>
      <c r="D102" s="116" t="s">
        <v>643</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562</v>
      </c>
      <c r="B103" s="115" t="s">
        <v>644</v>
      </c>
      <c r="C103" s="116" t="s">
        <v>457</v>
      </c>
      <c r="D103" s="116" t="s">
        <v>645</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565</v>
      </c>
      <c r="B104" s="115" t="s">
        <v>646</v>
      </c>
      <c r="C104" s="116" t="s">
        <v>457</v>
      </c>
      <c r="D104" s="116" t="s">
        <v>647</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568</v>
      </c>
      <c r="B105" s="115" t="s">
        <v>648</v>
      </c>
      <c r="C105" s="116" t="s">
        <v>457</v>
      </c>
      <c r="D105" s="116" t="s">
        <v>649</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571</v>
      </c>
      <c r="B106" s="115" t="s">
        <v>650</v>
      </c>
      <c r="C106" s="116" t="s">
        <v>457</v>
      </c>
      <c r="D106" s="116" t="s">
        <v>651</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574</v>
      </c>
      <c r="B107" s="115" t="s">
        <v>652</v>
      </c>
      <c r="C107" s="116" t="s">
        <v>457</v>
      </c>
      <c r="D107" s="116" t="s">
        <v>653</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577</v>
      </c>
      <c r="B108" s="115" t="s">
        <v>654</v>
      </c>
      <c r="C108" s="116" t="s">
        <v>457</v>
      </c>
      <c r="D108" s="116" t="s">
        <v>655</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656</v>
      </c>
      <c r="B109" s="115" t="s">
        <v>657</v>
      </c>
      <c r="C109" s="116" t="s">
        <v>457</v>
      </c>
      <c r="D109" s="116" t="s">
        <v>658</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659</v>
      </c>
      <c r="B110" s="115" t="s">
        <v>660</v>
      </c>
      <c r="C110" s="116" t="s">
        <v>457</v>
      </c>
      <c r="D110" s="116" t="s">
        <v>661</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662</v>
      </c>
      <c r="B111" s="115" t="s">
        <v>663</v>
      </c>
      <c r="C111" s="116" t="s">
        <v>457</v>
      </c>
      <c r="D111" s="116" t="s">
        <v>664</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665</v>
      </c>
      <c r="B112" s="115" t="s">
        <v>666</v>
      </c>
      <c r="C112" s="116" t="s">
        <v>457</v>
      </c>
      <c r="D112" s="116" t="s">
        <v>667</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668</v>
      </c>
      <c r="B113" s="115" t="s">
        <v>669</v>
      </c>
      <c r="C113" s="116" t="s">
        <v>457</v>
      </c>
      <c r="D113" s="116" t="s">
        <v>670</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671</v>
      </c>
      <c r="B114" s="115" t="s">
        <v>672</v>
      </c>
      <c r="C114" s="116" t="s">
        <v>457</v>
      </c>
      <c r="D114" s="116" t="s">
        <v>673</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674</v>
      </c>
      <c r="B115" s="115" t="s">
        <v>675</v>
      </c>
      <c r="C115" s="116" t="s">
        <v>457</v>
      </c>
      <c r="D115" s="116" t="s">
        <v>676</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611</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455</v>
      </c>
      <c r="B117" s="115" t="s">
        <v>677</v>
      </c>
      <c r="C117" s="116" t="s">
        <v>457</v>
      </c>
      <c r="D117" s="116" t="s">
        <v>678</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459</v>
      </c>
      <c r="B118" s="115" t="s">
        <v>679</v>
      </c>
      <c r="C118" s="116" t="s">
        <v>457</v>
      </c>
      <c r="D118" s="116" t="s">
        <v>680</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462</v>
      </c>
      <c r="B119" s="115" t="s">
        <v>681</v>
      </c>
      <c r="C119" s="116" t="s">
        <v>457</v>
      </c>
      <c r="D119" s="116" t="s">
        <v>682</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465</v>
      </c>
      <c r="B120" s="115" t="s">
        <v>683</v>
      </c>
      <c r="C120" s="116" t="s">
        <v>457</v>
      </c>
      <c r="D120" s="116" t="s">
        <v>684</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468</v>
      </c>
      <c r="B121" s="115" t="s">
        <v>685</v>
      </c>
      <c r="C121" s="116" t="s">
        <v>457</v>
      </c>
      <c r="D121" s="116" t="s">
        <v>686</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471</v>
      </c>
      <c r="B122" s="115" t="s">
        <v>687</v>
      </c>
      <c r="C122" s="116" t="s">
        <v>457</v>
      </c>
      <c r="D122" s="116" t="s">
        <v>688</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474</v>
      </c>
      <c r="B123" s="115" t="s">
        <v>689</v>
      </c>
      <c r="C123" s="116" t="s">
        <v>457</v>
      </c>
      <c r="D123" s="116" t="s">
        <v>690</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691</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692</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455</v>
      </c>
      <c r="B126" s="115" t="s">
        <v>693</v>
      </c>
      <c r="C126" s="116" t="s">
        <v>457</v>
      </c>
      <c r="D126" s="116" t="s">
        <v>694</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459</v>
      </c>
      <c r="B127" s="115" t="s">
        <v>695</v>
      </c>
      <c r="C127" s="116" t="s">
        <v>457</v>
      </c>
      <c r="D127" s="116" t="s">
        <v>696</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462</v>
      </c>
      <c r="B128" s="115" t="s">
        <v>697</v>
      </c>
      <c r="C128" s="116" t="s">
        <v>457</v>
      </c>
      <c r="D128" s="116" t="s">
        <v>698</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465</v>
      </c>
      <c r="B129" s="115" t="s">
        <v>699</v>
      </c>
      <c r="C129" s="116" t="s">
        <v>457</v>
      </c>
      <c r="D129" s="116" t="s">
        <v>700</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468</v>
      </c>
      <c r="B130" s="115" t="s">
        <v>701</v>
      </c>
      <c r="C130" s="116" t="s">
        <v>457</v>
      </c>
      <c r="D130" s="116" t="s">
        <v>702</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471</v>
      </c>
      <c r="B131" s="115" t="s">
        <v>703</v>
      </c>
      <c r="C131" s="116" t="s">
        <v>457</v>
      </c>
      <c r="D131" s="116" t="s">
        <v>704</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474</v>
      </c>
      <c r="B132" s="115" t="s">
        <v>705</v>
      </c>
      <c r="C132" s="116" t="s">
        <v>457</v>
      </c>
      <c r="D132" s="116" t="s">
        <v>706</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477</v>
      </c>
      <c r="B133" s="115" t="s">
        <v>707</v>
      </c>
      <c r="C133" s="116" t="s">
        <v>457</v>
      </c>
      <c r="D133" s="116" t="s">
        <v>708</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480</v>
      </c>
      <c r="B134" s="115" t="s">
        <v>709</v>
      </c>
      <c r="C134" s="116" t="s">
        <v>457</v>
      </c>
      <c r="D134" s="116" t="s">
        <v>710</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483</v>
      </c>
      <c r="B135" s="141" t="s">
        <v>711</v>
      </c>
      <c r="C135" s="142" t="s">
        <v>457</v>
      </c>
      <c r="D135" s="142" t="s">
        <v>712</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486</v>
      </c>
      <c r="B136" s="115" t="s">
        <v>713</v>
      </c>
      <c r="C136" s="116" t="s">
        <v>457</v>
      </c>
      <c r="D136" s="116" t="s">
        <v>714</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489</v>
      </c>
      <c r="B137" s="115" t="s">
        <v>715</v>
      </c>
      <c r="C137" s="116" t="s">
        <v>457</v>
      </c>
      <c r="D137" s="116" t="s">
        <v>716</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553</v>
      </c>
      <c r="B138" s="115" t="s">
        <v>717</v>
      </c>
      <c r="C138" s="116" t="s">
        <v>457</v>
      </c>
      <c r="D138" s="116" t="s">
        <v>718</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556</v>
      </c>
      <c r="B139" s="115" t="s">
        <v>719</v>
      </c>
      <c r="C139" s="116" t="s">
        <v>457</v>
      </c>
      <c r="D139" s="116" t="s">
        <v>720</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559</v>
      </c>
      <c r="B140" s="115" t="s">
        <v>721</v>
      </c>
      <c r="C140" s="116" t="s">
        <v>457</v>
      </c>
      <c r="D140" s="116" t="s">
        <v>722</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562</v>
      </c>
      <c r="B141" s="115" t="s">
        <v>723</v>
      </c>
      <c r="C141" s="116" t="s">
        <v>457</v>
      </c>
      <c r="D141" s="116" t="s">
        <v>724</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565</v>
      </c>
      <c r="B142" s="115" t="s">
        <v>725</v>
      </c>
      <c r="C142" s="116" t="s">
        <v>457</v>
      </c>
      <c r="D142" s="116" t="s">
        <v>726</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568</v>
      </c>
      <c r="B143" s="115" t="s">
        <v>727</v>
      </c>
      <c r="C143" s="116" t="s">
        <v>457</v>
      </c>
      <c r="D143" s="116" t="s">
        <v>728</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571</v>
      </c>
      <c r="B144" s="115" t="s">
        <v>729</v>
      </c>
      <c r="C144" s="116" t="s">
        <v>457</v>
      </c>
      <c r="D144" s="116" t="s">
        <v>730</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574</v>
      </c>
      <c r="B145" s="115" t="s">
        <v>731</v>
      </c>
      <c r="C145" s="116" t="s">
        <v>457</v>
      </c>
      <c r="D145" s="116" t="s">
        <v>732</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577</v>
      </c>
      <c r="B146" s="115" t="s">
        <v>733</v>
      </c>
      <c r="C146" s="116" t="s">
        <v>457</v>
      </c>
      <c r="D146" s="116" t="s">
        <v>734</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656</v>
      </c>
      <c r="B147" s="115" t="s">
        <v>735</v>
      </c>
      <c r="C147" s="116" t="s">
        <v>457</v>
      </c>
      <c r="D147" s="116" t="s">
        <v>736</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659</v>
      </c>
      <c r="B148" s="115" t="s">
        <v>737</v>
      </c>
      <c r="C148" s="116" t="s">
        <v>457</v>
      </c>
      <c r="D148" s="116" t="s">
        <v>738</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662</v>
      </c>
      <c r="B149" s="115" t="s">
        <v>739</v>
      </c>
      <c r="C149" s="116" t="s">
        <v>457</v>
      </c>
      <c r="D149" s="116" t="s">
        <v>740</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665</v>
      </c>
      <c r="B150" s="115" t="s">
        <v>741</v>
      </c>
      <c r="C150" s="116" t="s">
        <v>457</v>
      </c>
      <c r="D150" s="116" t="s">
        <v>742</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668</v>
      </c>
      <c r="B151" s="115" t="s">
        <v>743</v>
      </c>
      <c r="C151" s="116" t="s">
        <v>457</v>
      </c>
      <c r="D151" s="116" t="s">
        <v>744</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671</v>
      </c>
      <c r="B152" s="115" t="s">
        <v>745</v>
      </c>
      <c r="C152" s="116" t="s">
        <v>457</v>
      </c>
      <c r="D152" s="116" t="s">
        <v>746</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674</v>
      </c>
      <c r="B153" s="115" t="s">
        <v>747</v>
      </c>
      <c r="C153" s="116" t="s">
        <v>457</v>
      </c>
      <c r="D153" s="116" t="s">
        <v>748</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749</v>
      </c>
      <c r="B154" s="115" t="s">
        <v>750</v>
      </c>
      <c r="C154" s="116" t="s">
        <v>457</v>
      </c>
      <c r="D154" s="116" t="s">
        <v>751</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752</v>
      </c>
      <c r="B155" s="115" t="s">
        <v>753</v>
      </c>
      <c r="C155" s="116" t="s">
        <v>457</v>
      </c>
      <c r="D155" s="116" t="s">
        <v>754</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755</v>
      </c>
      <c r="B156" s="115" t="s">
        <v>756</v>
      </c>
      <c r="C156" s="116" t="s">
        <v>457</v>
      </c>
      <c r="D156" s="116" t="s">
        <v>757</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758</v>
      </c>
      <c r="B157" s="115" t="s">
        <v>759</v>
      </c>
      <c r="C157" s="116" t="s">
        <v>457</v>
      </c>
      <c r="D157" s="116" t="s">
        <v>760</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761</v>
      </c>
      <c r="B158" s="115" t="s">
        <v>762</v>
      </c>
      <c r="C158" s="116" t="s">
        <v>457</v>
      </c>
      <c r="D158" s="116" t="s">
        <v>763</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764</v>
      </c>
      <c r="B159" s="115" t="s">
        <v>765</v>
      </c>
      <c r="C159" s="116" t="s">
        <v>457</v>
      </c>
      <c r="D159" s="116" t="s">
        <v>766</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767</v>
      </c>
      <c r="B160" s="115" t="s">
        <v>768</v>
      </c>
      <c r="C160" s="116" t="s">
        <v>457</v>
      </c>
      <c r="D160" s="116" t="s">
        <v>769</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770</v>
      </c>
      <c r="B161" s="115" t="s">
        <v>771</v>
      </c>
      <c r="C161" s="116" t="s">
        <v>457</v>
      </c>
      <c r="D161" s="116" t="s">
        <v>772</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773</v>
      </c>
      <c r="B162" s="115" t="s">
        <v>774</v>
      </c>
      <c r="C162" s="116" t="s">
        <v>457</v>
      </c>
      <c r="D162" s="116" t="s">
        <v>775</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776</v>
      </c>
      <c r="B163" s="115" t="s">
        <v>777</v>
      </c>
      <c r="C163" s="116" t="s">
        <v>457</v>
      </c>
      <c r="D163" s="116" t="s">
        <v>778</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779</v>
      </c>
      <c r="B164" s="115" t="s">
        <v>780</v>
      </c>
      <c r="C164" s="116" t="s">
        <v>457</v>
      </c>
      <c r="D164" s="116" t="s">
        <v>781</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782</v>
      </c>
      <c r="B165" s="115" t="s">
        <v>783</v>
      </c>
      <c r="C165" s="116" t="s">
        <v>457</v>
      </c>
      <c r="D165" s="116" t="s">
        <v>784</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785</v>
      </c>
      <c r="B166" s="115" t="s">
        <v>786</v>
      </c>
      <c r="C166" s="116" t="s">
        <v>457</v>
      </c>
      <c r="D166" s="116" t="s">
        <v>787</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788</v>
      </c>
      <c r="B167" s="115" t="s">
        <v>789</v>
      </c>
      <c r="C167" s="116" t="s">
        <v>457</v>
      </c>
      <c r="D167" s="116" t="s">
        <v>790</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791</v>
      </c>
      <c r="B168" s="115" t="s">
        <v>792</v>
      </c>
      <c r="C168" s="116" t="s">
        <v>457</v>
      </c>
      <c r="D168" s="116" t="s">
        <v>793</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794</v>
      </c>
      <c r="B169" s="115" t="s">
        <v>795</v>
      </c>
      <c r="C169" s="116" t="s">
        <v>457</v>
      </c>
      <c r="D169" s="116" t="s">
        <v>796</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797</v>
      </c>
      <c r="B170" s="115" t="s">
        <v>798</v>
      </c>
      <c r="C170" s="116" t="s">
        <v>457</v>
      </c>
      <c r="D170" s="116" t="s">
        <v>799</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800</v>
      </c>
      <c r="B171" s="115" t="s">
        <v>801</v>
      </c>
      <c r="C171" s="116" t="s">
        <v>457</v>
      </c>
      <c r="D171" s="116" t="s">
        <v>802</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803</v>
      </c>
      <c r="B172" s="115" t="s">
        <v>804</v>
      </c>
      <c r="C172" s="116" t="s">
        <v>457</v>
      </c>
      <c r="D172" s="116" t="s">
        <v>805</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806</v>
      </c>
      <c r="B173" s="115" t="s">
        <v>807</v>
      </c>
      <c r="C173" s="116" t="s">
        <v>457</v>
      </c>
      <c r="D173" s="116" t="s">
        <v>808</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809</v>
      </c>
      <c r="B174" s="115" t="s">
        <v>810</v>
      </c>
      <c r="C174" s="116" t="s">
        <v>457</v>
      </c>
      <c r="D174" s="116" t="s">
        <v>811</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812</v>
      </c>
      <c r="B175" s="115" t="s">
        <v>813</v>
      </c>
      <c r="C175" s="116" t="s">
        <v>457</v>
      </c>
      <c r="D175" s="116" t="s">
        <v>814</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815</v>
      </c>
      <c r="B176" s="115" t="s">
        <v>816</v>
      </c>
      <c r="C176" s="116" t="s">
        <v>457</v>
      </c>
      <c r="D176" s="116" t="s">
        <v>817</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818</v>
      </c>
      <c r="B177" s="115" t="s">
        <v>819</v>
      </c>
      <c r="C177" s="116" t="s">
        <v>457</v>
      </c>
      <c r="D177" s="116" t="s">
        <v>820</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821</v>
      </c>
      <c r="B178" s="115" t="s">
        <v>822</v>
      </c>
      <c r="C178" s="116" t="s">
        <v>457</v>
      </c>
      <c r="D178" s="116" t="s">
        <v>823</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824</v>
      </c>
      <c r="B179" s="115" t="s">
        <v>825</v>
      </c>
      <c r="C179" s="116" t="s">
        <v>457</v>
      </c>
      <c r="D179" s="116" t="s">
        <v>826</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827</v>
      </c>
      <c r="B180" s="115" t="s">
        <v>828</v>
      </c>
      <c r="C180" s="116" t="s">
        <v>457</v>
      </c>
      <c r="D180" s="116" t="s">
        <v>829</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830</v>
      </c>
      <c r="B181" s="115" t="s">
        <v>831</v>
      </c>
      <c r="C181" s="116" t="s">
        <v>457</v>
      </c>
      <c r="D181" s="116" t="s">
        <v>832</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833</v>
      </c>
      <c r="B182" s="115" t="s">
        <v>834</v>
      </c>
      <c r="C182" s="116" t="s">
        <v>457</v>
      </c>
      <c r="D182" s="116" t="s">
        <v>835</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836</v>
      </c>
      <c r="B183" s="146" t="s">
        <v>611</v>
      </c>
      <c r="J183" s="147"/>
      <c r="Q183" s="140">
        <f>3000000000+6500000000+6500000000-182000000</f>
        <v>15818000000</v>
      </c>
      <c r="Z183" s="204">
        <f t="shared" si="103"/>
        <v>0</v>
      </c>
    </row>
    <row r="184" spans="1:26" s="124" customFormat="1">
      <c r="A184" s="120"/>
      <c r="B184" s="121" t="s">
        <v>837</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455</v>
      </c>
      <c r="B185" s="115" t="s">
        <v>838</v>
      </c>
      <c r="C185" s="116" t="s">
        <v>457</v>
      </c>
      <c r="D185" s="116" t="s">
        <v>839</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459</v>
      </c>
      <c r="B186" s="115" t="s">
        <v>840</v>
      </c>
      <c r="C186" s="116" t="s">
        <v>457</v>
      </c>
      <c r="D186" s="116" t="s">
        <v>841</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462</v>
      </c>
      <c r="B187" s="115" t="s">
        <v>842</v>
      </c>
      <c r="C187" s="116" t="s">
        <v>457</v>
      </c>
      <c r="D187" s="116" t="s">
        <v>843</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465</v>
      </c>
      <c r="B188" s="115" t="s">
        <v>844</v>
      </c>
      <c r="C188" s="116" t="s">
        <v>457</v>
      </c>
      <c r="D188" s="116" t="s">
        <v>845</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468</v>
      </c>
      <c r="B189" s="115" t="s">
        <v>846</v>
      </c>
      <c r="C189" s="116" t="s">
        <v>457</v>
      </c>
      <c r="D189" s="116" t="s">
        <v>847</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471</v>
      </c>
      <c r="B190" s="115" t="s">
        <v>848</v>
      </c>
      <c r="C190" s="116" t="s">
        <v>457</v>
      </c>
      <c r="D190" s="116" t="s">
        <v>849</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474</v>
      </c>
      <c r="B191" s="115" t="s">
        <v>850</v>
      </c>
      <c r="C191" s="116" t="s">
        <v>457</v>
      </c>
      <c r="D191" s="116" t="s">
        <v>851</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477</v>
      </c>
      <c r="B192" s="115" t="s">
        <v>852</v>
      </c>
      <c r="C192" s="116" t="s">
        <v>457</v>
      </c>
      <c r="D192" s="116" t="s">
        <v>853</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480</v>
      </c>
      <c r="B193" s="115" t="s">
        <v>854</v>
      </c>
      <c r="C193" s="116" t="s">
        <v>457</v>
      </c>
      <c r="D193" s="116" t="s">
        <v>855</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483</v>
      </c>
      <c r="B194" s="115" t="s">
        <v>856</v>
      </c>
      <c r="C194" s="116" t="s">
        <v>457</v>
      </c>
      <c r="D194" s="116" t="s">
        <v>857</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486</v>
      </c>
      <c r="B195" s="115" t="s">
        <v>858</v>
      </c>
      <c r="C195" s="116" t="s">
        <v>457</v>
      </c>
      <c r="D195" s="116" t="s">
        <v>859</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489</v>
      </c>
      <c r="B196" s="115" t="s">
        <v>860</v>
      </c>
      <c r="C196" s="116" t="s">
        <v>457</v>
      </c>
      <c r="D196" s="116" t="s">
        <v>861</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553</v>
      </c>
      <c r="B197" s="115" t="s">
        <v>862</v>
      </c>
      <c r="C197" s="116" t="s">
        <v>457</v>
      </c>
      <c r="D197" s="116" t="s">
        <v>863</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556</v>
      </c>
      <c r="B198" s="115" t="s">
        <v>864</v>
      </c>
      <c r="C198" s="116" t="s">
        <v>457</v>
      </c>
      <c r="D198" s="116" t="s">
        <v>865</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559</v>
      </c>
      <c r="B199" s="115" t="s">
        <v>866</v>
      </c>
      <c r="C199" s="116" t="s">
        <v>457</v>
      </c>
      <c r="D199" s="116" t="s">
        <v>867</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562</v>
      </c>
      <c r="B200" s="115" t="s">
        <v>868</v>
      </c>
      <c r="C200" s="116" t="s">
        <v>457</v>
      </c>
      <c r="D200" s="116" t="s">
        <v>869</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565</v>
      </c>
      <c r="B201" s="115" t="s">
        <v>870</v>
      </c>
      <c r="C201" s="116" t="s">
        <v>457</v>
      </c>
      <c r="D201" s="116" t="s">
        <v>871</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568</v>
      </c>
      <c r="B202" s="115" t="s">
        <v>872</v>
      </c>
      <c r="C202" s="116" t="s">
        <v>457</v>
      </c>
      <c r="D202" s="116" t="s">
        <v>873</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571</v>
      </c>
      <c r="B203" s="115" t="s">
        <v>874</v>
      </c>
      <c r="C203" s="116" t="s">
        <v>457</v>
      </c>
      <c r="D203" s="116" t="s">
        <v>875</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574</v>
      </c>
      <c r="B204" s="115" t="s">
        <v>876</v>
      </c>
      <c r="C204" s="116" t="s">
        <v>457</v>
      </c>
      <c r="D204" s="116" t="s">
        <v>877</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577</v>
      </c>
      <c r="B205" s="115" t="s">
        <v>878</v>
      </c>
      <c r="C205" s="116" t="s">
        <v>457</v>
      </c>
      <c r="D205" s="116" t="s">
        <v>879</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656</v>
      </c>
      <c r="B206" s="115" t="s">
        <v>880</v>
      </c>
      <c r="C206" s="116" t="s">
        <v>457</v>
      </c>
      <c r="D206" s="116" t="s">
        <v>881</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659</v>
      </c>
      <c r="B207" s="115" t="s">
        <v>882</v>
      </c>
      <c r="C207" s="116" t="s">
        <v>457</v>
      </c>
      <c r="D207" s="116" t="s">
        <v>883</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662</v>
      </c>
      <c r="B208" s="115" t="s">
        <v>884</v>
      </c>
      <c r="C208" s="116" t="s">
        <v>457</v>
      </c>
      <c r="D208" s="116" t="s">
        <v>885</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665</v>
      </c>
      <c r="B209" s="115" t="s">
        <v>886</v>
      </c>
      <c r="C209" s="116" t="s">
        <v>457</v>
      </c>
      <c r="D209" s="116" t="s">
        <v>887</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668</v>
      </c>
      <c r="B210" s="115" t="s">
        <v>888</v>
      </c>
      <c r="C210" s="116" t="s">
        <v>457</v>
      </c>
      <c r="D210" s="116" t="s">
        <v>889</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671</v>
      </c>
      <c r="B211" s="115" t="s">
        <v>890</v>
      </c>
      <c r="C211" s="116" t="s">
        <v>457</v>
      </c>
      <c r="D211" s="116" t="s">
        <v>891</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674</v>
      </c>
      <c r="B212" s="115" t="s">
        <v>892</v>
      </c>
      <c r="C212" s="116" t="s">
        <v>457</v>
      </c>
      <c r="D212" s="116" t="s">
        <v>893</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749</v>
      </c>
      <c r="B213" s="115" t="s">
        <v>894</v>
      </c>
      <c r="C213" s="116" t="s">
        <v>457</v>
      </c>
      <c r="D213" s="116" t="s">
        <v>895</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752</v>
      </c>
      <c r="B214" s="115" t="s">
        <v>896</v>
      </c>
      <c r="C214" s="116" t="s">
        <v>457</v>
      </c>
      <c r="D214" s="116" t="s">
        <v>897</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755</v>
      </c>
      <c r="B215" s="115" t="s">
        <v>898</v>
      </c>
      <c r="C215" s="116" t="s">
        <v>457</v>
      </c>
      <c r="D215" s="116" t="s">
        <v>899</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758</v>
      </c>
      <c r="B216" s="115" t="s">
        <v>900</v>
      </c>
      <c r="C216" s="116" t="s">
        <v>457</v>
      </c>
      <c r="D216" s="116" t="s">
        <v>901</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761</v>
      </c>
      <c r="B217" s="115" t="s">
        <v>902</v>
      </c>
      <c r="C217" s="116" t="s">
        <v>457</v>
      </c>
      <c r="D217" s="116" t="s">
        <v>903</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764</v>
      </c>
      <c r="B218" s="115" t="s">
        <v>904</v>
      </c>
      <c r="C218" s="116" t="s">
        <v>457</v>
      </c>
      <c r="D218" s="116" t="s">
        <v>905</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767</v>
      </c>
      <c r="B219" s="115" t="s">
        <v>906</v>
      </c>
      <c r="C219" s="116" t="s">
        <v>457</v>
      </c>
      <c r="D219" s="116" t="s">
        <v>907</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770</v>
      </c>
      <c r="B220" s="115" t="s">
        <v>908</v>
      </c>
      <c r="C220" s="116" t="s">
        <v>457</v>
      </c>
      <c r="D220" s="116" t="s">
        <v>909</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773</v>
      </c>
      <c r="B221" s="115" t="s">
        <v>910</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911</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455</v>
      </c>
      <c r="B223" s="115" t="s">
        <v>912</v>
      </c>
      <c r="C223" s="116" t="s">
        <v>457</v>
      </c>
      <c r="D223" s="116" t="s">
        <v>913</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459</v>
      </c>
      <c r="B224" s="115" t="s">
        <v>914</v>
      </c>
      <c r="C224" s="116" t="s">
        <v>457</v>
      </c>
      <c r="D224" s="116" t="s">
        <v>915</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462</v>
      </c>
      <c r="B225" s="115" t="s">
        <v>916</v>
      </c>
      <c r="C225" s="116" t="s">
        <v>457</v>
      </c>
      <c r="D225" s="116" t="s">
        <v>917</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465</v>
      </c>
      <c r="B226" s="115" t="s">
        <v>918</v>
      </c>
      <c r="C226" s="116" t="s">
        <v>457</v>
      </c>
      <c r="D226" s="116" t="s">
        <v>919</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468</v>
      </c>
      <c r="B227" s="115" t="s">
        <v>920</v>
      </c>
      <c r="C227" s="116" t="s">
        <v>457</v>
      </c>
      <c r="D227" s="116" t="s">
        <v>921</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471</v>
      </c>
      <c r="B228" s="115" t="s">
        <v>922</v>
      </c>
      <c r="C228" s="116" t="s">
        <v>457</v>
      </c>
      <c r="D228" s="116" t="s">
        <v>923</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474</v>
      </c>
      <c r="B229" s="115" t="s">
        <v>924</v>
      </c>
      <c r="C229" s="116" t="s">
        <v>457</v>
      </c>
      <c r="D229" s="116" t="s">
        <v>925</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477</v>
      </c>
      <c r="B230" s="115" t="s">
        <v>926</v>
      </c>
      <c r="C230" s="116" t="s">
        <v>457</v>
      </c>
      <c r="D230" s="116" t="s">
        <v>927</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928</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455</v>
      </c>
      <c r="B232" s="115" t="s">
        <v>929</v>
      </c>
      <c r="C232" s="116" t="s">
        <v>457</v>
      </c>
      <c r="D232" s="116" t="s">
        <v>930</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459</v>
      </c>
      <c r="B233" s="115" t="s">
        <v>931</v>
      </c>
      <c r="C233" s="116" t="s">
        <v>457</v>
      </c>
      <c r="D233" s="116" t="s">
        <v>932</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462</v>
      </c>
      <c r="B234" s="115" t="s">
        <v>933</v>
      </c>
      <c r="C234" s="116" t="s">
        <v>457</v>
      </c>
      <c r="D234" s="116" t="s">
        <v>934</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465</v>
      </c>
      <c r="B235" s="115" t="s">
        <v>935</v>
      </c>
      <c r="C235" s="116" t="s">
        <v>457</v>
      </c>
      <c r="D235" s="116" t="s">
        <v>936</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468</v>
      </c>
      <c r="B236" s="115" t="s">
        <v>937</v>
      </c>
      <c r="C236" s="116" t="s">
        <v>457</v>
      </c>
      <c r="D236" s="116" t="s">
        <v>938</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471</v>
      </c>
      <c r="B237" s="115" t="s">
        <v>939</v>
      </c>
      <c r="C237" s="116" t="s">
        <v>457</v>
      </c>
      <c r="D237" s="116" t="s">
        <v>940</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474</v>
      </c>
      <c r="B238" s="115" t="s">
        <v>624</v>
      </c>
      <c r="C238" s="116" t="s">
        <v>457</v>
      </c>
      <c r="D238" s="116" t="s">
        <v>625</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941</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455</v>
      </c>
      <c r="B240" s="115" t="s">
        <v>942</v>
      </c>
      <c r="C240" s="116" t="s">
        <v>457</v>
      </c>
      <c r="D240" s="116" t="s">
        <v>943</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459</v>
      </c>
      <c r="B241" s="115" t="s">
        <v>944</v>
      </c>
      <c r="C241" s="116" t="s">
        <v>457</v>
      </c>
      <c r="D241" s="116" t="s">
        <v>945</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462</v>
      </c>
      <c r="B242" s="115" t="s">
        <v>946</v>
      </c>
      <c r="C242" s="116" t="s">
        <v>457</v>
      </c>
      <c r="D242" s="116" t="s">
        <v>947</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465</v>
      </c>
      <c r="B243" s="115" t="s">
        <v>948</v>
      </c>
      <c r="C243" s="116" t="s">
        <v>457</v>
      </c>
      <c r="D243" s="116" t="s">
        <v>949</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950</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455</v>
      </c>
      <c r="B245" s="115" t="s">
        <v>951</v>
      </c>
      <c r="C245" s="116" t="s">
        <v>457</v>
      </c>
      <c r="D245" s="116" t="s">
        <v>952</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459</v>
      </c>
      <c r="B246" s="115" t="s">
        <v>953</v>
      </c>
      <c r="C246" s="116" t="s">
        <v>457</v>
      </c>
      <c r="D246" s="116" t="s">
        <v>954</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462</v>
      </c>
      <c r="B247" s="115" t="s">
        <v>955</v>
      </c>
      <c r="C247" s="116" t="s">
        <v>457</v>
      </c>
      <c r="D247" s="116" t="s">
        <v>956</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465</v>
      </c>
      <c r="B248" s="115" t="s">
        <v>957</v>
      </c>
      <c r="C248" s="116" t="s">
        <v>457</v>
      </c>
      <c r="D248" s="116" t="s">
        <v>958</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468</v>
      </c>
      <c r="B249" s="115" t="s">
        <v>959</v>
      </c>
      <c r="C249" s="116" t="s">
        <v>457</v>
      </c>
      <c r="D249" s="116" t="s">
        <v>960</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471</v>
      </c>
      <c r="B250" s="115" t="s">
        <v>961</v>
      </c>
      <c r="C250" s="116" t="s">
        <v>457</v>
      </c>
      <c r="D250" s="116" t="s">
        <v>962</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474</v>
      </c>
      <c r="B251" s="115" t="s">
        <v>963</v>
      </c>
      <c r="C251" s="116" t="s">
        <v>457</v>
      </c>
      <c r="D251" s="116" t="s">
        <v>964</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477</v>
      </c>
      <c r="B252" s="115" t="s">
        <v>965</v>
      </c>
      <c r="C252" s="116" t="s">
        <v>457</v>
      </c>
      <c r="D252" s="116" t="s">
        <v>966</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492</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455</v>
      </c>
      <c r="B254" s="115" t="s">
        <v>967</v>
      </c>
      <c r="C254" s="116" t="s">
        <v>457</v>
      </c>
      <c r="D254" s="116" t="s">
        <v>968</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459</v>
      </c>
      <c r="B255" s="115" t="s">
        <v>969</v>
      </c>
      <c r="C255" s="116" t="s">
        <v>457</v>
      </c>
      <c r="D255" s="116" t="s">
        <v>970</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462</v>
      </c>
      <c r="B256" s="115" t="s">
        <v>971</v>
      </c>
      <c r="C256" s="116" t="s">
        <v>457</v>
      </c>
      <c r="D256" s="116" t="s">
        <v>972</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465</v>
      </c>
      <c r="B257" s="115" t="s">
        <v>973</v>
      </c>
      <c r="C257" s="116" t="s">
        <v>457</v>
      </c>
      <c r="D257" s="116" t="s">
        <v>974</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468</v>
      </c>
      <c r="B258" s="115" t="s">
        <v>975</v>
      </c>
      <c r="C258" s="116" t="s">
        <v>457</v>
      </c>
      <c r="D258" s="116" t="s">
        <v>976</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471</v>
      </c>
      <c r="B259" s="115" t="s">
        <v>977</v>
      </c>
      <c r="C259" s="116" t="s">
        <v>457</v>
      </c>
      <c r="D259" s="116" t="s">
        <v>978</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474</v>
      </c>
      <c r="B260" s="115" t="s">
        <v>979</v>
      </c>
      <c r="C260" s="116" t="s">
        <v>457</v>
      </c>
      <c r="D260" s="116" t="s">
        <v>980</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477</v>
      </c>
      <c r="B261" s="115" t="s">
        <v>981</v>
      </c>
      <c r="C261" s="116" t="s">
        <v>457</v>
      </c>
      <c r="D261" s="116" t="s">
        <v>982</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480</v>
      </c>
      <c r="B262" s="115" t="s">
        <v>983</v>
      </c>
      <c r="C262" s="116" t="s">
        <v>457</v>
      </c>
      <c r="D262" s="116" t="s">
        <v>984</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483</v>
      </c>
      <c r="B263" s="115" t="s">
        <v>985</v>
      </c>
      <c r="C263" s="116" t="s">
        <v>457</v>
      </c>
      <c r="D263" s="116" t="s">
        <v>986</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486</v>
      </c>
      <c r="B264" s="115" t="s">
        <v>987</v>
      </c>
      <c r="C264" s="116" t="s">
        <v>457</v>
      </c>
      <c r="D264" s="116" t="s">
        <v>988</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489</v>
      </c>
      <c r="B265" s="115" t="s">
        <v>989</v>
      </c>
      <c r="C265" s="116" t="s">
        <v>457</v>
      </c>
      <c r="D265" s="116" t="s">
        <v>990</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553</v>
      </c>
      <c r="B266" s="115" t="s">
        <v>991</v>
      </c>
      <c r="C266" s="116" t="s">
        <v>457</v>
      </c>
      <c r="D266" s="116" t="s">
        <v>992</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556</v>
      </c>
      <c r="B267" s="115" t="s">
        <v>993</v>
      </c>
      <c r="C267" s="116" t="s">
        <v>457</v>
      </c>
      <c r="D267" s="116" t="s">
        <v>994</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559</v>
      </c>
      <c r="B268" s="115" t="s">
        <v>995</v>
      </c>
      <c r="C268" s="116" t="s">
        <v>457</v>
      </c>
      <c r="D268" s="116" t="s">
        <v>996</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562</v>
      </c>
      <c r="B269" s="115" t="s">
        <v>997</v>
      </c>
      <c r="C269" s="116" t="s">
        <v>457</v>
      </c>
      <c r="D269" s="116" t="s">
        <v>998</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565</v>
      </c>
      <c r="B270" s="115" t="s">
        <v>999</v>
      </c>
      <c r="C270" s="116" t="s">
        <v>457</v>
      </c>
      <c r="D270" s="116" t="s">
        <v>1000</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568</v>
      </c>
      <c r="B271" s="115" t="s">
        <v>1001</v>
      </c>
      <c r="C271" s="116" t="s">
        <v>457</v>
      </c>
      <c r="D271" s="116" t="s">
        <v>1002</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571</v>
      </c>
      <c r="B272" s="115" t="s">
        <v>1003</v>
      </c>
      <c r="C272" s="116" t="s">
        <v>457</v>
      </c>
      <c r="D272" s="116" t="s">
        <v>1004</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574</v>
      </c>
      <c r="B273" s="115" t="s">
        <v>1005</v>
      </c>
      <c r="C273" s="116" t="s">
        <v>457</v>
      </c>
      <c r="D273" s="116" t="s">
        <v>1006</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577</v>
      </c>
      <c r="B274" s="115" t="s">
        <v>1007</v>
      </c>
      <c r="C274" s="116" t="s">
        <v>457</v>
      </c>
      <c r="D274" s="116" t="s">
        <v>1008</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656</v>
      </c>
      <c r="B275" s="115" t="s">
        <v>1009</v>
      </c>
      <c r="C275" s="116" t="s">
        <v>457</v>
      </c>
      <c r="D275" s="116" t="s">
        <v>1010</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659</v>
      </c>
      <c r="B276" s="115" t="s">
        <v>1011</v>
      </c>
      <c r="C276" s="116" t="s">
        <v>457</v>
      </c>
      <c r="D276" s="116" t="s">
        <v>1012</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662</v>
      </c>
      <c r="B277" s="115" t="s">
        <v>1013</v>
      </c>
      <c r="C277" s="116" t="s">
        <v>457</v>
      </c>
      <c r="D277" s="116" t="s">
        <v>1014</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665</v>
      </c>
      <c r="B278" s="115" t="s">
        <v>1015</v>
      </c>
      <c r="C278" s="116" t="s">
        <v>457</v>
      </c>
      <c r="D278" s="116" t="s">
        <v>1016</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668</v>
      </c>
      <c r="B279" s="115" t="s">
        <v>1017</v>
      </c>
      <c r="C279" s="116" t="s">
        <v>457</v>
      </c>
      <c r="D279" s="116" t="s">
        <v>1018</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671</v>
      </c>
      <c r="B280" s="115" t="s">
        <v>1019</v>
      </c>
      <c r="C280" s="116" t="s">
        <v>457</v>
      </c>
      <c r="D280" s="116" t="s">
        <v>1020</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674</v>
      </c>
      <c r="B281" s="115" t="s">
        <v>1021</v>
      </c>
      <c r="C281" s="116" t="s">
        <v>457</v>
      </c>
      <c r="D281" s="116" t="s">
        <v>1022</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749</v>
      </c>
      <c r="B282" s="115" t="s">
        <v>1023</v>
      </c>
      <c r="C282" s="116" t="s">
        <v>457</v>
      </c>
      <c r="D282" s="116" t="s">
        <v>1024</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752</v>
      </c>
      <c r="B283" s="115" t="s">
        <v>1025</v>
      </c>
      <c r="C283" s="116" t="s">
        <v>457</v>
      </c>
      <c r="D283" s="116" t="s">
        <v>1026</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755</v>
      </c>
      <c r="B284" s="115" t="s">
        <v>1027</v>
      </c>
      <c r="C284" s="116" t="s">
        <v>457</v>
      </c>
      <c r="D284" s="116" t="s">
        <v>1028</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758</v>
      </c>
      <c r="B285" s="115" t="s">
        <v>1029</v>
      </c>
      <c r="C285" s="116" t="s">
        <v>457</v>
      </c>
      <c r="D285" s="116" t="s">
        <v>1030</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761</v>
      </c>
      <c r="B286" s="115" t="s">
        <v>1031</v>
      </c>
      <c r="C286" s="116" t="s">
        <v>457</v>
      </c>
      <c r="D286" s="116" t="s">
        <v>1032</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764</v>
      </c>
      <c r="B287" s="115" t="s">
        <v>1033</v>
      </c>
      <c r="C287" s="116" t="s">
        <v>457</v>
      </c>
      <c r="D287" s="116" t="s">
        <v>1034</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767</v>
      </c>
      <c r="B288" s="115" t="s">
        <v>1035</v>
      </c>
      <c r="C288" s="116" t="s">
        <v>457</v>
      </c>
      <c r="D288" s="116" t="s">
        <v>1036</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770</v>
      </c>
      <c r="B289" s="115" t="s">
        <v>1037</v>
      </c>
      <c r="C289" s="116" t="s">
        <v>457</v>
      </c>
      <c r="D289" s="116" t="s">
        <v>1038</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773</v>
      </c>
      <c r="B290" s="115" t="s">
        <v>1039</v>
      </c>
      <c r="C290" s="116" t="s">
        <v>457</v>
      </c>
      <c r="D290" s="116" t="s">
        <v>1040</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776</v>
      </c>
      <c r="B291" s="115" t="s">
        <v>1041</v>
      </c>
      <c r="C291" s="116" t="s">
        <v>457</v>
      </c>
      <c r="D291" s="116" t="s">
        <v>1042</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192</v>
      </c>
      <c r="B292" s="121" t="s">
        <v>1043</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455</v>
      </c>
      <c r="B293" s="115" t="s">
        <v>1044</v>
      </c>
      <c r="C293" s="116" t="s">
        <v>457</v>
      </c>
      <c r="D293" s="116" t="s">
        <v>1045</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416</v>
      </c>
      <c r="B294" s="121" t="s">
        <v>1046</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455</v>
      </c>
      <c r="B295" s="115" t="s">
        <v>1047</v>
      </c>
      <c r="C295" s="116" t="s">
        <v>457</v>
      </c>
      <c r="D295" s="116" t="s">
        <v>1048</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459</v>
      </c>
      <c r="B296" s="115" t="s">
        <v>1049</v>
      </c>
      <c r="C296" s="116" t="s">
        <v>457</v>
      </c>
      <c r="D296" s="116" t="s">
        <v>1050</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462</v>
      </c>
      <c r="B297" s="115" t="s">
        <v>1051</v>
      </c>
      <c r="C297" s="116" t="s">
        <v>1052</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465</v>
      </c>
      <c r="B298" s="115" t="s">
        <v>1053</v>
      </c>
      <c r="C298" s="116" t="s">
        <v>457</v>
      </c>
      <c r="D298" s="116" t="s">
        <v>1054</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468</v>
      </c>
      <c r="B299" s="115" t="s">
        <v>1055</v>
      </c>
      <c r="C299" s="116" t="s">
        <v>457</v>
      </c>
      <c r="D299" s="116" t="s">
        <v>1056</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471</v>
      </c>
      <c r="B300" s="115" t="s">
        <v>1057</v>
      </c>
      <c r="C300" s="116" t="s">
        <v>457</v>
      </c>
      <c r="D300" s="116" t="s">
        <v>1058</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474</v>
      </c>
      <c r="B301" s="115" t="s">
        <v>1059</v>
      </c>
      <c r="C301" s="116" t="s">
        <v>457</v>
      </c>
      <c r="D301" s="116" t="s">
        <v>1060</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477</v>
      </c>
      <c r="B302" s="115" t="s">
        <v>1061</v>
      </c>
      <c r="C302" s="116" t="s">
        <v>457</v>
      </c>
      <c r="D302" s="116" t="s">
        <v>1062</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480</v>
      </c>
      <c r="B303" s="115" t="s">
        <v>1063</v>
      </c>
      <c r="C303" s="116" t="s">
        <v>457</v>
      </c>
      <c r="D303" s="116" t="s">
        <v>1064</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483</v>
      </c>
      <c r="B304" s="115" t="s">
        <v>1065</v>
      </c>
      <c r="C304" s="116" t="s">
        <v>457</v>
      </c>
      <c r="D304" s="116" t="s">
        <v>1066</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486</v>
      </c>
      <c r="B305" s="115" t="s">
        <v>1067</v>
      </c>
      <c r="C305" s="116" t="s">
        <v>457</v>
      </c>
      <c r="D305" s="116" t="s">
        <v>1068</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489</v>
      </c>
      <c r="B306" s="115" t="s">
        <v>1069</v>
      </c>
      <c r="C306" s="116" t="s">
        <v>457</v>
      </c>
      <c r="D306" s="116" t="s">
        <v>1070</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553</v>
      </c>
      <c r="B307" s="115" t="s">
        <v>1071</v>
      </c>
      <c r="C307" s="116" t="s">
        <v>457</v>
      </c>
      <c r="D307" s="116" t="s">
        <v>1072</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556</v>
      </c>
      <c r="B308" s="115" t="s">
        <v>1073</v>
      </c>
      <c r="C308" s="116" t="s">
        <v>457</v>
      </c>
      <c r="D308" s="116" t="s">
        <v>1074</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559</v>
      </c>
      <c r="B309" s="115" t="s">
        <v>1075</v>
      </c>
      <c r="C309" s="116" t="s">
        <v>457</v>
      </c>
      <c r="D309" s="116" t="s">
        <v>1076</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562</v>
      </c>
      <c r="B310" s="115" t="s">
        <v>1077</v>
      </c>
      <c r="C310" s="116" t="s">
        <v>457</v>
      </c>
      <c r="D310" s="116" t="s">
        <v>1078</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565</v>
      </c>
      <c r="B311" s="115" t="s">
        <v>1079</v>
      </c>
      <c r="C311" s="116" t="s">
        <v>457</v>
      </c>
      <c r="D311" s="116" t="s">
        <v>1080</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568</v>
      </c>
      <c r="B312" s="115" t="s">
        <v>1081</v>
      </c>
      <c r="C312" s="116" t="s">
        <v>457</v>
      </c>
      <c r="D312" s="116" t="s">
        <v>1082</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571</v>
      </c>
      <c r="B313" s="115" t="s">
        <v>1083</v>
      </c>
      <c r="C313" s="116" t="s">
        <v>457</v>
      </c>
      <c r="D313" s="116" t="s">
        <v>1084</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574</v>
      </c>
      <c r="B314" s="115" t="s">
        <v>1085</v>
      </c>
      <c r="C314" s="116" t="s">
        <v>457</v>
      </c>
      <c r="D314" s="116" t="s">
        <v>1086</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577</v>
      </c>
      <c r="B315" s="115" t="s">
        <v>1087</v>
      </c>
      <c r="C315" s="116" t="s">
        <v>457</v>
      </c>
      <c r="D315" s="116" t="s">
        <v>1088</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656</v>
      </c>
      <c r="B316" s="115" t="s">
        <v>1089</v>
      </c>
      <c r="C316" s="116" t="s">
        <v>457</v>
      </c>
      <c r="D316" s="116" t="s">
        <v>1090</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659</v>
      </c>
      <c r="B317" s="115" t="s">
        <v>1091</v>
      </c>
      <c r="C317" s="116" t="s">
        <v>457</v>
      </c>
      <c r="D317" s="116" t="s">
        <v>1092</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662</v>
      </c>
      <c r="B318" s="115" t="s">
        <v>1093</v>
      </c>
      <c r="C318" s="116" t="s">
        <v>457</v>
      </c>
      <c r="D318" s="116" t="s">
        <v>1094</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665</v>
      </c>
      <c r="B319" s="115" t="s">
        <v>1095</v>
      </c>
      <c r="C319" s="116" t="s">
        <v>457</v>
      </c>
      <c r="D319" s="116" t="s">
        <v>1096</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668</v>
      </c>
      <c r="B320" s="115" t="s">
        <v>1097</v>
      </c>
      <c r="C320" s="116" t="s">
        <v>457</v>
      </c>
      <c r="D320" s="116" t="s">
        <v>1098</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671</v>
      </c>
      <c r="B321" s="115" t="s">
        <v>1099</v>
      </c>
      <c r="C321" s="116" t="s">
        <v>457</v>
      </c>
      <c r="D321" s="116" t="s">
        <v>1100</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674</v>
      </c>
      <c r="B322" s="115" t="s">
        <v>1101</v>
      </c>
      <c r="C322" s="116" t="s">
        <v>457</v>
      </c>
      <c r="D322" s="116" t="s">
        <v>1102</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749</v>
      </c>
      <c r="B323" s="115" t="s">
        <v>1103</v>
      </c>
      <c r="C323" s="116" t="s">
        <v>457</v>
      </c>
      <c r="D323" s="116" t="s">
        <v>1104</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752</v>
      </c>
      <c r="B324" s="115" t="s">
        <v>1105</v>
      </c>
      <c r="C324" s="116" t="s">
        <v>457</v>
      </c>
      <c r="D324" s="116" t="s">
        <v>1106</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755</v>
      </c>
      <c r="B325" s="115" t="s">
        <v>1107</v>
      </c>
      <c r="C325" s="116" t="s">
        <v>457</v>
      </c>
      <c r="D325" s="116" t="s">
        <v>1108</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758</v>
      </c>
      <c r="B326" s="115" t="s">
        <v>1109</v>
      </c>
      <c r="C326" s="116" t="s">
        <v>457</v>
      </c>
      <c r="D326" s="116" t="s">
        <v>1110</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761</v>
      </c>
      <c r="B327" s="115" t="s">
        <v>1111</v>
      </c>
      <c r="C327" s="116" t="s">
        <v>457</v>
      </c>
      <c r="D327" s="116" t="s">
        <v>1112</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764</v>
      </c>
      <c r="B328" s="115" t="s">
        <v>1113</v>
      </c>
      <c r="C328" s="116" t="s">
        <v>457</v>
      </c>
      <c r="D328" s="116" t="s">
        <v>1114</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767</v>
      </c>
      <c r="B329" s="115" t="s">
        <v>1115</v>
      </c>
      <c r="C329" s="116" t="s">
        <v>457</v>
      </c>
      <c r="D329" s="116" t="s">
        <v>1116</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770</v>
      </c>
      <c r="B330" s="115" t="s">
        <v>1117</v>
      </c>
      <c r="C330" s="116" t="s">
        <v>457</v>
      </c>
      <c r="D330" s="116" t="s">
        <v>1118</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773</v>
      </c>
      <c r="B331" s="115" t="s">
        <v>1119</v>
      </c>
      <c r="C331" s="116" t="s">
        <v>457</v>
      </c>
      <c r="D331" s="116" t="s">
        <v>1120</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776</v>
      </c>
      <c r="B332" s="115" t="s">
        <v>1121</v>
      </c>
      <c r="C332" s="116" t="s">
        <v>457</v>
      </c>
      <c r="D332" s="116" t="s">
        <v>1122</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779</v>
      </c>
      <c r="B333" s="115" t="s">
        <v>1123</v>
      </c>
      <c r="C333" s="116" t="s">
        <v>457</v>
      </c>
      <c r="D333" s="116" t="s">
        <v>1124</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782</v>
      </c>
      <c r="B334" s="115" t="s">
        <v>1125</v>
      </c>
      <c r="C334" s="116" t="s">
        <v>457</v>
      </c>
      <c r="D334" s="116" t="s">
        <v>1126</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785</v>
      </c>
      <c r="B335" s="115" t="s">
        <v>1127</v>
      </c>
      <c r="C335" s="116" t="s">
        <v>457</v>
      </c>
      <c r="D335" s="116" t="s">
        <v>1128</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788</v>
      </c>
      <c r="B336" s="115" t="s">
        <v>1129</v>
      </c>
      <c r="C336" s="116" t="s">
        <v>457</v>
      </c>
      <c r="D336" s="116" t="s">
        <v>1130</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791</v>
      </c>
      <c r="B337" s="115" t="s">
        <v>1131</v>
      </c>
      <c r="C337" s="116" t="s">
        <v>457</v>
      </c>
      <c r="D337" s="116" t="s">
        <v>1132</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794</v>
      </c>
      <c r="B338" s="115" t="s">
        <v>1133</v>
      </c>
      <c r="C338" s="116" t="s">
        <v>457</v>
      </c>
      <c r="D338" s="116" t="s">
        <v>1134</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797</v>
      </c>
      <c r="B339" s="115" t="s">
        <v>1135</v>
      </c>
      <c r="C339" s="116" t="s">
        <v>457</v>
      </c>
      <c r="D339" s="116" t="s">
        <v>1136</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800</v>
      </c>
      <c r="B340" s="115" t="s">
        <v>819</v>
      </c>
      <c r="C340" s="116" t="s">
        <v>457</v>
      </c>
      <c r="D340" s="116" t="s">
        <v>820</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803</v>
      </c>
      <c r="B341" s="115" t="s">
        <v>1137</v>
      </c>
      <c r="C341" s="116" t="s">
        <v>457</v>
      </c>
      <c r="D341" s="116" t="s">
        <v>1138</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806</v>
      </c>
      <c r="B342" s="115" t="s">
        <v>931</v>
      </c>
      <c r="C342" s="116" t="s">
        <v>457</v>
      </c>
      <c r="D342" s="116" t="s">
        <v>932</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809</v>
      </c>
      <c r="B343" s="115" t="s">
        <v>1139</v>
      </c>
      <c r="C343" s="116" t="s">
        <v>457</v>
      </c>
      <c r="D343" s="116" t="s">
        <v>1140</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812</v>
      </c>
      <c r="B344" s="115" t="s">
        <v>1141</v>
      </c>
      <c r="C344" s="116" t="s">
        <v>457</v>
      </c>
      <c r="D344" s="116" t="s">
        <v>1142</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815</v>
      </c>
      <c r="B345" s="115" t="s">
        <v>1143</v>
      </c>
      <c r="C345" s="116" t="s">
        <v>457</v>
      </c>
      <c r="D345" s="116" t="s">
        <v>1144</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818</v>
      </c>
      <c r="B346" s="115" t="s">
        <v>1145</v>
      </c>
      <c r="C346" s="116" t="s">
        <v>457</v>
      </c>
      <c r="D346" s="116" t="s">
        <v>1146</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821</v>
      </c>
      <c r="B347" s="115" t="s">
        <v>1147</v>
      </c>
      <c r="C347" s="116" t="s">
        <v>457</v>
      </c>
      <c r="D347" s="116" t="s">
        <v>1148</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824</v>
      </c>
      <c r="B348" s="115" t="s">
        <v>1149</v>
      </c>
      <c r="C348" s="116" t="s">
        <v>457</v>
      </c>
      <c r="D348" s="116" t="s">
        <v>1150</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827</v>
      </c>
      <c r="B349" s="115" t="s">
        <v>1151</v>
      </c>
      <c r="C349" s="116" t="s">
        <v>457</v>
      </c>
      <c r="D349" s="116" t="s">
        <v>1152</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830</v>
      </c>
      <c r="B350" s="115" t="s">
        <v>1153</v>
      </c>
      <c r="C350" s="116" t="s">
        <v>457</v>
      </c>
      <c r="D350" s="116" t="s">
        <v>1154</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833</v>
      </c>
      <c r="B351" s="115" t="s">
        <v>1155</v>
      </c>
      <c r="C351" s="116" t="s">
        <v>457</v>
      </c>
      <c r="D351" s="116" t="s">
        <v>1156</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836</v>
      </c>
      <c r="B352" s="115" t="s">
        <v>1157</v>
      </c>
      <c r="C352" s="116" t="s">
        <v>457</v>
      </c>
      <c r="D352" s="116" t="s">
        <v>1158</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1159</v>
      </c>
      <c r="B353" s="115" t="s">
        <v>1160</v>
      </c>
      <c r="C353" s="116" t="s">
        <v>457</v>
      </c>
      <c r="D353" s="116" t="s">
        <v>1161</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1162</v>
      </c>
      <c r="B354" s="115" t="s">
        <v>1163</v>
      </c>
      <c r="C354" s="116" t="s">
        <v>457</v>
      </c>
      <c r="D354" s="116" t="s">
        <v>1164</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1165</v>
      </c>
      <c r="B355" s="115" t="s">
        <v>611</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1166</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1167</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1168</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455</v>
      </c>
      <c r="B359" s="115" t="s">
        <v>628</v>
      </c>
      <c r="C359" s="116" t="s">
        <v>457</v>
      </c>
      <c r="D359" s="116" t="s">
        <v>629</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459</v>
      </c>
      <c r="B360" s="115" t="s">
        <v>626</v>
      </c>
      <c r="C360" s="116" t="s">
        <v>457</v>
      </c>
      <c r="D360" s="116" t="s">
        <v>627</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1169</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455</v>
      </c>
      <c r="B362" s="115" t="s">
        <v>1170</v>
      </c>
      <c r="C362" s="116" t="s">
        <v>457</v>
      </c>
      <c r="D362" s="116" t="s">
        <v>1171</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459</v>
      </c>
      <c r="B363" s="115" t="s">
        <v>630</v>
      </c>
      <c r="C363" s="116" t="s">
        <v>457</v>
      </c>
      <c r="D363" s="116" t="s">
        <v>631</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1172</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455</v>
      </c>
      <c r="B365" s="115" t="s">
        <v>1173</v>
      </c>
      <c r="C365" s="116" t="s">
        <v>457</v>
      </c>
      <c r="D365" s="116" t="s">
        <v>633</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1174</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455</v>
      </c>
      <c r="B367" s="115" t="s">
        <v>1175</v>
      </c>
      <c r="C367" s="116" t="s">
        <v>457</v>
      </c>
      <c r="D367" s="116" t="s">
        <v>1176</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1177</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455</v>
      </c>
      <c r="B369" s="115" t="s">
        <v>1178</v>
      </c>
      <c r="C369" s="116" t="s">
        <v>457</v>
      </c>
      <c r="D369" s="116" t="s">
        <v>1179</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1180</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455</v>
      </c>
      <c r="B371" s="115" t="s">
        <v>1099</v>
      </c>
      <c r="C371" s="116" t="s">
        <v>457</v>
      </c>
      <c r="D371" s="116" t="s">
        <v>1100</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459</v>
      </c>
      <c r="B372" s="115" t="s">
        <v>1107</v>
      </c>
      <c r="C372" s="116" t="s">
        <v>457</v>
      </c>
      <c r="D372" s="116" t="s">
        <v>1108</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462</v>
      </c>
      <c r="B373" s="115" t="s">
        <v>1181</v>
      </c>
      <c r="C373" s="116" t="s">
        <v>457</v>
      </c>
      <c r="D373" s="116" t="s">
        <v>1182</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465</v>
      </c>
      <c r="B374" s="115" t="s">
        <v>1183</v>
      </c>
      <c r="C374" s="116" t="s">
        <v>457</v>
      </c>
      <c r="D374" s="116" t="s">
        <v>1184</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468</v>
      </c>
      <c r="B375" s="115" t="s">
        <v>1117</v>
      </c>
      <c r="C375" s="116" t="s">
        <v>457</v>
      </c>
      <c r="D375" s="116" t="s">
        <v>1118</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471</v>
      </c>
      <c r="B376" s="115" t="s">
        <v>1123</v>
      </c>
      <c r="C376" s="116" t="s">
        <v>457</v>
      </c>
      <c r="D376" s="116" t="s">
        <v>1124</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474</v>
      </c>
      <c r="B377" s="115" t="s">
        <v>463</v>
      </c>
      <c r="C377" s="116" t="s">
        <v>457</v>
      </c>
      <c r="D377" s="116" t="s">
        <v>464</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1185</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665</v>
      </c>
      <c r="B379" s="115" t="s">
        <v>1186</v>
      </c>
      <c r="C379" s="116" t="s">
        <v>457</v>
      </c>
      <c r="D379" s="116" t="s">
        <v>1187</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668</v>
      </c>
      <c r="B380" s="115" t="s">
        <v>1188</v>
      </c>
      <c r="C380" s="116" t="s">
        <v>457</v>
      </c>
      <c r="D380" s="116" t="s">
        <v>1189</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671</v>
      </c>
      <c r="B381" s="115" t="s">
        <v>1190</v>
      </c>
      <c r="C381" s="116" t="s">
        <v>457</v>
      </c>
      <c r="D381" s="116" t="s">
        <v>1191</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674</v>
      </c>
      <c r="B382" s="115" t="s">
        <v>1192</v>
      </c>
      <c r="C382" s="116" t="s">
        <v>457</v>
      </c>
      <c r="D382" s="116" t="s">
        <v>1193</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749</v>
      </c>
      <c r="B383" s="115" t="s">
        <v>1194</v>
      </c>
      <c r="C383" s="116" t="s">
        <v>457</v>
      </c>
      <c r="D383" s="116" t="s">
        <v>1195</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752</v>
      </c>
      <c r="B384" s="115" t="s">
        <v>1196</v>
      </c>
      <c r="C384" s="116" t="s">
        <v>457</v>
      </c>
      <c r="D384" s="116" t="s">
        <v>1197</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755</v>
      </c>
      <c r="B385" s="115" t="s">
        <v>1198</v>
      </c>
      <c r="C385" s="116" t="s">
        <v>457</v>
      </c>
      <c r="D385" s="116" t="s">
        <v>1199</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758</v>
      </c>
      <c r="B386" s="115" t="s">
        <v>1200</v>
      </c>
      <c r="C386" s="116" t="s">
        <v>457</v>
      </c>
      <c r="D386" s="116" t="s">
        <v>1201</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761</v>
      </c>
      <c r="B387" s="115" t="s">
        <v>1202</v>
      </c>
      <c r="C387" s="116" t="s">
        <v>457</v>
      </c>
      <c r="D387" s="116" t="s">
        <v>1203</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764</v>
      </c>
      <c r="B388" s="115" t="s">
        <v>1204</v>
      </c>
      <c r="C388" s="116" t="s">
        <v>457</v>
      </c>
      <c r="D388" s="116" t="s">
        <v>1205</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455</v>
      </c>
      <c r="B389" s="115" t="s">
        <v>1206</v>
      </c>
      <c r="C389" s="116" t="s">
        <v>457</v>
      </c>
      <c r="D389" s="116" t="s">
        <v>1207</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767</v>
      </c>
      <c r="B390" s="115" t="s">
        <v>1208</v>
      </c>
      <c r="C390" s="116" t="s">
        <v>457</v>
      </c>
      <c r="D390" s="116" t="s">
        <v>1209</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1210</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459</v>
      </c>
      <c r="B392" s="115" t="s">
        <v>1211</v>
      </c>
      <c r="C392" s="116" t="s">
        <v>457</v>
      </c>
      <c r="D392" s="116" t="s">
        <v>1212</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462</v>
      </c>
      <c r="B393" s="115" t="s">
        <v>1213</v>
      </c>
      <c r="C393" s="116" t="s">
        <v>457</v>
      </c>
      <c r="D393" s="116" t="s">
        <v>1214</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465</v>
      </c>
      <c r="B394" s="115" t="s">
        <v>1215</v>
      </c>
      <c r="C394" s="116" t="s">
        <v>457</v>
      </c>
      <c r="D394" s="116" t="s">
        <v>1216</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468</v>
      </c>
      <c r="B395" s="115" t="s">
        <v>1217</v>
      </c>
      <c r="C395" s="116" t="s">
        <v>457</v>
      </c>
      <c r="D395" s="116" t="s">
        <v>1218</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471</v>
      </c>
      <c r="B396" s="115" t="s">
        <v>1219</v>
      </c>
      <c r="C396" s="116" t="s">
        <v>457</v>
      </c>
      <c r="D396" s="116" t="s">
        <v>1220</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474</v>
      </c>
      <c r="B397" s="115" t="s">
        <v>1221</v>
      </c>
      <c r="C397" s="116" t="s">
        <v>457</v>
      </c>
      <c r="D397" s="116" t="s">
        <v>1222</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477</v>
      </c>
      <c r="B398" s="115" t="s">
        <v>1223</v>
      </c>
      <c r="C398" s="116" t="s">
        <v>457</v>
      </c>
      <c r="D398" s="116" t="s">
        <v>1224</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480</v>
      </c>
      <c r="B399" s="115" t="s">
        <v>1225</v>
      </c>
      <c r="C399" s="116" t="s">
        <v>457</v>
      </c>
      <c r="D399" s="116" t="s">
        <v>1226</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483</v>
      </c>
      <c r="B400" s="115" t="s">
        <v>1208</v>
      </c>
      <c r="C400" s="116" t="s">
        <v>457</v>
      </c>
      <c r="D400" s="116" t="s">
        <v>1209</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486</v>
      </c>
      <c r="B401" s="115" t="s">
        <v>1202</v>
      </c>
      <c r="C401" s="116" t="s">
        <v>457</v>
      </c>
      <c r="D401" s="116" t="s">
        <v>1203</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489</v>
      </c>
      <c r="B402" s="115" t="s">
        <v>1227</v>
      </c>
      <c r="C402" s="116" t="s">
        <v>457</v>
      </c>
      <c r="D402" s="116" t="s">
        <v>1228</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553</v>
      </c>
      <c r="B403" s="115" t="s">
        <v>1229</v>
      </c>
      <c r="C403" s="116" t="s">
        <v>457</v>
      </c>
      <c r="D403" s="116" t="s">
        <v>1230</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556</v>
      </c>
      <c r="B404" s="115" t="s">
        <v>1231</v>
      </c>
      <c r="C404" s="116" t="s">
        <v>457</v>
      </c>
      <c r="D404" s="116" t="s">
        <v>1232</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559</v>
      </c>
      <c r="B405" s="115" t="s">
        <v>1233</v>
      </c>
      <c r="C405" s="116" t="s">
        <v>457</v>
      </c>
      <c r="D405" s="116" t="s">
        <v>1234</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562</v>
      </c>
      <c r="B406" s="115" t="s">
        <v>1235</v>
      </c>
      <c r="C406" s="116" t="s">
        <v>457</v>
      </c>
      <c r="D406" s="116" t="s">
        <v>1236</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565</v>
      </c>
      <c r="B407" s="115" t="s">
        <v>1237</v>
      </c>
      <c r="C407" s="116" t="s">
        <v>457</v>
      </c>
      <c r="D407" s="116" t="s">
        <v>1238</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568</v>
      </c>
      <c r="B408" s="115" t="s">
        <v>1186</v>
      </c>
      <c r="C408" s="116" t="s">
        <v>457</v>
      </c>
      <c r="D408" s="116" t="s">
        <v>1187</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571</v>
      </c>
      <c r="B409" s="115" t="s">
        <v>1239</v>
      </c>
      <c r="C409" s="116" t="s">
        <v>457</v>
      </c>
      <c r="D409" s="116" t="s">
        <v>1240</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574</v>
      </c>
      <c r="B410" s="115" t="s">
        <v>1196</v>
      </c>
      <c r="C410" s="116" t="s">
        <v>457</v>
      </c>
      <c r="D410" s="116" t="s">
        <v>1197</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577</v>
      </c>
      <c r="B411" s="115" t="s">
        <v>1198</v>
      </c>
      <c r="C411" s="116" t="s">
        <v>457</v>
      </c>
      <c r="D411" s="116" t="s">
        <v>1199</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656</v>
      </c>
      <c r="B412" s="115" t="s">
        <v>1200</v>
      </c>
      <c r="C412" s="116" t="s">
        <v>457</v>
      </c>
      <c r="D412" s="116" t="s">
        <v>1201</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659</v>
      </c>
      <c r="B413" s="115" t="s">
        <v>1204</v>
      </c>
      <c r="C413" s="116" t="s">
        <v>457</v>
      </c>
      <c r="D413" s="116" t="s">
        <v>1205</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662</v>
      </c>
      <c r="B414" s="115" t="s">
        <v>1241</v>
      </c>
      <c r="C414" s="116" t="s">
        <v>457</v>
      </c>
      <c r="D414" s="116" t="s">
        <v>1242</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1243</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455</v>
      </c>
      <c r="B416" s="115" t="s">
        <v>620</v>
      </c>
      <c r="C416" s="116" t="s">
        <v>457</v>
      </c>
      <c r="D416" s="116" t="s">
        <v>621</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1244</v>
      </c>
      <c r="B417" s="136" t="s">
        <v>1245</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455</v>
      </c>
      <c r="B418" s="115" t="s">
        <v>1037</v>
      </c>
      <c r="C418" s="116" t="s">
        <v>457</v>
      </c>
      <c r="D418" s="116" t="s">
        <v>1038</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459</v>
      </c>
      <c r="B419" s="115" t="s">
        <v>1039</v>
      </c>
      <c r="C419" s="116" t="s">
        <v>457</v>
      </c>
      <c r="D419" s="116" t="s">
        <v>1040</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462</v>
      </c>
      <c r="B420" s="115" t="s">
        <v>705</v>
      </c>
      <c r="C420" s="116" t="s">
        <v>457</v>
      </c>
      <c r="D420" s="116" t="s">
        <v>706</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465</v>
      </c>
      <c r="B421" s="115" t="s">
        <v>709</v>
      </c>
      <c r="C421" s="116" t="s">
        <v>457</v>
      </c>
      <c r="D421" s="116" t="s">
        <v>710</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468</v>
      </c>
      <c r="B422" s="115" t="s">
        <v>501</v>
      </c>
      <c r="C422" s="116" t="s">
        <v>457</v>
      </c>
      <c r="D422" s="116" t="s">
        <v>502</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471</v>
      </c>
      <c r="B423" s="115" t="s">
        <v>1013</v>
      </c>
      <c r="C423" s="116" t="s">
        <v>457</v>
      </c>
      <c r="D423" s="116" t="s">
        <v>1014</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474</v>
      </c>
      <c r="B424" s="115" t="s">
        <v>1019</v>
      </c>
      <c r="C424" s="116" t="s">
        <v>457</v>
      </c>
      <c r="D424" s="116" t="s">
        <v>1020</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477</v>
      </c>
      <c r="B425" s="115" t="s">
        <v>1025</v>
      </c>
      <c r="C425" s="116" t="s">
        <v>457</v>
      </c>
      <c r="D425" s="116" t="s">
        <v>1026</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480</v>
      </c>
      <c r="B426" s="115" t="s">
        <v>1029</v>
      </c>
      <c r="C426" s="116" t="s">
        <v>457</v>
      </c>
      <c r="D426" s="116" t="s">
        <v>1030</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483</v>
      </c>
      <c r="B427" s="115" t="s">
        <v>1033</v>
      </c>
      <c r="C427" s="116" t="s">
        <v>457</v>
      </c>
      <c r="D427" s="116" t="s">
        <v>1034</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486</v>
      </c>
      <c r="B428" s="115" t="s">
        <v>1035</v>
      </c>
      <c r="C428" s="116" t="s">
        <v>457</v>
      </c>
      <c r="D428" s="116" t="s">
        <v>1036</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489</v>
      </c>
      <c r="B429" s="115" t="s">
        <v>745</v>
      </c>
      <c r="C429" s="116" t="s">
        <v>457</v>
      </c>
      <c r="D429" s="116" t="s">
        <v>746</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553</v>
      </c>
      <c r="B430" s="115" t="s">
        <v>747</v>
      </c>
      <c r="C430" s="116" t="s">
        <v>457</v>
      </c>
      <c r="D430" s="116" t="s">
        <v>748</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556</v>
      </c>
      <c r="B431" s="115" t="s">
        <v>750</v>
      </c>
      <c r="C431" s="116" t="s">
        <v>457</v>
      </c>
      <c r="D431" s="116" t="s">
        <v>751</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559</v>
      </c>
      <c r="B432" s="115" t="s">
        <v>783</v>
      </c>
      <c r="C432" s="116" t="s">
        <v>457</v>
      </c>
      <c r="D432" s="116" t="s">
        <v>784</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562</v>
      </c>
      <c r="B433" s="115" t="s">
        <v>780</v>
      </c>
      <c r="C433" s="116" t="s">
        <v>457</v>
      </c>
      <c r="D433" s="116" t="s">
        <v>781</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565</v>
      </c>
      <c r="B434" s="115" t="s">
        <v>1246</v>
      </c>
      <c r="C434" s="116" t="s">
        <v>457</v>
      </c>
      <c r="D434" s="116" t="s">
        <v>1247</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568</v>
      </c>
      <c r="B435" s="115" t="s">
        <v>1248</v>
      </c>
      <c r="C435" s="116" t="s">
        <v>457</v>
      </c>
      <c r="D435" s="116" t="s">
        <v>1249</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571</v>
      </c>
      <c r="B436" s="115" t="s">
        <v>810</v>
      </c>
      <c r="C436" s="116" t="s">
        <v>457</v>
      </c>
      <c r="D436" s="116" t="s">
        <v>811</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574</v>
      </c>
      <c r="B437" s="115" t="s">
        <v>765</v>
      </c>
      <c r="C437" s="116" t="s">
        <v>457</v>
      </c>
      <c r="D437" s="116" t="s">
        <v>766</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577</v>
      </c>
      <c r="B438" s="115" t="s">
        <v>456</v>
      </c>
      <c r="C438" s="116" t="s">
        <v>457</v>
      </c>
      <c r="D438" s="116" t="s">
        <v>458</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656</v>
      </c>
      <c r="B439" s="115" t="s">
        <v>951</v>
      </c>
      <c r="C439" s="116" t="s">
        <v>457</v>
      </c>
      <c r="D439" s="116" t="s">
        <v>952</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659</v>
      </c>
      <c r="B440" s="115" t="s">
        <v>961</v>
      </c>
      <c r="C440" s="116" t="s">
        <v>457</v>
      </c>
      <c r="D440" s="116" t="s">
        <v>962</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662</v>
      </c>
      <c r="B441" s="115" t="s">
        <v>955</v>
      </c>
      <c r="C441" s="116" t="s">
        <v>457</v>
      </c>
      <c r="D441" s="116" t="s">
        <v>956</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665</v>
      </c>
      <c r="B442" s="115" t="s">
        <v>963</v>
      </c>
      <c r="C442" s="116" t="s">
        <v>457</v>
      </c>
      <c r="D442" s="116" t="s">
        <v>964</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668</v>
      </c>
      <c r="B443" s="115" t="s">
        <v>953</v>
      </c>
      <c r="C443" s="116" t="s">
        <v>457</v>
      </c>
      <c r="D443" s="116" t="s">
        <v>954</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671</v>
      </c>
      <c r="B444" s="115" t="s">
        <v>995</v>
      </c>
      <c r="C444" s="116" t="s">
        <v>457</v>
      </c>
      <c r="D444" s="116" t="s">
        <v>996</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674</v>
      </c>
      <c r="B445" s="115" t="s">
        <v>1250</v>
      </c>
      <c r="C445" s="116" t="s">
        <v>457</v>
      </c>
      <c r="D445" s="116" t="s">
        <v>1251</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749</v>
      </c>
      <c r="B446" s="115" t="s">
        <v>626</v>
      </c>
      <c r="C446" s="116" t="s">
        <v>457</v>
      </c>
      <c r="D446" s="116" t="s">
        <v>627</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752</v>
      </c>
      <c r="B447" s="115" t="s">
        <v>630</v>
      </c>
      <c r="C447" s="116" t="s">
        <v>457</v>
      </c>
      <c r="D447" s="116" t="s">
        <v>631</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755</v>
      </c>
      <c r="B448" s="115" t="s">
        <v>1206</v>
      </c>
      <c r="C448" s="116" t="s">
        <v>457</v>
      </c>
      <c r="D448" s="116" t="s">
        <v>1207</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758</v>
      </c>
      <c r="B449" s="115" t="s">
        <v>1225</v>
      </c>
      <c r="C449" s="116" t="s">
        <v>457</v>
      </c>
      <c r="D449" s="116" t="s">
        <v>1226</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761</v>
      </c>
      <c r="B450" s="115" t="s">
        <v>1186</v>
      </c>
      <c r="C450" s="116" t="s">
        <v>457</v>
      </c>
      <c r="D450" s="116" t="s">
        <v>1187</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764</v>
      </c>
      <c r="B451" s="115" t="s">
        <v>1239</v>
      </c>
      <c r="C451" s="116" t="s">
        <v>457</v>
      </c>
      <c r="D451" s="116" t="s">
        <v>1240</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767</v>
      </c>
      <c r="B452" s="115" t="s">
        <v>624</v>
      </c>
      <c r="C452" s="116" t="s">
        <v>457</v>
      </c>
      <c r="D452" s="116" t="s">
        <v>625</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770</v>
      </c>
      <c r="B453" s="115" t="s">
        <v>616</v>
      </c>
      <c r="C453" s="116" t="s">
        <v>457</v>
      </c>
      <c r="D453" s="116" t="s">
        <v>617</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773</v>
      </c>
      <c r="B454" s="115" t="s">
        <v>1252</v>
      </c>
      <c r="C454" s="116" t="s">
        <v>457</v>
      </c>
      <c r="D454" s="116" t="s">
        <v>1253</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776</v>
      </c>
      <c r="B455" s="115" t="s">
        <v>991</v>
      </c>
      <c r="C455" s="116" t="s">
        <v>457</v>
      </c>
      <c r="D455" s="116" t="s">
        <v>992</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779</v>
      </c>
      <c r="B456" s="115" t="s">
        <v>862</v>
      </c>
      <c r="C456" s="116" t="s">
        <v>457</v>
      </c>
      <c r="D456" s="116" t="s">
        <v>863</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782</v>
      </c>
      <c r="B457" s="115" t="s">
        <v>611</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1254</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455</v>
      </c>
      <c r="B459" s="115" t="s">
        <v>1255</v>
      </c>
      <c r="C459" s="116" t="s">
        <v>457</v>
      </c>
      <c r="D459" s="116" t="s">
        <v>1256</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459</v>
      </c>
      <c r="B460" s="115" t="s">
        <v>622</v>
      </c>
      <c r="C460" s="116" t="s">
        <v>457</v>
      </c>
      <c r="D460" s="116" t="s">
        <v>623</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462</v>
      </c>
      <c r="B461" s="115" t="s">
        <v>1257</v>
      </c>
      <c r="C461" s="116" t="s">
        <v>457</v>
      </c>
      <c r="D461" s="116" t="s">
        <v>1258</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465</v>
      </c>
      <c r="B462" s="115" t="s">
        <v>1259</v>
      </c>
      <c r="C462" s="116" t="s">
        <v>457</v>
      </c>
      <c r="D462" s="116" t="s">
        <v>1260</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468</v>
      </c>
      <c r="B463" s="115" t="s">
        <v>1261</v>
      </c>
      <c r="C463" s="116" t="s">
        <v>457</v>
      </c>
      <c r="D463" s="116" t="s">
        <v>1262</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471</v>
      </c>
      <c r="B464" s="115" t="s">
        <v>1263</v>
      </c>
      <c r="C464" s="116" t="s">
        <v>457</v>
      </c>
      <c r="D464" s="116" t="s">
        <v>1264</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474</v>
      </c>
      <c r="B465" s="115" t="s">
        <v>1265</v>
      </c>
      <c r="C465" s="116" t="s">
        <v>457</v>
      </c>
      <c r="D465" s="116" t="s">
        <v>1266</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477</v>
      </c>
      <c r="B466" s="115" t="s">
        <v>1267</v>
      </c>
      <c r="C466" s="116" t="s">
        <v>457</v>
      </c>
      <c r="D466" s="116" t="s">
        <v>1268</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480</v>
      </c>
      <c r="B467" s="115" t="s">
        <v>1269</v>
      </c>
      <c r="C467" s="116" t="s">
        <v>457</v>
      </c>
      <c r="D467" s="116" t="s">
        <v>1270</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483</v>
      </c>
      <c r="B468" s="115" t="s">
        <v>1271</v>
      </c>
      <c r="C468" s="116" t="s">
        <v>457</v>
      </c>
      <c r="D468" s="116" t="s">
        <v>1272</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486</v>
      </c>
      <c r="B469" s="115" t="s">
        <v>1273</v>
      </c>
      <c r="C469" s="116" t="s">
        <v>457</v>
      </c>
      <c r="D469" s="116" t="s">
        <v>1274</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489</v>
      </c>
      <c r="B470" s="115" t="s">
        <v>1275</v>
      </c>
      <c r="C470" s="116" t="s">
        <v>457</v>
      </c>
      <c r="D470" s="116" t="s">
        <v>1276</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553</v>
      </c>
      <c r="B471" s="115" t="s">
        <v>1277</v>
      </c>
      <c r="C471" s="116" t="s">
        <v>457</v>
      </c>
      <c r="D471" s="116" t="s">
        <v>1278</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556</v>
      </c>
      <c r="B472" s="115" t="s">
        <v>1279</v>
      </c>
      <c r="C472" s="116" t="s">
        <v>457</v>
      </c>
      <c r="D472" s="116" t="s">
        <v>1280</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559</v>
      </c>
      <c r="B473" s="115" t="s">
        <v>1281</v>
      </c>
      <c r="C473" s="116" t="s">
        <v>457</v>
      </c>
      <c r="D473" s="116" t="s">
        <v>1282</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562</v>
      </c>
      <c r="B474" s="115" t="s">
        <v>1283</v>
      </c>
      <c r="C474" s="116" t="s">
        <v>457</v>
      </c>
      <c r="D474" s="116" t="s">
        <v>1284</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565</v>
      </c>
      <c r="B475" s="115" t="s">
        <v>1285</v>
      </c>
      <c r="C475" s="116" t="s">
        <v>457</v>
      </c>
      <c r="D475" s="116" t="s">
        <v>1286</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568</v>
      </c>
      <c r="B476" s="115" t="s">
        <v>1287</v>
      </c>
      <c r="C476" s="116" t="s">
        <v>457</v>
      </c>
      <c r="D476" s="116" t="s">
        <v>1288</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571</v>
      </c>
      <c r="B477" s="115" t="s">
        <v>1289</v>
      </c>
      <c r="C477" s="116" t="s">
        <v>457</v>
      </c>
      <c r="D477" s="116" t="s">
        <v>1290</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574</v>
      </c>
      <c r="B478" s="115" t="s">
        <v>1291</v>
      </c>
      <c r="C478" s="116" t="s">
        <v>457</v>
      </c>
      <c r="D478" s="116" t="s">
        <v>1292</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577</v>
      </c>
      <c r="B479" s="115" t="s">
        <v>1293</v>
      </c>
      <c r="C479" s="116" t="s">
        <v>457</v>
      </c>
      <c r="D479" s="116" t="s">
        <v>1294</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656</v>
      </c>
      <c r="B480" s="115" t="s">
        <v>1109</v>
      </c>
      <c r="C480" s="116" t="s">
        <v>457</v>
      </c>
      <c r="D480" s="116" t="s">
        <v>1110</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659</v>
      </c>
      <c r="B481" s="115" t="s">
        <v>1295</v>
      </c>
      <c r="C481" s="116" t="s">
        <v>457</v>
      </c>
      <c r="D481" s="116" t="s">
        <v>1296</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662</v>
      </c>
      <c r="B482" s="115" t="s">
        <v>1297</v>
      </c>
      <c r="C482" s="116" t="s">
        <v>457</v>
      </c>
      <c r="D482" s="116" t="s">
        <v>1298</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665</v>
      </c>
      <c r="B483" s="115" t="s">
        <v>1299</v>
      </c>
      <c r="C483" s="116" t="s">
        <v>457</v>
      </c>
      <c r="D483" s="116" t="s">
        <v>1300</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668</v>
      </c>
      <c r="B484" s="115" t="s">
        <v>1183</v>
      </c>
      <c r="C484" s="116" t="s">
        <v>457</v>
      </c>
      <c r="D484" s="116" t="s">
        <v>1184</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671</v>
      </c>
      <c r="B485" s="115" t="s">
        <v>1301</v>
      </c>
      <c r="C485" s="116" t="s">
        <v>457</v>
      </c>
      <c r="D485" s="116" t="s">
        <v>1302</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674</v>
      </c>
      <c r="B486" s="115" t="s">
        <v>1303</v>
      </c>
      <c r="C486" s="116" t="s">
        <v>457</v>
      </c>
      <c r="D486" s="116" t="s">
        <v>1304</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749</v>
      </c>
      <c r="B487" s="115" t="s">
        <v>1305</v>
      </c>
      <c r="C487" s="116" t="s">
        <v>457</v>
      </c>
      <c r="D487" s="116" t="s">
        <v>1306</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752</v>
      </c>
      <c r="B488" s="115" t="s">
        <v>1307</v>
      </c>
      <c r="C488" s="116" t="s">
        <v>457</v>
      </c>
      <c r="D488" s="116" t="s">
        <v>1308</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755</v>
      </c>
      <c r="B489" s="115" t="s">
        <v>1309</v>
      </c>
      <c r="C489" s="116" t="s">
        <v>457</v>
      </c>
      <c r="D489" s="116" t="s">
        <v>1310</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758</v>
      </c>
      <c r="B490" s="115" t="s">
        <v>611</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339</v>
      </c>
      <c r="B491" s="136" t="s">
        <v>1311</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455</v>
      </c>
      <c r="B492" s="115" t="s">
        <v>825</v>
      </c>
      <c r="C492" s="116" t="s">
        <v>457</v>
      </c>
      <c r="D492" s="116" t="s">
        <v>826</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459</v>
      </c>
      <c r="B493" s="115" t="s">
        <v>828</v>
      </c>
      <c r="C493" s="116" t="s">
        <v>457</v>
      </c>
      <c r="D493" s="116" t="s">
        <v>829</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462</v>
      </c>
      <c r="B494" s="115" t="s">
        <v>831</v>
      </c>
      <c r="C494" s="116" t="s">
        <v>457</v>
      </c>
      <c r="D494" s="116" t="s">
        <v>832</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465</v>
      </c>
      <c r="B495" s="115" t="s">
        <v>834</v>
      </c>
      <c r="C495" s="116" t="s">
        <v>457</v>
      </c>
      <c r="D495" s="116" t="s">
        <v>835</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468</v>
      </c>
      <c r="B496" s="115" t="s">
        <v>630</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1312</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455</v>
      </c>
      <c r="B498" s="115" t="s">
        <v>1313</v>
      </c>
      <c r="C498" s="116" t="s">
        <v>457</v>
      </c>
      <c r="D498" s="116" t="s">
        <v>1314</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459</v>
      </c>
      <c r="B499" s="115" t="s">
        <v>1315</v>
      </c>
      <c r="C499" s="116" t="s">
        <v>457</v>
      </c>
      <c r="D499" s="116" t="s">
        <v>1316</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1317</v>
      </c>
      <c r="B500" s="136" t="s">
        <v>1318</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455</v>
      </c>
      <c r="B501" s="115" t="s">
        <v>624</v>
      </c>
      <c r="C501" s="116" t="s">
        <v>457</v>
      </c>
      <c r="D501" s="116" t="s">
        <v>625</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1319</v>
      </c>
      <c r="B502" s="157" t="s">
        <v>1320</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492</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1321</v>
      </c>
      <c r="C504" s="116" t="s">
        <v>457</v>
      </c>
      <c r="D504" s="116" t="s">
        <v>1322</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1323</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1324</v>
      </c>
      <c r="C506" s="116" t="s">
        <v>457</v>
      </c>
      <c r="D506" s="116" t="s">
        <v>1325</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1326</v>
      </c>
      <c r="B507" s="136" t="s">
        <v>1327</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1328</v>
      </c>
      <c r="B508" s="115" t="s">
        <v>587</v>
      </c>
      <c r="C508" s="116" t="s">
        <v>457</v>
      </c>
      <c r="D508" s="116" t="s">
        <v>588</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1329</v>
      </c>
      <c r="B517" s="121" t="s">
        <v>466</v>
      </c>
      <c r="C517" s="122" t="s">
        <v>457</v>
      </c>
      <c r="D517" s="122" t="s">
        <v>467</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1330</v>
      </c>
      <c r="B518" s="121" t="s">
        <v>965</v>
      </c>
      <c r="C518" s="122" t="s">
        <v>457</v>
      </c>
      <c r="D518" s="122" t="s">
        <v>966</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1331</v>
      </c>
      <c r="B519" s="115" t="s">
        <v>939</v>
      </c>
      <c r="C519" s="116" t="s">
        <v>457</v>
      </c>
      <c r="D519" s="116" t="s">
        <v>940</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1332</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1333</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455</v>
      </c>
      <c r="B523" s="115" t="s">
        <v>1334</v>
      </c>
      <c r="C523" s="116" t="s">
        <v>457</v>
      </c>
      <c r="D523" s="116" t="s">
        <v>1335</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459</v>
      </c>
      <c r="B524" s="115" t="s">
        <v>759</v>
      </c>
      <c r="C524" s="116" t="s">
        <v>457</v>
      </c>
      <c r="D524" s="116" t="s">
        <v>760</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462</v>
      </c>
      <c r="B525" s="115" t="s">
        <v>1336</v>
      </c>
      <c r="C525" s="116" t="s">
        <v>457</v>
      </c>
      <c r="D525" s="116" t="s">
        <v>1337</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465</v>
      </c>
      <c r="B526" s="115" t="s">
        <v>1338</v>
      </c>
      <c r="C526" s="116" t="s">
        <v>457</v>
      </c>
      <c r="D526" s="116" t="s">
        <v>1339</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468</v>
      </c>
      <c r="B527" s="115" t="s">
        <v>1340</v>
      </c>
      <c r="C527" s="116" t="s">
        <v>457</v>
      </c>
      <c r="D527" s="116" t="s">
        <v>1341</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471</v>
      </c>
      <c r="B528" s="115" t="s">
        <v>1342</v>
      </c>
      <c r="C528" s="116" t="s">
        <v>457</v>
      </c>
      <c r="D528" s="116" t="s">
        <v>1343</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474</v>
      </c>
      <c r="B529" s="115" t="s">
        <v>1344</v>
      </c>
      <c r="C529" s="116" t="s">
        <v>457</v>
      </c>
      <c r="D529" s="116" t="s">
        <v>1345</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477</v>
      </c>
      <c r="B530" s="115" t="s">
        <v>1346</v>
      </c>
      <c r="C530" s="116" t="s">
        <v>457</v>
      </c>
      <c r="D530" s="116" t="s">
        <v>1347</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480</v>
      </c>
      <c r="B531" s="115" t="s">
        <v>1348</v>
      </c>
      <c r="C531" s="116" t="s">
        <v>457</v>
      </c>
      <c r="D531" s="116" t="s">
        <v>1349</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483</v>
      </c>
      <c r="B532" s="115" t="s">
        <v>1350</v>
      </c>
      <c r="C532" s="116" t="s">
        <v>457</v>
      </c>
      <c r="D532" s="116" t="s">
        <v>1351</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486</v>
      </c>
      <c r="B533" s="115" t="s">
        <v>622</v>
      </c>
      <c r="C533" s="116" t="s">
        <v>457</v>
      </c>
      <c r="D533" s="116" t="s">
        <v>623</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489</v>
      </c>
      <c r="B534" s="115" t="s">
        <v>1301</v>
      </c>
      <c r="C534" s="116" t="s">
        <v>457</v>
      </c>
      <c r="D534" s="116" t="s">
        <v>1302</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553</v>
      </c>
      <c r="B535" s="115" t="s">
        <v>1352</v>
      </c>
      <c r="C535" s="116" t="s">
        <v>457</v>
      </c>
      <c r="D535" s="116" t="s">
        <v>1353</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559</v>
      </c>
      <c r="B536" s="179" t="s">
        <v>1354</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562</v>
      </c>
      <c r="B537" s="179" t="s">
        <v>1355</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565</v>
      </c>
      <c r="B538" s="179" t="s">
        <v>1356</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568</v>
      </c>
      <c r="B539" s="179" t="s">
        <v>1357</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571</v>
      </c>
      <c r="B540" s="179" t="s">
        <v>1358</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574</v>
      </c>
      <c r="B541" s="179" t="s">
        <v>1359</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577</v>
      </c>
      <c r="B542" s="179" t="s">
        <v>1360</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656</v>
      </c>
      <c r="B543" s="179" t="s">
        <v>1361</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659</v>
      </c>
      <c r="B544" s="179" t="s">
        <v>1362</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662</v>
      </c>
      <c r="B545" s="115" t="s">
        <v>1363</v>
      </c>
      <c r="C545" s="116" t="s">
        <v>457</v>
      </c>
      <c r="D545" s="116" t="s">
        <v>1364</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665</v>
      </c>
      <c r="B546" s="115" t="s">
        <v>1365</v>
      </c>
      <c r="C546" s="116" t="s">
        <v>457</v>
      </c>
      <c r="D546" s="116" t="s">
        <v>1366</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1367</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455</v>
      </c>
      <c r="B548" s="115" t="s">
        <v>1368</v>
      </c>
      <c r="C548" s="116" t="s">
        <v>457</v>
      </c>
      <c r="D548" s="116" t="s">
        <v>1369</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459</v>
      </c>
      <c r="B549" s="115" t="s">
        <v>1225</v>
      </c>
      <c r="C549" s="116" t="s">
        <v>457</v>
      </c>
      <c r="D549" s="116" t="s">
        <v>1226</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462</v>
      </c>
      <c r="B550" s="115" t="s">
        <v>1239</v>
      </c>
      <c r="C550" s="116" t="s">
        <v>457</v>
      </c>
      <c r="D550" s="116" t="s">
        <v>1240</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1370</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1371</v>
      </c>
      <c r="B552" s="184" t="s">
        <v>246</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455</v>
      </c>
      <c r="B553" s="115" t="s">
        <v>628</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459</v>
      </c>
      <c r="B554" s="189" t="s">
        <v>711</v>
      </c>
      <c r="C554" s="190" t="s">
        <v>457</v>
      </c>
      <c r="D554" s="190" t="s">
        <v>712</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462</v>
      </c>
      <c r="B555" s="115" t="s">
        <v>1372</v>
      </c>
      <c r="C555" s="116" t="s">
        <v>457</v>
      </c>
      <c r="D555" s="116" t="s">
        <v>1373</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465</v>
      </c>
      <c r="B556" s="179" t="s">
        <v>1374</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1375</v>
      </c>
      <c r="B557" s="184" t="s">
        <v>1376</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455</v>
      </c>
      <c r="B558" s="115" t="s">
        <v>620</v>
      </c>
      <c r="C558" s="116" t="s">
        <v>457</v>
      </c>
      <c r="D558" s="116" t="s">
        <v>621</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1377</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455</v>
      </c>
      <c r="B560" s="115" t="s">
        <v>616</v>
      </c>
      <c r="C560" s="116" t="s">
        <v>457</v>
      </c>
      <c r="D560" s="116" t="s">
        <v>617</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459</v>
      </c>
      <c r="B561" s="115" t="s">
        <v>624</v>
      </c>
      <c r="C561" s="116" t="s">
        <v>457</v>
      </c>
      <c r="D561" s="116" t="s">
        <v>625</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462</v>
      </c>
      <c r="B562" s="179" t="s">
        <v>1378</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465</v>
      </c>
      <c r="B563" s="179" t="s">
        <v>1379</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468</v>
      </c>
      <c r="B564" s="179" t="s">
        <v>1380</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471</v>
      </c>
      <c r="B565" s="179" t="s">
        <v>1381</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474</v>
      </c>
      <c r="B566" s="115" t="s">
        <v>1382</v>
      </c>
      <c r="C566" s="116" t="s">
        <v>457</v>
      </c>
      <c r="D566" s="116" t="s">
        <v>1383</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477</v>
      </c>
      <c r="B567" s="115" t="s">
        <v>868</v>
      </c>
      <c r="C567" s="116" t="s">
        <v>457</v>
      </c>
      <c r="D567" s="116" t="s">
        <v>869</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1384</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455</v>
      </c>
      <c r="B569" s="179" t="s">
        <v>1385</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459</v>
      </c>
      <c r="B570" s="115" t="s">
        <v>1113</v>
      </c>
      <c r="C570" s="116" t="s">
        <v>457</v>
      </c>
      <c r="D570" s="116" t="s">
        <v>1114</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462</v>
      </c>
      <c r="B571" s="196" t="s">
        <v>1386</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465</v>
      </c>
      <c r="B572" s="179" t="s">
        <v>1387</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468</v>
      </c>
      <c r="B573" s="179" t="s">
        <v>1388</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471</v>
      </c>
      <c r="B574" s="126" t="s">
        <v>969</v>
      </c>
      <c r="C574" s="127" t="s">
        <v>457</v>
      </c>
      <c r="D574" s="127" t="s">
        <v>970</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474</v>
      </c>
      <c r="B575" s="115" t="s">
        <v>967</v>
      </c>
      <c r="C575" s="116" t="s">
        <v>457</v>
      </c>
      <c r="D575" s="116" t="s">
        <v>968</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477</v>
      </c>
      <c r="B576" s="115" t="s">
        <v>989</v>
      </c>
      <c r="C576" s="116" t="s">
        <v>457</v>
      </c>
      <c r="D576" s="116" t="s">
        <v>990</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480</v>
      </c>
      <c r="B577" s="115" t="s">
        <v>977</v>
      </c>
      <c r="C577" s="116" t="s">
        <v>457</v>
      </c>
      <c r="D577" s="116" t="s">
        <v>978</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483</v>
      </c>
      <c r="B578" s="126" t="s">
        <v>981</v>
      </c>
      <c r="C578" s="127" t="s">
        <v>457</v>
      </c>
      <c r="D578" s="127" t="s">
        <v>982</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486</v>
      </c>
      <c r="B579" s="121" t="s">
        <v>987</v>
      </c>
      <c r="C579" s="122" t="s">
        <v>457</v>
      </c>
      <c r="D579" s="122" t="s">
        <v>988</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489</v>
      </c>
      <c r="B580" s="121" t="s">
        <v>1151</v>
      </c>
      <c r="C580" s="122" t="s">
        <v>457</v>
      </c>
      <c r="D580" s="122" t="s">
        <v>1152</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553</v>
      </c>
      <c r="B581" s="115" t="s">
        <v>1252</v>
      </c>
      <c r="C581" s="116" t="s">
        <v>457</v>
      </c>
      <c r="D581" s="116" t="s">
        <v>1253</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556</v>
      </c>
      <c r="B582" s="115" t="s">
        <v>626</v>
      </c>
      <c r="C582" s="116" t="s">
        <v>457</v>
      </c>
      <c r="D582" s="116" t="s">
        <v>627</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559</v>
      </c>
      <c r="B583" s="126" t="s">
        <v>628</v>
      </c>
      <c r="C583" s="127" t="s">
        <v>457</v>
      </c>
      <c r="D583" s="127" t="s">
        <v>629</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562</v>
      </c>
      <c r="B584" s="126" t="s">
        <v>463</v>
      </c>
      <c r="C584" s="127" t="s">
        <v>457</v>
      </c>
      <c r="D584" s="127" t="s">
        <v>464</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1389</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1390</v>
      </c>
      <c r="B586" s="115" t="s">
        <v>618</v>
      </c>
      <c r="C586" s="116" t="s">
        <v>457</v>
      </c>
      <c r="D586" s="116" t="s">
        <v>619</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1391</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1392</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 ref="F6:G8"/>
    <mergeCell ref="H6:H10"/>
    <mergeCell ref="I6:I10"/>
    <mergeCell ref="K6:P7"/>
    <mergeCell ref="Q6:V7"/>
    <mergeCell ref="F9:F10"/>
    <mergeCell ref="G9:G10"/>
    <mergeCell ref="L9:L10"/>
    <mergeCell ref="M9:M10"/>
    <mergeCell ref="X1:Y1"/>
    <mergeCell ref="A2:Y2"/>
    <mergeCell ref="A3:Y3"/>
    <mergeCell ref="A4:Y4"/>
    <mergeCell ref="X5:Y5"/>
    <mergeCell ref="A6:A10"/>
    <mergeCell ref="B6:B10"/>
    <mergeCell ref="C6:C10"/>
    <mergeCell ref="D6:D10"/>
    <mergeCell ref="E6:E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tabSelected="1" workbookViewId="0">
      <selection activeCell="M8" sqref="M8"/>
    </sheetView>
  </sheetViews>
  <sheetFormatPr defaultRowHeight="15.75"/>
  <cols>
    <col min="1" max="1" width="5.140625" style="256" bestFit="1" customWidth="1"/>
    <col min="2" max="2" width="41.85546875" style="256" customWidth="1"/>
    <col min="3" max="4" width="10.140625" style="303" bestFit="1" customWidth="1"/>
    <col min="5" max="5" width="13.140625" style="303" customWidth="1"/>
    <col min="6" max="6" width="11.7109375" style="303" customWidth="1"/>
    <col min="7" max="8" width="9.140625" style="303"/>
    <col min="9" max="9" width="9.28515625" style="256" hidden="1" customWidth="1"/>
    <col min="10" max="10" width="0" style="256" hidden="1" customWidth="1"/>
    <col min="11" max="11" width="11.28515625" style="256" bestFit="1" customWidth="1"/>
    <col min="12" max="16384" width="9.140625" style="256"/>
  </cols>
  <sheetData>
    <row r="1" spans="1:10" ht="22.5" customHeight="1">
      <c r="A1" s="331" t="str">
        <f>'62'!chuong_phuluc_48</f>
        <v>ỦY BAN NHÂN DÂN TỈNH TIỀN GIANG</v>
      </c>
      <c r="B1" s="331"/>
      <c r="F1" s="333" t="s">
        <v>1408</v>
      </c>
      <c r="G1" s="333"/>
      <c r="H1" s="333"/>
    </row>
    <row r="2" spans="1:10" ht="24.75" customHeight="1">
      <c r="A2" s="333" t="s">
        <v>1419</v>
      </c>
      <c r="B2" s="333"/>
      <c r="C2" s="333"/>
      <c r="D2" s="333"/>
      <c r="E2" s="333"/>
      <c r="F2" s="333"/>
      <c r="G2" s="333"/>
      <c r="H2" s="333"/>
    </row>
    <row r="3" spans="1:10" ht="15.75" customHeight="1">
      <c r="A3" s="338" t="str">
        <f>'62'!A3:F3</f>
        <v>(Kèm theo Quyết định số ………../QĐ-UBND ngày    /01/2020 của Ủy ban nhân dân tỉnh Tiền Giang)</v>
      </c>
      <c r="B3" s="338"/>
      <c r="C3" s="338"/>
      <c r="D3" s="338"/>
      <c r="E3" s="338"/>
      <c r="F3" s="338"/>
      <c r="G3" s="338"/>
      <c r="H3" s="338"/>
    </row>
    <row r="4" spans="1:10">
      <c r="A4" s="289"/>
      <c r="F4" s="339" t="s">
        <v>74</v>
      </c>
      <c r="G4" s="339"/>
      <c r="H4" s="339"/>
    </row>
    <row r="5" spans="1:10" ht="15.75" customHeight="1">
      <c r="A5" s="330" t="s">
        <v>2</v>
      </c>
      <c r="B5" s="330" t="s">
        <v>52</v>
      </c>
      <c r="C5" s="330" t="s">
        <v>3</v>
      </c>
      <c r="D5" s="330"/>
      <c r="E5" s="330" t="s">
        <v>4</v>
      </c>
      <c r="F5" s="330"/>
      <c r="G5" s="330" t="s">
        <v>53</v>
      </c>
      <c r="H5" s="330"/>
    </row>
    <row r="6" spans="1:10" ht="47.25">
      <c r="A6" s="330"/>
      <c r="B6" s="330"/>
      <c r="C6" s="312" t="s">
        <v>75</v>
      </c>
      <c r="D6" s="312" t="s">
        <v>76</v>
      </c>
      <c r="E6" s="312" t="s">
        <v>75</v>
      </c>
      <c r="F6" s="312" t="s">
        <v>76</v>
      </c>
      <c r="G6" s="312" t="s">
        <v>75</v>
      </c>
      <c r="H6" s="312" t="s">
        <v>76</v>
      </c>
    </row>
    <row r="7" spans="1:10" s="304" customFormat="1">
      <c r="A7" s="302" t="s">
        <v>7</v>
      </c>
      <c r="B7" s="302" t="s">
        <v>8</v>
      </c>
      <c r="C7" s="302">
        <v>1</v>
      </c>
      <c r="D7" s="302">
        <v>2</v>
      </c>
      <c r="E7" s="302">
        <v>3</v>
      </c>
      <c r="F7" s="302">
        <v>4</v>
      </c>
      <c r="G7" s="302" t="s">
        <v>77</v>
      </c>
      <c r="H7" s="302" t="s">
        <v>78</v>
      </c>
    </row>
    <row r="8" spans="1:10" ht="31.5">
      <c r="A8" s="299"/>
      <c r="B8" s="300" t="s">
        <v>79</v>
      </c>
      <c r="C8" s="317">
        <f>C9+C78+C79+C80</f>
        <v>7980000</v>
      </c>
      <c r="D8" s="317">
        <f>D9+D78+D79+D80</f>
        <v>7089400</v>
      </c>
      <c r="E8" s="317">
        <f>E9+E78+E79+E80</f>
        <v>11601095</v>
      </c>
      <c r="F8" s="317">
        <f t="shared" ref="F8" si="0">F9+F78+F79+F80</f>
        <v>10654614</v>
      </c>
      <c r="G8" s="301">
        <f>E8/C8*100</f>
        <v>145.37713032581453</v>
      </c>
      <c r="H8" s="301">
        <f>F8/D8*100</f>
        <v>150.28936158208029</v>
      </c>
      <c r="I8" s="256">
        <f>F10-'62'!D9</f>
        <v>0</v>
      </c>
      <c r="J8" s="256">
        <f>F8+'62'!D12-'62'!D8</f>
        <v>0</v>
      </c>
    </row>
    <row r="9" spans="1:10">
      <c r="A9" s="290" t="s">
        <v>7</v>
      </c>
      <c r="B9" s="291" t="s">
        <v>80</v>
      </c>
      <c r="C9" s="292">
        <f>C10+C68+C69+C76+C77</f>
        <v>7980000</v>
      </c>
      <c r="D9" s="292">
        <f>D10+D68+D69+D76+D77</f>
        <v>7089400</v>
      </c>
      <c r="E9" s="292">
        <f>E10+E68+E69+E76+E77</f>
        <v>8849104</v>
      </c>
      <c r="F9" s="292">
        <f t="shared" ref="F9" si="1">F10+F68+F69+F76+F77</f>
        <v>7902623</v>
      </c>
      <c r="G9" s="293">
        <f t="shared" ref="G9:H73" si="2">E9/C9*100</f>
        <v>110.89102756892231</v>
      </c>
      <c r="H9" s="293">
        <f t="shared" si="2"/>
        <v>111.47097074505601</v>
      </c>
    </row>
    <row r="10" spans="1:10">
      <c r="A10" s="290" t="s">
        <v>11</v>
      </c>
      <c r="B10" s="291" t="s">
        <v>81</v>
      </c>
      <c r="C10" s="292">
        <f>C11+C19+C26+C34+C41+C42+C45+C46+C51+C52+C53+C54+C55+C56+C62+C63+C64+C65+C66+C67</f>
        <v>7610000</v>
      </c>
      <c r="D10" s="292">
        <f>D11+D19+D26+D34+D41+D42+D45+D46+D51+D52+D53+D54+D55+D56+D62+D63+D64+D65+D66+D67</f>
        <v>7089400</v>
      </c>
      <c r="E10" s="292">
        <f>E11+E19+E26+E34+E41+E42+E45+E46+E51+E52+E53+E54+E55+E56+E62+E63+E64+E65+E66+E67</f>
        <v>8464678</v>
      </c>
      <c r="F10" s="292">
        <f t="shared" ref="F10" si="3">F11+F19+F26+F34+F41+F42+F45+F46+F51+F52+F53+F54+F55+F56+F62+F63+F64+F65+F66+F67</f>
        <v>7878999</v>
      </c>
      <c r="G10" s="293">
        <f t="shared" si="2"/>
        <v>111.23098554533509</v>
      </c>
      <c r="H10" s="293">
        <f t="shared" si="2"/>
        <v>111.13774085254042</v>
      </c>
    </row>
    <row r="11" spans="1:10" ht="31.5">
      <c r="A11" s="295">
        <v>1</v>
      </c>
      <c r="B11" s="295" t="s">
        <v>82</v>
      </c>
      <c r="C11" s="313">
        <f>SUM(C12:C18)</f>
        <v>110000</v>
      </c>
      <c r="D11" s="313">
        <f>SUM(D12:D18)</f>
        <v>110000</v>
      </c>
      <c r="E11" s="313">
        <f>SUM(E12:E18)</f>
        <v>136907</v>
      </c>
      <c r="F11" s="313">
        <f t="shared" ref="F11" si="4">SUM(F12:F18)</f>
        <v>136907</v>
      </c>
      <c r="G11" s="314">
        <f t="shared" si="2"/>
        <v>124.4609090909091</v>
      </c>
      <c r="H11" s="314">
        <f t="shared" si="2"/>
        <v>124.4609090909091</v>
      </c>
    </row>
    <row r="12" spans="1:10">
      <c r="A12" s="295"/>
      <c r="B12" s="305" t="s">
        <v>340</v>
      </c>
      <c r="C12" s="313">
        <v>108400</v>
      </c>
      <c r="D12" s="313">
        <f>C12</f>
        <v>108400</v>
      </c>
      <c r="E12" s="313">
        <v>133923</v>
      </c>
      <c r="F12" s="313">
        <f>E12</f>
        <v>133923</v>
      </c>
      <c r="G12" s="314">
        <f t="shared" si="2"/>
        <v>123.54520295202951</v>
      </c>
      <c r="H12" s="314">
        <f t="shared" si="2"/>
        <v>123.54520295202951</v>
      </c>
    </row>
    <row r="13" spans="1:10">
      <c r="A13" s="295"/>
      <c r="B13" s="305" t="s">
        <v>341</v>
      </c>
      <c r="C13" s="313">
        <v>1600</v>
      </c>
      <c r="D13" s="313">
        <f t="shared" ref="D13:F18" si="5">C13</f>
        <v>1600</v>
      </c>
      <c r="E13" s="313">
        <v>2768</v>
      </c>
      <c r="F13" s="313">
        <f t="shared" si="5"/>
        <v>2768</v>
      </c>
      <c r="G13" s="314">
        <f t="shared" si="2"/>
        <v>173</v>
      </c>
      <c r="H13" s="314">
        <f t="shared" si="2"/>
        <v>173</v>
      </c>
    </row>
    <row r="14" spans="1:10">
      <c r="A14" s="295"/>
      <c r="B14" s="305" t="s">
        <v>342</v>
      </c>
      <c r="C14" s="313"/>
      <c r="D14" s="313">
        <f t="shared" si="5"/>
        <v>0</v>
      </c>
      <c r="E14" s="313"/>
      <c r="F14" s="313">
        <f t="shared" si="5"/>
        <v>0</v>
      </c>
      <c r="G14" s="293"/>
      <c r="H14" s="293"/>
    </row>
    <row r="15" spans="1:10">
      <c r="A15" s="295"/>
      <c r="B15" s="305" t="s">
        <v>343</v>
      </c>
      <c r="C15" s="313"/>
      <c r="D15" s="313">
        <f t="shared" si="5"/>
        <v>0</v>
      </c>
      <c r="E15" s="313">
        <v>216</v>
      </c>
      <c r="F15" s="313">
        <f t="shared" si="5"/>
        <v>216</v>
      </c>
      <c r="G15" s="293"/>
      <c r="H15" s="293"/>
    </row>
    <row r="16" spans="1:10">
      <c r="A16" s="295"/>
      <c r="B16" s="306" t="s">
        <v>351</v>
      </c>
      <c r="C16" s="313"/>
      <c r="D16" s="313"/>
      <c r="E16" s="313"/>
      <c r="F16" s="313">
        <f t="shared" si="5"/>
        <v>0</v>
      </c>
      <c r="G16" s="293"/>
      <c r="H16" s="293"/>
    </row>
    <row r="17" spans="1:8">
      <c r="A17" s="295"/>
      <c r="B17" s="305" t="s">
        <v>344</v>
      </c>
      <c r="C17" s="313"/>
      <c r="D17" s="313">
        <f t="shared" si="5"/>
        <v>0</v>
      </c>
      <c r="E17" s="313"/>
      <c r="F17" s="313">
        <f t="shared" si="5"/>
        <v>0</v>
      </c>
      <c r="G17" s="293"/>
      <c r="H17" s="293"/>
    </row>
    <row r="18" spans="1:8">
      <c r="A18" s="295"/>
      <c r="B18" s="305" t="s">
        <v>345</v>
      </c>
      <c r="C18" s="313"/>
      <c r="D18" s="313">
        <f t="shared" si="5"/>
        <v>0</v>
      </c>
      <c r="E18" s="313"/>
      <c r="F18" s="313"/>
      <c r="G18" s="293"/>
      <c r="H18" s="293"/>
    </row>
    <row r="19" spans="1:8" ht="31.5">
      <c r="A19" s="295">
        <v>2</v>
      </c>
      <c r="B19" s="295" t="s">
        <v>83</v>
      </c>
      <c r="C19" s="313">
        <f>SUM(C20:C25)</f>
        <v>120000</v>
      </c>
      <c r="D19" s="313">
        <f t="shared" ref="D19" si="6">SUM(D20:D25)</f>
        <v>120000</v>
      </c>
      <c r="E19" s="313">
        <f>SUM(E20:E25)</f>
        <v>113239</v>
      </c>
      <c r="F19" s="313">
        <f t="shared" ref="F19" si="7">SUM(F20:F25)</f>
        <v>113239</v>
      </c>
      <c r="G19" s="293"/>
      <c r="H19" s="293"/>
    </row>
    <row r="20" spans="1:8">
      <c r="A20" s="295"/>
      <c r="B20" s="305" t="s">
        <v>340</v>
      </c>
      <c r="C20" s="313">
        <v>68000</v>
      </c>
      <c r="D20" s="313">
        <f>C20</f>
        <v>68000</v>
      </c>
      <c r="E20" s="313">
        <v>77278</v>
      </c>
      <c r="F20" s="313">
        <f>E20</f>
        <v>77278</v>
      </c>
      <c r="G20" s="293"/>
      <c r="H20" s="293"/>
    </row>
    <row r="21" spans="1:8">
      <c r="A21" s="295"/>
      <c r="B21" s="305" t="s">
        <v>341</v>
      </c>
      <c r="C21" s="313">
        <v>48000</v>
      </c>
      <c r="D21" s="313">
        <f t="shared" ref="D21:F25" si="8">C21</f>
        <v>48000</v>
      </c>
      <c r="E21" s="313">
        <v>31512</v>
      </c>
      <c r="F21" s="313">
        <f t="shared" si="8"/>
        <v>31512</v>
      </c>
      <c r="G21" s="293"/>
      <c r="H21" s="293"/>
    </row>
    <row r="22" spans="1:8">
      <c r="A22" s="295"/>
      <c r="B22" s="305" t="s">
        <v>342</v>
      </c>
      <c r="C22" s="313">
        <v>0</v>
      </c>
      <c r="D22" s="313">
        <f t="shared" si="8"/>
        <v>0</v>
      </c>
      <c r="E22" s="313">
        <v>385</v>
      </c>
      <c r="F22" s="313">
        <f t="shared" si="8"/>
        <v>385</v>
      </c>
      <c r="G22" s="293"/>
      <c r="H22" s="293"/>
    </row>
    <row r="23" spans="1:8">
      <c r="A23" s="295"/>
      <c r="B23" s="305" t="s">
        <v>343</v>
      </c>
      <c r="C23" s="313">
        <v>4000</v>
      </c>
      <c r="D23" s="313">
        <f t="shared" si="8"/>
        <v>4000</v>
      </c>
      <c r="E23" s="313">
        <v>4064</v>
      </c>
      <c r="F23" s="313">
        <f t="shared" si="8"/>
        <v>4064</v>
      </c>
      <c r="G23" s="293"/>
      <c r="H23" s="293"/>
    </row>
    <row r="24" spans="1:8">
      <c r="A24" s="295"/>
      <c r="B24" s="305" t="s">
        <v>344</v>
      </c>
      <c r="C24" s="313"/>
      <c r="D24" s="313">
        <f t="shared" si="8"/>
        <v>0</v>
      </c>
      <c r="E24" s="313"/>
      <c r="F24" s="313">
        <f t="shared" si="8"/>
        <v>0</v>
      </c>
      <c r="G24" s="293"/>
      <c r="H24" s="293"/>
    </row>
    <row r="25" spans="1:8">
      <c r="A25" s="295"/>
      <c r="B25" s="305" t="s">
        <v>345</v>
      </c>
      <c r="C25" s="313"/>
      <c r="D25" s="313">
        <f t="shared" si="8"/>
        <v>0</v>
      </c>
      <c r="E25" s="313"/>
      <c r="F25" s="313">
        <f t="shared" si="8"/>
        <v>0</v>
      </c>
      <c r="G25" s="293"/>
      <c r="H25" s="293"/>
    </row>
    <row r="26" spans="1:8" ht="31.5">
      <c r="A26" s="295">
        <v>3</v>
      </c>
      <c r="B26" s="295" t="s">
        <v>84</v>
      </c>
      <c r="C26" s="313">
        <f>SUM(C27:C33)</f>
        <v>2308000</v>
      </c>
      <c r="D26" s="313">
        <f t="shared" ref="D26" si="9">SUM(D27:D33)</f>
        <v>2308000</v>
      </c>
      <c r="E26" s="313">
        <f>SUM(E27:E33)</f>
        <v>3036709</v>
      </c>
      <c r="F26" s="313">
        <f t="shared" ref="F26" si="10">SUM(F27:F33)</f>
        <v>3036709</v>
      </c>
      <c r="G26" s="314">
        <f t="shared" si="2"/>
        <v>131.57318024263432</v>
      </c>
      <c r="H26" s="314">
        <f t="shared" si="2"/>
        <v>131.57318024263432</v>
      </c>
    </row>
    <row r="27" spans="1:8">
      <c r="A27" s="295"/>
      <c r="B27" s="305" t="s">
        <v>340</v>
      </c>
      <c r="C27" s="313">
        <v>160000</v>
      </c>
      <c r="D27" s="313">
        <f>C27</f>
        <v>160000</v>
      </c>
      <c r="E27" s="313">
        <v>97813</v>
      </c>
      <c r="F27" s="313">
        <f>E27</f>
        <v>97813</v>
      </c>
      <c r="G27" s="314">
        <f t="shared" si="2"/>
        <v>61.133125</v>
      </c>
      <c r="H27" s="314">
        <f t="shared" si="2"/>
        <v>61.133125</v>
      </c>
    </row>
    <row r="28" spans="1:8">
      <c r="A28" s="295"/>
      <c r="B28" s="305" t="s">
        <v>341</v>
      </c>
      <c r="C28" s="313">
        <v>270000</v>
      </c>
      <c r="D28" s="313">
        <f t="shared" ref="D28:F33" si="11">C28</f>
        <v>270000</v>
      </c>
      <c r="E28" s="313">
        <v>328122</v>
      </c>
      <c r="F28" s="313">
        <f t="shared" si="11"/>
        <v>328122</v>
      </c>
      <c r="G28" s="314">
        <f t="shared" si="2"/>
        <v>121.52666666666667</v>
      </c>
      <c r="H28" s="314">
        <f t="shared" si="2"/>
        <v>121.52666666666667</v>
      </c>
    </row>
    <row r="29" spans="1:8">
      <c r="A29" s="295"/>
      <c r="B29" s="305" t="s">
        <v>342</v>
      </c>
      <c r="C29" s="313">
        <v>1878000</v>
      </c>
      <c r="D29" s="313">
        <f t="shared" si="11"/>
        <v>1878000</v>
      </c>
      <c r="E29" s="313">
        <v>2610482</v>
      </c>
      <c r="F29" s="313">
        <f t="shared" si="11"/>
        <v>2610482</v>
      </c>
      <c r="G29" s="314">
        <f t="shared" si="2"/>
        <v>139.00330138445153</v>
      </c>
      <c r="H29" s="314">
        <f t="shared" si="2"/>
        <v>139.00330138445153</v>
      </c>
    </row>
    <row r="30" spans="1:8">
      <c r="A30" s="295"/>
      <c r="B30" s="305" t="s">
        <v>343</v>
      </c>
      <c r="C30" s="313"/>
      <c r="D30" s="313">
        <f t="shared" si="11"/>
        <v>0</v>
      </c>
      <c r="E30" s="313">
        <v>292</v>
      </c>
      <c r="F30" s="313">
        <f t="shared" si="11"/>
        <v>292</v>
      </c>
      <c r="G30" s="314"/>
      <c r="H30" s="314"/>
    </row>
    <row r="31" spans="1:8">
      <c r="A31" s="295"/>
      <c r="B31" s="305" t="s">
        <v>346</v>
      </c>
      <c r="C31" s="313"/>
      <c r="D31" s="313">
        <f t="shared" si="11"/>
        <v>0</v>
      </c>
      <c r="E31" s="313"/>
      <c r="F31" s="313">
        <f t="shared" si="11"/>
        <v>0</v>
      </c>
      <c r="G31" s="314"/>
      <c r="H31" s="314"/>
    </row>
    <row r="32" spans="1:8">
      <c r="A32" s="295"/>
      <c r="B32" s="305" t="s">
        <v>344</v>
      </c>
      <c r="C32" s="313"/>
      <c r="D32" s="313">
        <f t="shared" si="11"/>
        <v>0</v>
      </c>
      <c r="E32" s="313"/>
      <c r="F32" s="313">
        <f t="shared" si="11"/>
        <v>0</v>
      </c>
      <c r="G32" s="314"/>
      <c r="H32" s="314"/>
    </row>
    <row r="33" spans="1:8">
      <c r="A33" s="295"/>
      <c r="B33" s="305" t="s">
        <v>345</v>
      </c>
      <c r="C33" s="313"/>
      <c r="D33" s="313">
        <f t="shared" si="11"/>
        <v>0</v>
      </c>
      <c r="E33" s="313"/>
      <c r="F33" s="313"/>
      <c r="G33" s="314"/>
      <c r="H33" s="314"/>
    </row>
    <row r="34" spans="1:8">
      <c r="A34" s="295">
        <v>4</v>
      </c>
      <c r="B34" s="295" t="s">
        <v>85</v>
      </c>
      <c r="C34" s="313">
        <f>SUM(C35:C40)</f>
        <v>1310000</v>
      </c>
      <c r="D34" s="313">
        <f t="shared" ref="D34" si="12">SUM(D35:D40)</f>
        <v>1310000</v>
      </c>
      <c r="E34" s="313">
        <f>SUM(E35:E40)</f>
        <v>1009764</v>
      </c>
      <c r="F34" s="313">
        <f t="shared" ref="F34" si="13">SUM(F35:F40)</f>
        <v>1009220</v>
      </c>
      <c r="G34" s="314">
        <f t="shared" si="2"/>
        <v>77.081221374045811</v>
      </c>
      <c r="H34" s="314">
        <f t="shared" si="2"/>
        <v>77.03969465648855</v>
      </c>
    </row>
    <row r="35" spans="1:8">
      <c r="A35" s="295"/>
      <c r="B35" s="305" t="s">
        <v>340</v>
      </c>
      <c r="C35" s="313">
        <v>978000</v>
      </c>
      <c r="D35" s="313">
        <f>C35</f>
        <v>978000</v>
      </c>
      <c r="E35" s="313">
        <v>687414</v>
      </c>
      <c r="F35" s="313">
        <f>E35</f>
        <v>687414</v>
      </c>
      <c r="G35" s="314">
        <f t="shared" si="2"/>
        <v>70.287730061349691</v>
      </c>
      <c r="H35" s="314">
        <f t="shared" si="2"/>
        <v>70.287730061349691</v>
      </c>
    </row>
    <row r="36" spans="1:8">
      <c r="A36" s="295"/>
      <c r="B36" s="305" t="s">
        <v>341</v>
      </c>
      <c r="C36" s="313">
        <v>318000</v>
      </c>
      <c r="D36" s="313">
        <f t="shared" ref="D36:F40" si="14">C36</f>
        <v>318000</v>
      </c>
      <c r="E36" s="313">
        <v>308597</v>
      </c>
      <c r="F36" s="313">
        <f t="shared" si="14"/>
        <v>308597</v>
      </c>
      <c r="G36" s="314">
        <f t="shared" si="2"/>
        <v>97.043081761006292</v>
      </c>
      <c r="H36" s="314">
        <f t="shared" si="2"/>
        <v>97.043081761006292</v>
      </c>
    </row>
    <row r="37" spans="1:8">
      <c r="A37" s="295"/>
      <c r="B37" s="305" t="s">
        <v>342</v>
      </c>
      <c r="C37" s="313">
        <v>7000</v>
      </c>
      <c r="D37" s="313">
        <f t="shared" si="14"/>
        <v>7000</v>
      </c>
      <c r="E37" s="313">
        <v>4301</v>
      </c>
      <c r="F37" s="313">
        <f>E37-544</f>
        <v>3757</v>
      </c>
      <c r="G37" s="314">
        <f t="shared" si="2"/>
        <v>61.442857142857143</v>
      </c>
      <c r="H37" s="314">
        <f t="shared" si="2"/>
        <v>53.671428571428571</v>
      </c>
    </row>
    <row r="38" spans="1:8">
      <c r="A38" s="295"/>
      <c r="B38" s="305" t="s">
        <v>343</v>
      </c>
      <c r="C38" s="313">
        <v>7000</v>
      </c>
      <c r="D38" s="313">
        <f t="shared" si="14"/>
        <v>7000</v>
      </c>
      <c r="E38" s="313">
        <v>9452</v>
      </c>
      <c r="F38" s="313">
        <f t="shared" si="14"/>
        <v>9452</v>
      </c>
      <c r="G38" s="314">
        <f t="shared" si="2"/>
        <v>135.02857142857144</v>
      </c>
      <c r="H38" s="314">
        <f t="shared" si="2"/>
        <v>135.02857142857144</v>
      </c>
    </row>
    <row r="39" spans="1:8">
      <c r="A39" s="295"/>
      <c r="B39" s="305" t="s">
        <v>344</v>
      </c>
      <c r="C39" s="313"/>
      <c r="D39" s="313">
        <f t="shared" si="14"/>
        <v>0</v>
      </c>
      <c r="E39" s="313">
        <v>0</v>
      </c>
      <c r="F39" s="313">
        <f t="shared" si="14"/>
        <v>0</v>
      </c>
      <c r="G39" s="314"/>
      <c r="H39" s="314"/>
    </row>
    <row r="40" spans="1:8">
      <c r="A40" s="295"/>
      <c r="B40" s="305" t="s">
        <v>345</v>
      </c>
      <c r="C40" s="313"/>
      <c r="D40" s="313">
        <f t="shared" si="14"/>
        <v>0</v>
      </c>
      <c r="E40" s="313">
        <v>0</v>
      </c>
      <c r="F40" s="313"/>
      <c r="G40" s="314"/>
      <c r="H40" s="314"/>
    </row>
    <row r="41" spans="1:8">
      <c r="A41" s="294">
        <v>5</v>
      </c>
      <c r="B41" s="295" t="s">
        <v>86</v>
      </c>
      <c r="C41" s="313">
        <v>630000</v>
      </c>
      <c r="D41" s="313">
        <f>C41</f>
        <v>630000</v>
      </c>
      <c r="E41" s="313">
        <v>588444</v>
      </c>
      <c r="F41" s="313">
        <f>E41</f>
        <v>588444</v>
      </c>
      <c r="G41" s="314">
        <f t="shared" si="2"/>
        <v>93.403809523809528</v>
      </c>
      <c r="H41" s="314">
        <f t="shared" si="2"/>
        <v>93.403809523809528</v>
      </c>
    </row>
    <row r="42" spans="1:8">
      <c r="A42" s="294">
        <v>6</v>
      </c>
      <c r="B42" s="295" t="s">
        <v>87</v>
      </c>
      <c r="C42" s="313">
        <f>SUM(C43:C44)</f>
        <v>690000</v>
      </c>
      <c r="D42" s="313">
        <f>SUM(D43:D44)</f>
        <v>256700</v>
      </c>
      <c r="E42" s="313">
        <f>SUM(E43:E44)</f>
        <v>737399</v>
      </c>
      <c r="F42" s="313">
        <f>SUM(F43:F44)</f>
        <v>274313</v>
      </c>
      <c r="G42" s="314">
        <f t="shared" si="2"/>
        <v>106.86942028985507</v>
      </c>
      <c r="H42" s="314">
        <f t="shared" si="2"/>
        <v>106.86131671211531</v>
      </c>
    </row>
    <row r="43" spans="1:8" ht="31.5">
      <c r="A43" s="294" t="s">
        <v>13</v>
      </c>
      <c r="B43" s="307" t="s">
        <v>88</v>
      </c>
      <c r="C43" s="313">
        <v>256700</v>
      </c>
      <c r="D43" s="313">
        <f t="shared" ref="D43:F45" si="15">C43</f>
        <v>256700</v>
      </c>
      <c r="E43" s="313">
        <v>274313</v>
      </c>
      <c r="F43" s="313">
        <f t="shared" si="15"/>
        <v>274313</v>
      </c>
      <c r="G43" s="314">
        <f t="shared" si="2"/>
        <v>106.86131671211531</v>
      </c>
      <c r="H43" s="314">
        <f t="shared" si="2"/>
        <v>106.86131671211531</v>
      </c>
    </row>
    <row r="44" spans="1:8">
      <c r="A44" s="294" t="s">
        <v>13</v>
      </c>
      <c r="B44" s="307" t="s">
        <v>89</v>
      </c>
      <c r="C44" s="313">
        <v>433300</v>
      </c>
      <c r="D44" s="313"/>
      <c r="E44" s="313">
        <v>463086</v>
      </c>
      <c r="F44" s="313"/>
      <c r="G44" s="314">
        <f t="shared" si="2"/>
        <v>106.8742210939303</v>
      </c>
      <c r="H44" s="314"/>
    </row>
    <row r="45" spans="1:8">
      <c r="A45" s="294">
        <v>7</v>
      </c>
      <c r="B45" s="295" t="s">
        <v>90</v>
      </c>
      <c r="C45" s="313">
        <v>290000</v>
      </c>
      <c r="D45" s="313">
        <f t="shared" si="15"/>
        <v>290000</v>
      </c>
      <c r="E45" s="313">
        <v>270649</v>
      </c>
      <c r="F45" s="313">
        <f t="shared" si="15"/>
        <v>270649</v>
      </c>
      <c r="G45" s="314">
        <f t="shared" si="2"/>
        <v>93.327241379310351</v>
      </c>
      <c r="H45" s="314">
        <f t="shared" si="2"/>
        <v>93.327241379310351</v>
      </c>
    </row>
    <row r="46" spans="1:8">
      <c r="A46" s="294">
        <v>8</v>
      </c>
      <c r="B46" s="295" t="s">
        <v>91</v>
      </c>
      <c r="C46" s="313">
        <f>SUM(C47:C50)</f>
        <v>120000</v>
      </c>
      <c r="D46" s="313">
        <f>SUM(D47:D50)</f>
        <v>98000</v>
      </c>
      <c r="E46" s="313">
        <f>SUM(E47:E50)</f>
        <v>114655</v>
      </c>
      <c r="F46" s="313">
        <f>SUM(F47:F50)</f>
        <v>75173</v>
      </c>
      <c r="G46" s="314">
        <f t="shared" si="2"/>
        <v>95.545833333333334</v>
      </c>
      <c r="H46" s="314">
        <f t="shared" si="2"/>
        <v>76.707142857142856</v>
      </c>
    </row>
    <row r="47" spans="1:8">
      <c r="A47" s="294" t="s">
        <v>13</v>
      </c>
      <c r="B47" s="307" t="s">
        <v>92</v>
      </c>
      <c r="C47" s="313">
        <v>22000</v>
      </c>
      <c r="D47" s="313"/>
      <c r="E47" s="313">
        <f>38654+1161</f>
        <v>39815</v>
      </c>
      <c r="F47" s="313">
        <f>329+4</f>
        <v>333</v>
      </c>
      <c r="G47" s="314">
        <f t="shared" si="2"/>
        <v>180.97727272727272</v>
      </c>
      <c r="H47" s="314"/>
    </row>
    <row r="48" spans="1:8">
      <c r="A48" s="294" t="s">
        <v>13</v>
      </c>
      <c r="B48" s="307" t="s">
        <v>93</v>
      </c>
      <c r="C48" s="336">
        <v>98000</v>
      </c>
      <c r="D48" s="336">
        <f t="shared" ref="D48:F52" si="16">C48</f>
        <v>98000</v>
      </c>
      <c r="E48" s="313">
        <v>34248</v>
      </c>
      <c r="F48" s="313">
        <f t="shared" si="16"/>
        <v>34248</v>
      </c>
      <c r="G48" s="337">
        <f>(E48+E49+E50)/C48*100</f>
        <v>76.367346938775512</v>
      </c>
      <c r="H48" s="337">
        <f>(F48+F49+F50)/D48*100</f>
        <v>76.367346938775512</v>
      </c>
    </row>
    <row r="49" spans="1:8">
      <c r="A49" s="294" t="s">
        <v>13</v>
      </c>
      <c r="B49" s="307" t="s">
        <v>94</v>
      </c>
      <c r="C49" s="336"/>
      <c r="D49" s="336"/>
      <c r="E49" s="313">
        <v>14273</v>
      </c>
      <c r="F49" s="313">
        <f t="shared" si="16"/>
        <v>14273</v>
      </c>
      <c r="G49" s="337"/>
      <c r="H49" s="337"/>
    </row>
    <row r="50" spans="1:8">
      <c r="A50" s="294" t="s">
        <v>13</v>
      </c>
      <c r="B50" s="307" t="s">
        <v>95</v>
      </c>
      <c r="C50" s="336"/>
      <c r="D50" s="336"/>
      <c r="E50" s="313">
        <v>26319</v>
      </c>
      <c r="F50" s="313">
        <f t="shared" si="16"/>
        <v>26319</v>
      </c>
      <c r="G50" s="337"/>
      <c r="H50" s="337"/>
    </row>
    <row r="51" spans="1:8">
      <c r="A51" s="294">
        <v>9</v>
      </c>
      <c r="B51" s="295" t="s">
        <v>96</v>
      </c>
      <c r="C51" s="313"/>
      <c r="D51" s="313">
        <f t="shared" si="16"/>
        <v>0</v>
      </c>
      <c r="E51" s="313">
        <v>442</v>
      </c>
      <c r="F51" s="313">
        <f t="shared" si="16"/>
        <v>442</v>
      </c>
      <c r="G51" s="314"/>
      <c r="H51" s="314"/>
    </row>
    <row r="52" spans="1:8">
      <c r="A52" s="294">
        <v>10</v>
      </c>
      <c r="B52" s="295" t="s">
        <v>97</v>
      </c>
      <c r="C52" s="313">
        <v>15000</v>
      </c>
      <c r="D52" s="313">
        <f t="shared" si="16"/>
        <v>15000</v>
      </c>
      <c r="E52" s="313">
        <v>16412</v>
      </c>
      <c r="F52" s="313">
        <f t="shared" si="16"/>
        <v>16412</v>
      </c>
      <c r="G52" s="314">
        <f t="shared" si="2"/>
        <v>109.41333333333334</v>
      </c>
      <c r="H52" s="314">
        <f t="shared" si="2"/>
        <v>109.41333333333334</v>
      </c>
    </row>
    <row r="53" spans="1:8">
      <c r="A53" s="294">
        <v>11</v>
      </c>
      <c r="B53" s="295" t="s">
        <v>98</v>
      </c>
      <c r="C53" s="313">
        <v>80000</v>
      </c>
      <c r="D53" s="313">
        <f>C53</f>
        <v>80000</v>
      </c>
      <c r="E53" s="313">
        <v>180705</v>
      </c>
      <c r="F53" s="313">
        <f>E53</f>
        <v>180705</v>
      </c>
      <c r="G53" s="314">
        <f t="shared" si="2"/>
        <v>225.88124999999999</v>
      </c>
      <c r="H53" s="314">
        <f t="shared" si="2"/>
        <v>225.88124999999999</v>
      </c>
    </row>
    <row r="54" spans="1:8">
      <c r="A54" s="294">
        <v>12</v>
      </c>
      <c r="B54" s="295" t="s">
        <v>99</v>
      </c>
      <c r="C54" s="313">
        <v>250000</v>
      </c>
      <c r="D54" s="313">
        <f t="shared" ref="D54:F80" si="17">C54</f>
        <v>250000</v>
      </c>
      <c r="E54" s="313">
        <v>387833</v>
      </c>
      <c r="F54" s="313">
        <f t="shared" si="17"/>
        <v>387833</v>
      </c>
      <c r="G54" s="314">
        <f t="shared" si="2"/>
        <v>155.13319999999999</v>
      </c>
      <c r="H54" s="314">
        <f t="shared" si="2"/>
        <v>155.13319999999999</v>
      </c>
    </row>
    <row r="55" spans="1:8" ht="31.5">
      <c r="A55" s="294">
        <v>13</v>
      </c>
      <c r="B55" s="295" t="s">
        <v>100</v>
      </c>
      <c r="C55" s="313">
        <v>2000</v>
      </c>
      <c r="D55" s="313">
        <f t="shared" si="17"/>
        <v>2000</v>
      </c>
      <c r="E55" s="313">
        <v>4129</v>
      </c>
      <c r="F55" s="313">
        <f t="shared" si="17"/>
        <v>4129</v>
      </c>
      <c r="G55" s="314">
        <f t="shared" si="2"/>
        <v>206.45</v>
      </c>
      <c r="H55" s="314">
        <f t="shared" si="2"/>
        <v>206.45</v>
      </c>
    </row>
    <row r="56" spans="1:8">
      <c r="A56" s="295">
        <v>14</v>
      </c>
      <c r="B56" s="295" t="s">
        <v>101</v>
      </c>
      <c r="C56" s="313">
        <f>SUM(C57:C61)</f>
        <v>1440000</v>
      </c>
      <c r="D56" s="313">
        <f t="shared" si="17"/>
        <v>1440000</v>
      </c>
      <c r="E56" s="313">
        <v>1602566</v>
      </c>
      <c r="F56" s="313">
        <f t="shared" si="17"/>
        <v>1602566</v>
      </c>
      <c r="G56" s="314">
        <f t="shared" si="2"/>
        <v>111.28930555555556</v>
      </c>
      <c r="H56" s="314">
        <f t="shared" si="2"/>
        <v>111.28930555555556</v>
      </c>
    </row>
    <row r="57" spans="1:8">
      <c r="A57" s="295"/>
      <c r="B57" s="305" t="s">
        <v>340</v>
      </c>
      <c r="C57" s="336">
        <v>1440000</v>
      </c>
      <c r="D57" s="336">
        <f t="shared" si="17"/>
        <v>1440000</v>
      </c>
      <c r="E57" s="313"/>
      <c r="F57" s="313">
        <f t="shared" si="17"/>
        <v>0</v>
      </c>
      <c r="G57" s="314"/>
      <c r="H57" s="314"/>
    </row>
    <row r="58" spans="1:8">
      <c r="A58" s="295"/>
      <c r="B58" s="305" t="s">
        <v>341</v>
      </c>
      <c r="C58" s="336"/>
      <c r="D58" s="336"/>
      <c r="E58" s="313"/>
      <c r="F58" s="313">
        <f t="shared" si="17"/>
        <v>0</v>
      </c>
      <c r="G58" s="314"/>
      <c r="H58" s="314"/>
    </row>
    <row r="59" spans="1:8">
      <c r="A59" s="295"/>
      <c r="B59" s="305" t="s">
        <v>342</v>
      </c>
      <c r="C59" s="336"/>
      <c r="D59" s="336"/>
      <c r="E59" s="313"/>
      <c r="F59" s="313">
        <f t="shared" si="17"/>
        <v>0</v>
      </c>
      <c r="G59" s="314"/>
      <c r="H59" s="314"/>
    </row>
    <row r="60" spans="1:8">
      <c r="A60" s="295"/>
      <c r="B60" s="306" t="s">
        <v>351</v>
      </c>
      <c r="C60" s="336"/>
      <c r="D60" s="336"/>
      <c r="E60" s="313"/>
      <c r="F60" s="313">
        <f t="shared" si="17"/>
        <v>0</v>
      </c>
      <c r="G60" s="314"/>
      <c r="H60" s="314"/>
    </row>
    <row r="61" spans="1:8">
      <c r="A61" s="295"/>
      <c r="B61" s="306" t="s">
        <v>352</v>
      </c>
      <c r="C61" s="336"/>
      <c r="D61" s="336"/>
      <c r="E61" s="313"/>
      <c r="F61" s="313">
        <f t="shared" si="17"/>
        <v>0</v>
      </c>
      <c r="G61" s="314"/>
      <c r="H61" s="314"/>
    </row>
    <row r="62" spans="1:8">
      <c r="A62" s="294">
        <v>15</v>
      </c>
      <c r="B62" s="295" t="s">
        <v>102</v>
      </c>
      <c r="C62" s="313">
        <v>1000</v>
      </c>
      <c r="D62" s="313">
        <f t="shared" si="17"/>
        <v>1000</v>
      </c>
      <c r="E62" s="313">
        <v>4091</v>
      </c>
      <c r="F62" s="313">
        <f>E62-721</f>
        <v>3370</v>
      </c>
      <c r="G62" s="314">
        <f t="shared" si="2"/>
        <v>409.1</v>
      </c>
      <c r="H62" s="314">
        <f t="shared" si="2"/>
        <v>337</v>
      </c>
    </row>
    <row r="63" spans="1:8">
      <c r="A63" s="294">
        <v>16</v>
      </c>
      <c r="B63" s="295" t="s">
        <v>103</v>
      </c>
      <c r="C63" s="313">
        <f>210000</f>
        <v>210000</v>
      </c>
      <c r="D63" s="313">
        <f>210000-65300</f>
        <v>144700</v>
      </c>
      <c r="E63" s="313">
        <f>257662+329</f>
        <v>257991</v>
      </c>
      <c r="F63" s="313">
        <f>E63-81846</f>
        <v>176145</v>
      </c>
      <c r="G63" s="314">
        <f t="shared" si="2"/>
        <v>122.85285714285715</v>
      </c>
      <c r="H63" s="314">
        <f t="shared" si="2"/>
        <v>121.73116793365584</v>
      </c>
    </row>
    <row r="64" spans="1:8" ht="31.5">
      <c r="A64" s="294">
        <v>17</v>
      </c>
      <c r="B64" s="295" t="s">
        <v>104</v>
      </c>
      <c r="C64" s="313">
        <v>34000</v>
      </c>
      <c r="D64" s="313">
        <f t="shared" si="17"/>
        <v>34000</v>
      </c>
      <c r="E64" s="313">
        <v>2743</v>
      </c>
      <c r="F64" s="313">
        <f t="shared" si="17"/>
        <v>2743</v>
      </c>
      <c r="G64" s="314">
        <f t="shared" si="2"/>
        <v>8.0676470588235301</v>
      </c>
      <c r="H64" s="314">
        <f t="shared" si="2"/>
        <v>8.0676470588235301</v>
      </c>
    </row>
    <row r="65" spans="1:8">
      <c r="A65" s="294">
        <v>18</v>
      </c>
      <c r="B65" s="295" t="s">
        <v>105</v>
      </c>
      <c r="C65" s="313"/>
      <c r="D65" s="313">
        <f t="shared" si="17"/>
        <v>0</v>
      </c>
      <c r="E65" s="313"/>
      <c r="F65" s="313">
        <f t="shared" si="17"/>
        <v>0</v>
      </c>
      <c r="G65" s="314"/>
      <c r="H65" s="314"/>
    </row>
    <row r="66" spans="1:8" ht="47.25">
      <c r="A66" s="294">
        <v>19</v>
      </c>
      <c r="B66" s="295" t="s">
        <v>106</v>
      </c>
      <c r="C66" s="313"/>
      <c r="D66" s="313">
        <f t="shared" si="17"/>
        <v>0</v>
      </c>
      <c r="E66" s="313"/>
      <c r="F66" s="313">
        <f t="shared" si="17"/>
        <v>0</v>
      </c>
      <c r="G66" s="314"/>
      <c r="H66" s="314"/>
    </row>
    <row r="67" spans="1:8">
      <c r="A67" s="294">
        <v>20</v>
      </c>
      <c r="B67" s="295" t="s">
        <v>107</v>
      </c>
      <c r="C67" s="313"/>
      <c r="D67" s="313">
        <f t="shared" si="17"/>
        <v>0</v>
      </c>
      <c r="E67" s="313"/>
      <c r="F67" s="313">
        <f t="shared" si="17"/>
        <v>0</v>
      </c>
      <c r="G67" s="314"/>
      <c r="H67" s="314"/>
    </row>
    <row r="68" spans="1:8">
      <c r="A68" s="290" t="s">
        <v>16</v>
      </c>
      <c r="B68" s="291" t="s">
        <v>108</v>
      </c>
      <c r="C68" s="313"/>
      <c r="D68" s="313">
        <f t="shared" si="17"/>
        <v>0</v>
      </c>
      <c r="E68" s="313"/>
      <c r="F68" s="313">
        <f t="shared" si="17"/>
        <v>0</v>
      </c>
      <c r="G68" s="293"/>
      <c r="H68" s="293"/>
    </row>
    <row r="69" spans="1:8" s="260" customFormat="1">
      <c r="A69" s="290" t="s">
        <v>20</v>
      </c>
      <c r="B69" s="291" t="s">
        <v>109</v>
      </c>
      <c r="C69" s="292">
        <f>SUM(C70:C75)</f>
        <v>370000</v>
      </c>
      <c r="D69" s="292">
        <f t="shared" ref="D69" si="18">SUM(D70:D75)</f>
        <v>0</v>
      </c>
      <c r="E69" s="292">
        <f>SUM(E70:E75)</f>
        <v>360802</v>
      </c>
      <c r="F69" s="292">
        <f t="shared" ref="F69" si="19">SUM(F70:F75)</f>
        <v>0</v>
      </c>
      <c r="G69" s="293">
        <f t="shared" si="2"/>
        <v>97.514054054054057</v>
      </c>
      <c r="H69" s="293"/>
    </row>
    <row r="70" spans="1:8">
      <c r="A70" s="294">
        <v>1</v>
      </c>
      <c r="B70" s="295" t="s">
        <v>110</v>
      </c>
      <c r="C70" s="313">
        <v>1000</v>
      </c>
      <c r="D70" s="313"/>
      <c r="E70" s="313">
        <v>1658</v>
      </c>
      <c r="F70" s="313"/>
      <c r="G70" s="314"/>
      <c r="H70" s="293"/>
    </row>
    <row r="71" spans="1:8">
      <c r="A71" s="294">
        <v>2</v>
      </c>
      <c r="B71" s="295" t="s">
        <v>111</v>
      </c>
      <c r="C71" s="313">
        <v>80000</v>
      </c>
      <c r="D71" s="313"/>
      <c r="E71" s="313">
        <v>42041</v>
      </c>
      <c r="F71" s="313"/>
      <c r="G71" s="314">
        <f t="shared" si="2"/>
        <v>52.551250000000003</v>
      </c>
      <c r="H71" s="293"/>
    </row>
    <row r="72" spans="1:8" ht="31.5">
      <c r="A72" s="294">
        <v>3</v>
      </c>
      <c r="B72" s="295" t="s">
        <v>112</v>
      </c>
      <c r="C72" s="313">
        <v>38000</v>
      </c>
      <c r="D72" s="313"/>
      <c r="E72" s="313">
        <v>18</v>
      </c>
      <c r="F72" s="313"/>
      <c r="G72" s="314">
        <f t="shared" si="2"/>
        <v>4.7368421052631574E-2</v>
      </c>
      <c r="H72" s="293"/>
    </row>
    <row r="73" spans="1:8" ht="31.5">
      <c r="A73" s="294">
        <v>4</v>
      </c>
      <c r="B73" s="295" t="s">
        <v>113</v>
      </c>
      <c r="C73" s="313">
        <v>1000</v>
      </c>
      <c r="D73" s="313"/>
      <c r="E73" s="313">
        <v>848</v>
      </c>
      <c r="F73" s="313"/>
      <c r="G73" s="314">
        <f t="shared" si="2"/>
        <v>84.8</v>
      </c>
      <c r="H73" s="293"/>
    </row>
    <row r="74" spans="1:8" ht="31.5">
      <c r="A74" s="294">
        <v>5</v>
      </c>
      <c r="B74" s="295" t="s">
        <v>114</v>
      </c>
      <c r="C74" s="313">
        <v>250000</v>
      </c>
      <c r="D74" s="313"/>
      <c r="E74" s="313">
        <v>313306</v>
      </c>
      <c r="F74" s="313"/>
      <c r="G74" s="314">
        <f t="shared" ref="G74" si="20">E74/C74*100</f>
        <v>125.32239999999999</v>
      </c>
      <c r="H74" s="293"/>
    </row>
    <row r="75" spans="1:8">
      <c r="A75" s="294">
        <v>6</v>
      </c>
      <c r="B75" s="295" t="s">
        <v>115</v>
      </c>
      <c r="C75" s="313"/>
      <c r="D75" s="313"/>
      <c r="E75" s="313">
        <v>2931</v>
      </c>
      <c r="F75" s="313"/>
      <c r="G75" s="293"/>
      <c r="H75" s="293"/>
    </row>
    <row r="76" spans="1:8">
      <c r="A76" s="290" t="s">
        <v>22</v>
      </c>
      <c r="B76" s="291" t="s">
        <v>116</v>
      </c>
      <c r="C76" s="313"/>
      <c r="D76" s="292">
        <f t="shared" si="17"/>
        <v>0</v>
      </c>
      <c r="E76" s="292">
        <v>3309</v>
      </c>
      <c r="F76" s="292">
        <f t="shared" si="17"/>
        <v>3309</v>
      </c>
      <c r="G76" s="293"/>
      <c r="H76" s="293"/>
    </row>
    <row r="77" spans="1:8">
      <c r="A77" s="308" t="s">
        <v>24</v>
      </c>
      <c r="B77" s="309" t="s">
        <v>347</v>
      </c>
      <c r="C77" s="313"/>
      <c r="D77" s="292">
        <f t="shared" si="17"/>
        <v>0</v>
      </c>
      <c r="E77" s="292">
        <v>20315</v>
      </c>
      <c r="F77" s="292">
        <f t="shared" si="17"/>
        <v>20315</v>
      </c>
      <c r="G77" s="293"/>
      <c r="H77" s="293"/>
    </row>
    <row r="78" spans="1:8">
      <c r="A78" s="290" t="s">
        <v>8</v>
      </c>
      <c r="B78" s="291" t="s">
        <v>117</v>
      </c>
      <c r="C78" s="313"/>
      <c r="D78" s="292">
        <f t="shared" si="17"/>
        <v>0</v>
      </c>
      <c r="E78" s="292"/>
      <c r="F78" s="292">
        <f t="shared" si="17"/>
        <v>0</v>
      </c>
      <c r="G78" s="293"/>
      <c r="H78" s="293"/>
    </row>
    <row r="79" spans="1:8">
      <c r="A79" s="290" t="s">
        <v>38</v>
      </c>
      <c r="B79" s="291" t="s">
        <v>118</v>
      </c>
      <c r="C79" s="313"/>
      <c r="D79" s="292">
        <f t="shared" si="17"/>
        <v>0</v>
      </c>
      <c r="E79" s="292">
        <v>1044369</v>
      </c>
      <c r="F79" s="292">
        <f t="shared" si="17"/>
        <v>1044369</v>
      </c>
      <c r="G79" s="293"/>
      <c r="H79" s="293"/>
    </row>
    <row r="80" spans="1:8" ht="31.5">
      <c r="A80" s="251" t="s">
        <v>39</v>
      </c>
      <c r="B80" s="252" t="s">
        <v>119</v>
      </c>
      <c r="C80" s="310"/>
      <c r="D80" s="254">
        <f t="shared" si="17"/>
        <v>0</v>
      </c>
      <c r="E80" s="254">
        <v>1707622</v>
      </c>
      <c r="F80" s="254">
        <f t="shared" si="17"/>
        <v>1707622</v>
      </c>
      <c r="G80" s="255"/>
      <c r="H80" s="255"/>
    </row>
    <row r="81" spans="1:8" hidden="1">
      <c r="A81" s="329" t="s">
        <v>120</v>
      </c>
      <c r="B81" s="329"/>
      <c r="C81" s="329"/>
      <c r="D81" s="329"/>
      <c r="E81" s="329"/>
      <c r="F81" s="329"/>
      <c r="G81" s="329"/>
      <c r="H81" s="329"/>
    </row>
    <row r="82" spans="1:8" ht="32.25" hidden="1" customHeight="1">
      <c r="A82" s="335" t="s">
        <v>121</v>
      </c>
      <c r="B82" s="335"/>
      <c r="C82" s="335"/>
      <c r="D82" s="335"/>
      <c r="E82" s="335"/>
      <c r="F82" s="335"/>
      <c r="G82" s="335"/>
      <c r="H82" s="335"/>
    </row>
    <row r="83" spans="1:8" ht="33" hidden="1" customHeight="1">
      <c r="A83" s="335" t="s">
        <v>122</v>
      </c>
      <c r="B83" s="335"/>
      <c r="C83" s="335"/>
      <c r="D83" s="335"/>
      <c r="E83" s="335"/>
      <c r="F83" s="335"/>
      <c r="G83" s="335"/>
      <c r="H83" s="335"/>
    </row>
    <row r="84" spans="1:8" ht="34.5" hidden="1" customHeight="1">
      <c r="A84" s="335" t="s">
        <v>123</v>
      </c>
      <c r="B84" s="335"/>
      <c r="C84" s="335"/>
      <c r="D84" s="335"/>
      <c r="E84" s="335"/>
      <c r="F84" s="335"/>
      <c r="G84" s="335"/>
      <c r="H84" s="335"/>
    </row>
    <row r="85" spans="1:8" ht="33.75" hidden="1" customHeight="1">
      <c r="A85" s="335" t="s">
        <v>124</v>
      </c>
      <c r="B85" s="335"/>
      <c r="C85" s="335"/>
      <c r="D85" s="335"/>
      <c r="E85" s="335"/>
      <c r="F85" s="335"/>
      <c r="G85" s="335"/>
      <c r="H85" s="335"/>
    </row>
    <row r="86" spans="1:8" ht="76.5" hidden="1" customHeight="1">
      <c r="A86" s="335" t="s">
        <v>125</v>
      </c>
      <c r="B86" s="335"/>
      <c r="C86" s="335"/>
      <c r="D86" s="335"/>
      <c r="E86" s="335"/>
      <c r="F86" s="335"/>
      <c r="G86" s="335"/>
      <c r="H86" s="335"/>
    </row>
    <row r="87" spans="1:8">
      <c r="A87" s="296"/>
    </row>
  </sheetData>
  <mergeCells count="22">
    <mergeCell ref="A1:B1"/>
    <mergeCell ref="F1:H1"/>
    <mergeCell ref="A83:H83"/>
    <mergeCell ref="A84:H84"/>
    <mergeCell ref="A85:H85"/>
    <mergeCell ref="A2:H2"/>
    <mergeCell ref="A3:H3"/>
    <mergeCell ref="F4:H4"/>
    <mergeCell ref="C5:D5"/>
    <mergeCell ref="E5:F5"/>
    <mergeCell ref="G5:H5"/>
    <mergeCell ref="A5:A6"/>
    <mergeCell ref="B5:B6"/>
    <mergeCell ref="A86:H86"/>
    <mergeCell ref="A82:H82"/>
    <mergeCell ref="A81:H81"/>
    <mergeCell ref="C48:C50"/>
    <mergeCell ref="D48:D50"/>
    <mergeCell ref="C57:C61"/>
    <mergeCell ref="D57:D61"/>
    <mergeCell ref="G48:G50"/>
    <mergeCell ref="H48:H50"/>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1"/>
      <c r="D1" s="340" t="s">
        <v>126</v>
      </c>
      <c r="E1" s="340"/>
    </row>
    <row r="2" spans="1:5">
      <c r="A2" s="340" t="s">
        <v>337</v>
      </c>
      <c r="B2" s="340"/>
      <c r="C2" s="340"/>
      <c r="D2" s="340"/>
      <c r="E2" s="340"/>
    </row>
    <row r="3" spans="1:5">
      <c r="A3" s="340"/>
      <c r="B3" s="340"/>
      <c r="C3" s="340"/>
      <c r="D3" s="340"/>
      <c r="E3" s="340"/>
    </row>
    <row r="4" spans="1:5">
      <c r="A4" s="44"/>
      <c r="D4" s="341" t="s">
        <v>1</v>
      </c>
      <c r="E4" s="341"/>
    </row>
    <row r="5" spans="1:5">
      <c r="A5" s="213" t="s">
        <v>2</v>
      </c>
      <c r="B5" s="213" t="s">
        <v>1393</v>
      </c>
      <c r="C5" s="213" t="s">
        <v>3</v>
      </c>
      <c r="D5" s="213" t="s">
        <v>4</v>
      </c>
      <c r="E5" s="213" t="s">
        <v>127</v>
      </c>
    </row>
    <row r="6" spans="1:5">
      <c r="A6" s="224" t="s">
        <v>7</v>
      </c>
      <c r="B6" s="224" t="s">
        <v>8</v>
      </c>
      <c r="C6" s="224">
        <v>1</v>
      </c>
      <c r="D6" s="224">
        <v>2</v>
      </c>
      <c r="E6" s="224" t="s">
        <v>128</v>
      </c>
    </row>
    <row r="7" spans="1:5" ht="31.5">
      <c r="A7" s="222"/>
      <c r="B7" s="223" t="s">
        <v>129</v>
      </c>
      <c r="C7" s="223">
        <f>C8+C27+C34+C35</f>
        <v>8661671</v>
      </c>
      <c r="D7" s="223">
        <f>D8+D27+D34+D35</f>
        <v>11210361</v>
      </c>
      <c r="E7" s="282">
        <f>D7/C7*100</f>
        <v>129.42492274296725</v>
      </c>
    </row>
    <row r="8" spans="1:5" ht="31.5">
      <c r="A8" s="214" t="s">
        <v>7</v>
      </c>
      <c r="B8" s="215" t="s">
        <v>130</v>
      </c>
      <c r="C8" s="215">
        <f>C9+C19+C23+C24+C25+C26</f>
        <v>8197637</v>
      </c>
      <c r="D8" s="215">
        <f>D9+D19+D23+D24+D25+D26</f>
        <v>9455694</v>
      </c>
      <c r="E8" s="283">
        <f t="shared" ref="E8:E33" si="0">D8/C8*100</f>
        <v>115.34658097205327</v>
      </c>
    </row>
    <row r="9" spans="1:5">
      <c r="A9" s="214" t="s">
        <v>11</v>
      </c>
      <c r="B9" s="215" t="s">
        <v>28</v>
      </c>
      <c r="C9" s="215">
        <f>C10+C17+C18</f>
        <v>2202310</v>
      </c>
      <c r="D9" s="215">
        <f>D10+D17+D18</f>
        <v>3055955</v>
      </c>
      <c r="E9" s="283">
        <f t="shared" si="0"/>
        <v>138.76134604120219</v>
      </c>
    </row>
    <row r="10" spans="1:5">
      <c r="A10" s="216">
        <v>1</v>
      </c>
      <c r="B10" s="217" t="s">
        <v>131</v>
      </c>
      <c r="C10" s="217">
        <f>2620168-250000*0.15-417858</f>
        <v>2164810</v>
      </c>
      <c r="D10" s="217">
        <v>3009115</v>
      </c>
      <c r="E10" s="284">
        <f t="shared" si="0"/>
        <v>139.00134422882377</v>
      </c>
    </row>
    <row r="11" spans="1:5" hidden="1">
      <c r="A11" s="216"/>
      <c r="B11" s="218" t="s">
        <v>132</v>
      </c>
      <c r="C11" s="217"/>
      <c r="D11" s="217"/>
      <c r="E11" s="284"/>
    </row>
    <row r="12" spans="1:5" ht="31.5" hidden="1">
      <c r="A12" s="216" t="s">
        <v>13</v>
      </c>
      <c r="B12" s="218" t="s">
        <v>133</v>
      </c>
      <c r="C12" s="217"/>
      <c r="D12" s="217"/>
      <c r="E12" s="284"/>
    </row>
    <row r="13" spans="1:5" hidden="1">
      <c r="A13" s="216" t="s">
        <v>13</v>
      </c>
      <c r="B13" s="218" t="s">
        <v>134</v>
      </c>
      <c r="C13" s="217"/>
      <c r="D13" s="217"/>
      <c r="E13" s="284"/>
    </row>
    <row r="14" spans="1:5" hidden="1">
      <c r="A14" s="216"/>
      <c r="B14" s="218" t="s">
        <v>135</v>
      </c>
      <c r="C14" s="217"/>
      <c r="D14" s="217"/>
      <c r="E14" s="284"/>
    </row>
    <row r="15" spans="1:5" ht="31.5" hidden="1">
      <c r="A15" s="216" t="s">
        <v>13</v>
      </c>
      <c r="B15" s="218" t="s">
        <v>136</v>
      </c>
      <c r="C15" s="217"/>
      <c r="D15" s="217"/>
      <c r="E15" s="284"/>
    </row>
    <row r="16" spans="1:5" ht="31.5" hidden="1">
      <c r="A16" s="216" t="s">
        <v>13</v>
      </c>
      <c r="B16" s="218" t="s">
        <v>137</v>
      </c>
      <c r="C16" s="217"/>
      <c r="D16" s="217"/>
      <c r="E16" s="284"/>
    </row>
    <row r="17" spans="1:5" ht="94.5">
      <c r="A17" s="216">
        <v>2</v>
      </c>
      <c r="B17" s="217" t="s">
        <v>138</v>
      </c>
      <c r="C17" s="217"/>
      <c r="D17" s="217"/>
      <c r="E17" s="284"/>
    </row>
    <row r="18" spans="1:5">
      <c r="A18" s="216">
        <v>3</v>
      </c>
      <c r="B18" s="217" t="s">
        <v>139</v>
      </c>
      <c r="C18" s="217">
        <f>250000*0.15</f>
        <v>37500</v>
      </c>
      <c r="D18" s="217">
        <v>46840</v>
      </c>
      <c r="E18" s="284">
        <f t="shared" si="0"/>
        <v>124.90666666666668</v>
      </c>
    </row>
    <row r="19" spans="1:5">
      <c r="A19" s="214" t="s">
        <v>16</v>
      </c>
      <c r="B19" s="215" t="s">
        <v>29</v>
      </c>
      <c r="C19" s="215">
        <v>5832217</v>
      </c>
      <c r="D19" s="215">
        <v>6398479</v>
      </c>
      <c r="E19" s="283">
        <f t="shared" si="0"/>
        <v>109.70920663617282</v>
      </c>
    </row>
    <row r="20" spans="1:5">
      <c r="A20" s="216"/>
      <c r="B20" s="218" t="s">
        <v>140</v>
      </c>
      <c r="C20" s="217"/>
      <c r="D20" s="217"/>
      <c r="E20" s="284"/>
    </row>
    <row r="21" spans="1:5" ht="31.5">
      <c r="A21" s="225">
        <v>1</v>
      </c>
      <c r="B21" s="218" t="s">
        <v>133</v>
      </c>
      <c r="C21" s="218">
        <v>2511334</v>
      </c>
      <c r="D21" s="218">
        <v>2529568</v>
      </c>
      <c r="E21" s="285">
        <f t="shared" si="0"/>
        <v>100.72606829676975</v>
      </c>
    </row>
    <row r="22" spans="1:5">
      <c r="A22" s="225">
        <v>2</v>
      </c>
      <c r="B22" s="218" t="s">
        <v>134</v>
      </c>
      <c r="C22" s="218">
        <v>29130</v>
      </c>
      <c r="D22" s="218">
        <v>28560</v>
      </c>
      <c r="E22" s="285">
        <f t="shared" si="0"/>
        <v>98.043254376931003</v>
      </c>
    </row>
    <row r="23" spans="1:5" ht="31.5">
      <c r="A23" s="214" t="s">
        <v>20</v>
      </c>
      <c r="B23" s="215" t="s">
        <v>30</v>
      </c>
      <c r="C23" s="215">
        <v>0</v>
      </c>
      <c r="D23" s="215">
        <v>260</v>
      </c>
      <c r="E23" s="283"/>
    </row>
    <row r="24" spans="1:5">
      <c r="A24" s="214" t="s">
        <v>22</v>
      </c>
      <c r="B24" s="215" t="s">
        <v>31</v>
      </c>
      <c r="C24" s="215">
        <v>1000</v>
      </c>
      <c r="D24" s="215">
        <v>1000</v>
      </c>
      <c r="E24" s="283">
        <f t="shared" si="0"/>
        <v>100</v>
      </c>
    </row>
    <row r="25" spans="1:5">
      <c r="A25" s="214" t="s">
        <v>24</v>
      </c>
      <c r="B25" s="215" t="s">
        <v>32</v>
      </c>
      <c r="C25" s="215">
        <v>162110</v>
      </c>
      <c r="D25" s="215"/>
      <c r="E25" s="283">
        <f t="shared" si="0"/>
        <v>0</v>
      </c>
    </row>
    <row r="26" spans="1:5" ht="31.5">
      <c r="A26" s="214" t="s">
        <v>141</v>
      </c>
      <c r="B26" s="215" t="s">
        <v>142</v>
      </c>
      <c r="C26" s="215"/>
      <c r="D26" s="215"/>
      <c r="E26" s="283"/>
    </row>
    <row r="27" spans="1:5" ht="31.5">
      <c r="A27" s="214" t="s">
        <v>8</v>
      </c>
      <c r="B27" s="215" t="s">
        <v>143</v>
      </c>
      <c r="C27" s="215">
        <f>C28+C31</f>
        <v>464034</v>
      </c>
      <c r="D27" s="215"/>
      <c r="E27" s="283">
        <f t="shared" si="0"/>
        <v>0</v>
      </c>
    </row>
    <row r="28" spans="1:5" ht="31.5" hidden="1">
      <c r="A28" s="214" t="s">
        <v>11</v>
      </c>
      <c r="B28" s="215" t="s">
        <v>35</v>
      </c>
      <c r="C28" s="215">
        <f>C29+C30</f>
        <v>154098</v>
      </c>
      <c r="D28" s="215">
        <f>D29+D30</f>
        <v>0</v>
      </c>
      <c r="E28" s="283">
        <f t="shared" si="0"/>
        <v>0</v>
      </c>
    </row>
    <row r="29" spans="1:5" ht="31.5" hidden="1">
      <c r="A29" s="214"/>
      <c r="B29" s="215" t="s">
        <v>355</v>
      </c>
      <c r="C29" s="215">
        <v>119100</v>
      </c>
      <c r="D29" s="215"/>
      <c r="E29" s="283"/>
    </row>
    <row r="30" spans="1:5" hidden="1">
      <c r="A30" s="216"/>
      <c r="B30" s="217" t="s">
        <v>356</v>
      </c>
      <c r="C30" s="217">
        <v>34998</v>
      </c>
      <c r="D30" s="217"/>
      <c r="E30" s="284">
        <f t="shared" si="0"/>
        <v>0</v>
      </c>
    </row>
    <row r="31" spans="1:5" ht="31.5" hidden="1">
      <c r="A31" s="214" t="s">
        <v>16</v>
      </c>
      <c r="B31" s="215" t="s">
        <v>36</v>
      </c>
      <c r="C31" s="215">
        <f>C32+C33</f>
        <v>309936</v>
      </c>
      <c r="D31" s="215"/>
      <c r="E31" s="283">
        <f t="shared" si="0"/>
        <v>0</v>
      </c>
    </row>
    <row r="32" spans="1:5" ht="31.5" hidden="1">
      <c r="A32" s="214"/>
      <c r="B32" s="215" t="s">
        <v>357</v>
      </c>
      <c r="C32" s="215">
        <f>144469+157550</f>
        <v>302019</v>
      </c>
      <c r="D32" s="215"/>
      <c r="E32" s="283"/>
    </row>
    <row r="33" spans="1:5" ht="31.5" hidden="1">
      <c r="A33" s="216"/>
      <c r="B33" s="215" t="s">
        <v>358</v>
      </c>
      <c r="C33" s="215">
        <v>7917</v>
      </c>
      <c r="D33" s="215"/>
      <c r="E33" s="283">
        <f t="shared" si="0"/>
        <v>0</v>
      </c>
    </row>
    <row r="34" spans="1:5" ht="31.5">
      <c r="A34" s="214" t="s">
        <v>38</v>
      </c>
      <c r="B34" s="215" t="s">
        <v>146</v>
      </c>
      <c r="C34" s="217"/>
      <c r="D34" s="215">
        <v>1707622</v>
      </c>
      <c r="E34" s="284"/>
    </row>
    <row r="35" spans="1:5" ht="31.5">
      <c r="A35" s="219" t="s">
        <v>39</v>
      </c>
      <c r="B35" s="220" t="s">
        <v>359</v>
      </c>
      <c r="C35" s="221"/>
      <c r="D35" s="220">
        <v>47045</v>
      </c>
      <c r="E35" s="286"/>
    </row>
    <row r="36" spans="1:5" ht="42.75" hidden="1" customHeight="1">
      <c r="A36" s="342" t="s">
        <v>1394</v>
      </c>
      <c r="B36" s="342"/>
      <c r="C36" s="342"/>
      <c r="D36" s="342"/>
      <c r="E36" s="342"/>
    </row>
    <row r="37" spans="1:5">
      <c r="A37" s="211"/>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workbookViewId="0">
      <selection activeCell="A3" sqref="A3:H3"/>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3" t="str">
        <f>'62'!chuong_phuluc_48</f>
        <v>ỦY BAN NHÂN DÂN TỈNH TIỀN GIANG</v>
      </c>
      <c r="B1" s="343"/>
      <c r="C1" s="343"/>
      <c r="I1" s="333" t="s">
        <v>1409</v>
      </c>
      <c r="J1" s="333"/>
      <c r="K1" s="333"/>
    </row>
    <row r="2" spans="1:11" ht="38.25" customHeight="1">
      <c r="A2" s="340" t="s">
        <v>1420</v>
      </c>
      <c r="B2" s="340"/>
      <c r="C2" s="340"/>
      <c r="D2" s="340"/>
      <c r="E2" s="340"/>
      <c r="F2" s="340"/>
      <c r="G2" s="340"/>
      <c r="H2" s="340"/>
      <c r="I2" s="340"/>
      <c r="J2" s="340"/>
      <c r="K2" s="340"/>
    </row>
    <row r="3" spans="1:11">
      <c r="A3" s="344" t="str">
        <f>'62'!A3:F3</f>
        <v>(Kèm theo Quyết định số ………../QĐ-UBND ngày    /01/2020 của Ủy ban nhân dân tỉnh Tiền Giang)</v>
      </c>
      <c r="B3" s="344"/>
      <c r="C3" s="344"/>
      <c r="D3" s="344"/>
      <c r="E3" s="344"/>
      <c r="F3" s="344"/>
      <c r="G3" s="344"/>
      <c r="H3" s="344"/>
      <c r="I3" s="344"/>
      <c r="J3" s="344"/>
      <c r="K3" s="344"/>
    </row>
    <row r="4" spans="1:11">
      <c r="A4" s="287"/>
      <c r="I4" s="341" t="s">
        <v>169</v>
      </c>
      <c r="J4" s="341"/>
      <c r="K4" s="341"/>
    </row>
    <row r="5" spans="1:11" ht="15.75" customHeight="1">
      <c r="A5" s="345" t="s">
        <v>2</v>
      </c>
      <c r="B5" s="345" t="s">
        <v>1395</v>
      </c>
      <c r="C5" s="345" t="s">
        <v>1417</v>
      </c>
      <c r="D5" s="345" t="s">
        <v>170</v>
      </c>
      <c r="E5" s="345"/>
      <c r="F5" s="345" t="s">
        <v>4</v>
      </c>
      <c r="G5" s="345" t="s">
        <v>170</v>
      </c>
      <c r="H5" s="345"/>
      <c r="I5" s="345" t="s">
        <v>53</v>
      </c>
      <c r="J5" s="345"/>
      <c r="K5" s="345"/>
    </row>
    <row r="6" spans="1:11" ht="47.25">
      <c r="A6" s="345"/>
      <c r="B6" s="345"/>
      <c r="C6" s="345"/>
      <c r="D6" s="315" t="s">
        <v>348</v>
      </c>
      <c r="E6" s="315" t="s">
        <v>349</v>
      </c>
      <c r="F6" s="345"/>
      <c r="G6" s="315" t="s">
        <v>348</v>
      </c>
      <c r="H6" s="315" t="s">
        <v>349</v>
      </c>
      <c r="I6" s="315" t="s">
        <v>171</v>
      </c>
      <c r="J6" s="315" t="s">
        <v>348</v>
      </c>
      <c r="K6" s="315" t="s">
        <v>349</v>
      </c>
    </row>
    <row r="7" spans="1:11">
      <c r="A7" s="224" t="s">
        <v>7</v>
      </c>
      <c r="B7" s="224" t="s">
        <v>8</v>
      </c>
      <c r="C7" s="224" t="s">
        <v>172</v>
      </c>
      <c r="D7" s="224">
        <v>2</v>
      </c>
      <c r="E7" s="224">
        <v>3</v>
      </c>
      <c r="F7" s="224" t="s">
        <v>173</v>
      </c>
      <c r="G7" s="224">
        <v>5</v>
      </c>
      <c r="H7" s="224">
        <v>6</v>
      </c>
      <c r="I7" s="224" t="s">
        <v>174</v>
      </c>
      <c r="J7" s="224" t="s">
        <v>175</v>
      </c>
      <c r="K7" s="224" t="s">
        <v>176</v>
      </c>
    </row>
    <row r="8" spans="1:11">
      <c r="A8" s="222"/>
      <c r="B8" s="223" t="s">
        <v>26</v>
      </c>
      <c r="C8" s="223">
        <f>C9+C33+C28+C34</f>
        <v>10203719</v>
      </c>
      <c r="D8" s="223">
        <f t="shared" ref="D8:G8" si="0">D9+D33+D28+D34</f>
        <v>5167380</v>
      </c>
      <c r="E8" s="223">
        <f t="shared" si="0"/>
        <v>5036339</v>
      </c>
      <c r="F8" s="223">
        <f t="shared" si="0"/>
        <v>12839509</v>
      </c>
      <c r="G8" s="223">
        <f t="shared" si="0"/>
        <v>6643613</v>
      </c>
      <c r="H8" s="223">
        <f>H9+H33+H28+H34</f>
        <v>6195896</v>
      </c>
      <c r="I8" s="228">
        <f>F8/C8*100</f>
        <v>125.83166000553328</v>
      </c>
      <c r="J8" s="228">
        <f t="shared" ref="J8:K23" si="1">G8/D8*100</f>
        <v>128.56830734337322</v>
      </c>
      <c r="K8" s="228">
        <f t="shared" si="1"/>
        <v>123.02380757133307</v>
      </c>
    </row>
    <row r="9" spans="1:11">
      <c r="A9" s="214" t="s">
        <v>7</v>
      </c>
      <c r="B9" s="215" t="s">
        <v>177</v>
      </c>
      <c r="C9" s="215">
        <f>C10+C20+C24+C25+C26+C27</f>
        <v>10035635</v>
      </c>
      <c r="D9" s="215">
        <f>D10+D20+D24+D25+D26+D27</f>
        <v>5076046</v>
      </c>
      <c r="E9" s="215">
        <f t="shared" ref="E9:H9" si="2">E10+E20+E24+E25+E26+E27</f>
        <v>4959589</v>
      </c>
      <c r="F9" s="215">
        <f t="shared" si="2"/>
        <v>10040491</v>
      </c>
      <c r="G9" s="215">
        <f t="shared" si="2"/>
        <v>4323510</v>
      </c>
      <c r="H9" s="215">
        <f t="shared" si="2"/>
        <v>5716981</v>
      </c>
      <c r="I9" s="226">
        <f t="shared" ref="I9:K26" si="3">F9/C9*100</f>
        <v>100.04838757089114</v>
      </c>
      <c r="J9" s="226">
        <f t="shared" si="1"/>
        <v>85.17476003960563</v>
      </c>
      <c r="K9" s="226">
        <f t="shared" si="1"/>
        <v>115.27126542138875</v>
      </c>
    </row>
    <row r="10" spans="1:11">
      <c r="A10" s="214" t="s">
        <v>11</v>
      </c>
      <c r="B10" s="215" t="s">
        <v>28</v>
      </c>
      <c r="C10" s="215">
        <f>C11+C18+C19</f>
        <v>3383958</v>
      </c>
      <c r="D10" s="215">
        <f t="shared" ref="D10:H10" si="4">D11+D18+D19</f>
        <v>2903665</v>
      </c>
      <c r="E10" s="215">
        <f t="shared" si="4"/>
        <v>480293</v>
      </c>
      <c r="F10" s="215">
        <f t="shared" si="4"/>
        <v>3228659</v>
      </c>
      <c r="G10" s="215">
        <f t="shared" si="4"/>
        <v>2246041</v>
      </c>
      <c r="H10" s="215">
        <f t="shared" si="4"/>
        <v>982618</v>
      </c>
      <c r="I10" s="226">
        <f t="shared" si="3"/>
        <v>95.410729092973384</v>
      </c>
      <c r="J10" s="226">
        <f t="shared" si="1"/>
        <v>77.35193281594124</v>
      </c>
      <c r="K10" s="226">
        <f t="shared" si="1"/>
        <v>204.58719989672969</v>
      </c>
    </row>
    <row r="11" spans="1:11">
      <c r="A11" s="216">
        <v>1</v>
      </c>
      <c r="B11" s="217" t="s">
        <v>131</v>
      </c>
      <c r="C11" s="217">
        <f>D11+E11</f>
        <v>3358958</v>
      </c>
      <c r="D11" s="217">
        <f>'[1]52'!C12</f>
        <v>2901405</v>
      </c>
      <c r="E11" s="217">
        <f>480293-22740</f>
        <v>457553</v>
      </c>
      <c r="F11" s="217">
        <f>G11+H11</f>
        <v>3194971</v>
      </c>
      <c r="G11" s="217">
        <f>'[1]52'!D12</f>
        <v>2245913</v>
      </c>
      <c r="H11" s="217">
        <f>719137+229921</f>
        <v>949058</v>
      </c>
      <c r="I11" s="227">
        <f t="shared" si="3"/>
        <v>95.117920497963951</v>
      </c>
      <c r="J11" s="227">
        <f t="shared" si="1"/>
        <v>77.407773130603957</v>
      </c>
      <c r="K11" s="227">
        <f t="shared" si="1"/>
        <v>207.42034256140821</v>
      </c>
    </row>
    <row r="12" spans="1:11" ht="15.75" hidden="1" customHeight="1">
      <c r="A12" s="216"/>
      <c r="B12" s="218" t="s">
        <v>132</v>
      </c>
      <c r="C12" s="217">
        <f t="shared" ref="C12:C33" si="5">D12+E12</f>
        <v>0</v>
      </c>
      <c r="D12" s="217"/>
      <c r="E12" s="217"/>
      <c r="F12" s="217">
        <f t="shared" ref="F12:F34" si="6">G12+H12</f>
        <v>0</v>
      </c>
      <c r="G12" s="217"/>
      <c r="H12" s="217"/>
      <c r="I12" s="227"/>
      <c r="J12" s="227"/>
      <c r="K12" s="227"/>
    </row>
    <row r="13" spans="1:11" ht="31.5" hidden="1" customHeight="1">
      <c r="A13" s="216" t="s">
        <v>13</v>
      </c>
      <c r="B13" s="218" t="s">
        <v>133</v>
      </c>
      <c r="C13" s="217">
        <f t="shared" si="5"/>
        <v>0</v>
      </c>
      <c r="D13" s="217"/>
      <c r="E13" s="217"/>
      <c r="F13" s="217">
        <f t="shared" si="6"/>
        <v>0</v>
      </c>
      <c r="G13" s="217"/>
      <c r="H13" s="217"/>
      <c r="I13" s="227"/>
      <c r="J13" s="227"/>
      <c r="K13" s="227"/>
    </row>
    <row r="14" spans="1:11" ht="15.75" hidden="1" customHeight="1">
      <c r="A14" s="216" t="s">
        <v>13</v>
      </c>
      <c r="B14" s="218" t="s">
        <v>134</v>
      </c>
      <c r="C14" s="217">
        <f t="shared" si="5"/>
        <v>0</v>
      </c>
      <c r="D14" s="217"/>
      <c r="E14" s="217"/>
      <c r="F14" s="217">
        <f t="shared" si="6"/>
        <v>0</v>
      </c>
      <c r="G14" s="217"/>
      <c r="H14" s="217"/>
      <c r="I14" s="227"/>
      <c r="J14" s="227"/>
      <c r="K14" s="227"/>
    </row>
    <row r="15" spans="1:11" ht="15.75" hidden="1" customHeight="1">
      <c r="A15" s="216"/>
      <c r="B15" s="218" t="s">
        <v>135</v>
      </c>
      <c r="C15" s="217">
        <f t="shared" si="5"/>
        <v>0</v>
      </c>
      <c r="D15" s="217"/>
      <c r="E15" s="217"/>
      <c r="F15" s="217">
        <f t="shared" si="6"/>
        <v>0</v>
      </c>
      <c r="G15" s="217"/>
      <c r="H15" s="217"/>
      <c r="I15" s="227"/>
      <c r="J15" s="227"/>
      <c r="K15" s="227"/>
    </row>
    <row r="16" spans="1:11" ht="31.5" hidden="1" customHeight="1">
      <c r="A16" s="216" t="s">
        <v>13</v>
      </c>
      <c r="B16" s="218" t="s">
        <v>136</v>
      </c>
      <c r="C16" s="217">
        <f t="shared" si="5"/>
        <v>0</v>
      </c>
      <c r="D16" s="217"/>
      <c r="E16" s="217"/>
      <c r="F16" s="217">
        <f t="shared" si="6"/>
        <v>0</v>
      </c>
      <c r="G16" s="217"/>
      <c r="H16" s="217"/>
      <c r="I16" s="227"/>
      <c r="J16" s="227"/>
      <c r="K16" s="227"/>
    </row>
    <row r="17" spans="1:11" ht="31.5" hidden="1" customHeight="1">
      <c r="A17" s="216" t="s">
        <v>13</v>
      </c>
      <c r="B17" s="218" t="s">
        <v>178</v>
      </c>
      <c r="C17" s="217">
        <f t="shared" si="5"/>
        <v>0</v>
      </c>
      <c r="D17" s="217"/>
      <c r="E17" s="217"/>
      <c r="F17" s="217">
        <f t="shared" si="6"/>
        <v>0</v>
      </c>
      <c r="G17" s="217"/>
      <c r="H17" s="217"/>
      <c r="I17" s="227"/>
      <c r="J17" s="227"/>
      <c r="K17" s="227"/>
    </row>
    <row r="18" spans="1:11" ht="94.5">
      <c r="A18" s="216">
        <v>2</v>
      </c>
      <c r="B18" s="217" t="s">
        <v>138</v>
      </c>
      <c r="C18" s="217">
        <f t="shared" si="5"/>
        <v>0</v>
      </c>
      <c r="D18" s="217">
        <f>'[1]52'!C26</f>
        <v>0</v>
      </c>
      <c r="E18" s="217"/>
      <c r="F18" s="217">
        <f t="shared" si="6"/>
        <v>0</v>
      </c>
      <c r="G18" s="217"/>
      <c r="H18" s="217"/>
      <c r="I18" s="227"/>
      <c r="J18" s="227"/>
      <c r="K18" s="227"/>
    </row>
    <row r="19" spans="1:11">
      <c r="A19" s="216">
        <v>3</v>
      </c>
      <c r="B19" s="217" t="s">
        <v>139</v>
      </c>
      <c r="C19" s="217">
        <f t="shared" si="5"/>
        <v>25000</v>
      </c>
      <c r="D19" s="217">
        <f>'[1]52'!C27</f>
        <v>2260</v>
      </c>
      <c r="E19" s="217">
        <f>(250000-22600)*0.1</f>
        <v>22740</v>
      </c>
      <c r="F19" s="217">
        <f t="shared" si="6"/>
        <v>33688</v>
      </c>
      <c r="G19" s="217">
        <f>'[1]52'!D27</f>
        <v>128</v>
      </c>
      <c r="H19" s="217">
        <f>33688-128</f>
        <v>33560</v>
      </c>
      <c r="I19" s="227">
        <f t="shared" si="3"/>
        <v>134.75200000000001</v>
      </c>
      <c r="J19" s="227">
        <f t="shared" si="1"/>
        <v>5.663716814159292</v>
      </c>
      <c r="K19" s="227">
        <f t="shared" si="1"/>
        <v>147.58135444151276</v>
      </c>
    </row>
    <row r="20" spans="1:11">
      <c r="A20" s="214" t="s">
        <v>16</v>
      </c>
      <c r="B20" s="215" t="s">
        <v>29</v>
      </c>
      <c r="C20" s="217">
        <f t="shared" si="5"/>
        <v>6229273</v>
      </c>
      <c r="D20" s="217">
        <f>'[1]52'!C28</f>
        <v>1873892</v>
      </c>
      <c r="E20" s="217">
        <v>4355381</v>
      </c>
      <c r="F20" s="217">
        <f t="shared" si="6"/>
        <v>6810687</v>
      </c>
      <c r="G20" s="217">
        <f>'[1]52'!D28</f>
        <v>2076324</v>
      </c>
      <c r="H20" s="217">
        <f>3856726+877637</f>
        <v>4734363</v>
      </c>
      <c r="I20" s="227">
        <f t="shared" si="3"/>
        <v>109.3335771285028</v>
      </c>
      <c r="J20" s="227">
        <f t="shared" si="1"/>
        <v>110.80275704256168</v>
      </c>
      <c r="K20" s="227">
        <f t="shared" si="1"/>
        <v>108.70146607151017</v>
      </c>
    </row>
    <row r="21" spans="1:11">
      <c r="A21" s="216"/>
      <c r="B21" s="218" t="s">
        <v>140</v>
      </c>
      <c r="C21" s="217">
        <f t="shared" si="5"/>
        <v>0</v>
      </c>
      <c r="D21" s="217"/>
      <c r="E21" s="217"/>
      <c r="F21" s="217">
        <f t="shared" si="6"/>
        <v>0</v>
      </c>
      <c r="G21" s="217"/>
      <c r="H21" s="217"/>
      <c r="I21" s="227"/>
      <c r="J21" s="227"/>
      <c r="K21" s="227"/>
    </row>
    <row r="22" spans="1:11" ht="31.5">
      <c r="A22" s="225">
        <v>1</v>
      </c>
      <c r="B22" s="218" t="s">
        <v>133</v>
      </c>
      <c r="C22" s="218">
        <f t="shared" si="5"/>
        <v>2702028</v>
      </c>
      <c r="D22" s="218">
        <f>'[1]52'!C29</f>
        <v>514268</v>
      </c>
      <c r="E22" s="218">
        <v>2187760</v>
      </c>
      <c r="F22" s="218">
        <f t="shared" si="6"/>
        <v>2726391</v>
      </c>
      <c r="G22" s="218">
        <f>'[1]52'!D29</f>
        <v>563092</v>
      </c>
      <c r="H22" s="218">
        <f>2156845+6454</f>
        <v>2163299</v>
      </c>
      <c r="I22" s="231">
        <f t="shared" si="3"/>
        <v>100.90165608942615</v>
      </c>
      <c r="J22" s="231">
        <f t="shared" si="1"/>
        <v>109.49388256706621</v>
      </c>
      <c r="K22" s="231">
        <f t="shared" si="1"/>
        <v>98.881915749442356</v>
      </c>
    </row>
    <row r="23" spans="1:11">
      <c r="A23" s="225">
        <v>2</v>
      </c>
      <c r="B23" s="218" t="s">
        <v>134</v>
      </c>
      <c r="C23" s="218">
        <f t="shared" si="5"/>
        <v>31133</v>
      </c>
      <c r="D23" s="218">
        <f>'[1]52'!C30</f>
        <v>30813</v>
      </c>
      <c r="E23" s="218">
        <v>320</v>
      </c>
      <c r="F23" s="218">
        <f t="shared" si="6"/>
        <v>15553</v>
      </c>
      <c r="G23" s="218">
        <f>'[1]52'!D30</f>
        <v>15400</v>
      </c>
      <c r="H23" s="218">
        <v>153</v>
      </c>
      <c r="I23" s="231">
        <f t="shared" si="3"/>
        <v>49.956637651366712</v>
      </c>
      <c r="J23" s="231">
        <f t="shared" si="1"/>
        <v>49.978905007626651</v>
      </c>
      <c r="K23" s="231"/>
    </row>
    <row r="24" spans="1:11" ht="31.5">
      <c r="A24" s="214" t="s">
        <v>20</v>
      </c>
      <c r="B24" s="215" t="s">
        <v>30</v>
      </c>
      <c r="C24" s="215">
        <f t="shared" si="5"/>
        <v>0</v>
      </c>
      <c r="D24" s="215">
        <f>'[1]52'!C42</f>
        <v>0</v>
      </c>
      <c r="E24" s="215"/>
      <c r="F24" s="215">
        <f t="shared" si="6"/>
        <v>145</v>
      </c>
      <c r="G24" s="215">
        <v>145</v>
      </c>
      <c r="H24" s="215"/>
      <c r="I24" s="226"/>
      <c r="J24" s="226"/>
      <c r="K24" s="226"/>
    </row>
    <row r="25" spans="1:11">
      <c r="A25" s="214" t="s">
        <v>22</v>
      </c>
      <c r="B25" s="215" t="s">
        <v>31</v>
      </c>
      <c r="C25" s="215">
        <f t="shared" si="5"/>
        <v>1000</v>
      </c>
      <c r="D25" s="215">
        <f>'[1]52'!C43</f>
        <v>1000</v>
      </c>
      <c r="E25" s="215"/>
      <c r="F25" s="215">
        <f t="shared" si="6"/>
        <v>1000</v>
      </c>
      <c r="G25" s="215">
        <f>'[1]52'!D43</f>
        <v>1000</v>
      </c>
      <c r="H25" s="215"/>
      <c r="I25" s="226">
        <f t="shared" si="3"/>
        <v>100</v>
      </c>
      <c r="J25" s="226">
        <f t="shared" si="3"/>
        <v>100</v>
      </c>
      <c r="K25" s="226"/>
    </row>
    <row r="26" spans="1:11">
      <c r="A26" s="214" t="s">
        <v>24</v>
      </c>
      <c r="B26" s="215" t="s">
        <v>32</v>
      </c>
      <c r="C26" s="215">
        <f t="shared" si="5"/>
        <v>179870</v>
      </c>
      <c r="D26" s="215">
        <f>'[1]52'!C44</f>
        <v>85858</v>
      </c>
      <c r="E26" s="215">
        <v>94012</v>
      </c>
      <c r="F26" s="215">
        <f t="shared" si="6"/>
        <v>0</v>
      </c>
      <c r="G26" s="215"/>
      <c r="H26" s="215"/>
      <c r="I26" s="226">
        <f t="shared" si="3"/>
        <v>0</v>
      </c>
      <c r="J26" s="226">
        <f t="shared" si="3"/>
        <v>0</v>
      </c>
      <c r="K26" s="226">
        <f t="shared" si="3"/>
        <v>0</v>
      </c>
    </row>
    <row r="27" spans="1:11" ht="31.5">
      <c r="A27" s="214" t="s">
        <v>141</v>
      </c>
      <c r="B27" s="215" t="s">
        <v>33</v>
      </c>
      <c r="C27" s="215">
        <f t="shared" si="5"/>
        <v>241534</v>
      </c>
      <c r="D27" s="215">
        <f>'[1]52'!C45</f>
        <v>211631</v>
      </c>
      <c r="E27" s="215">
        <v>29903</v>
      </c>
      <c r="F27" s="215">
        <f t="shared" si="6"/>
        <v>0</v>
      </c>
      <c r="G27" s="215"/>
      <c r="H27" s="215"/>
      <c r="I27" s="226"/>
      <c r="J27" s="226"/>
      <c r="K27" s="226"/>
    </row>
    <row r="28" spans="1:11" ht="31.5">
      <c r="A28" s="214" t="s">
        <v>8</v>
      </c>
      <c r="B28" s="215" t="s">
        <v>143</v>
      </c>
      <c r="C28" s="215">
        <f t="shared" si="5"/>
        <v>168084</v>
      </c>
      <c r="D28" s="215">
        <f>'[1]52'!C46</f>
        <v>91334</v>
      </c>
      <c r="E28" s="215">
        <f>76750</f>
        <v>76750</v>
      </c>
      <c r="F28" s="215">
        <f t="shared" si="6"/>
        <v>0</v>
      </c>
      <c r="G28" s="215"/>
      <c r="H28" s="215"/>
      <c r="I28" s="226"/>
      <c r="J28" s="226"/>
      <c r="K28" s="226"/>
    </row>
    <row r="29" spans="1:11" ht="31.5" hidden="1" customHeight="1">
      <c r="A29" s="214" t="s">
        <v>11</v>
      </c>
      <c r="B29" s="215" t="s">
        <v>35</v>
      </c>
      <c r="C29" s="215">
        <f t="shared" si="5"/>
        <v>0</v>
      </c>
      <c r="D29" s="215"/>
      <c r="E29" s="215"/>
      <c r="F29" s="215">
        <f t="shared" si="6"/>
        <v>0</v>
      </c>
      <c r="G29" s="215"/>
      <c r="H29" s="215"/>
      <c r="I29" s="226"/>
      <c r="J29" s="226"/>
      <c r="K29" s="226"/>
    </row>
    <row r="30" spans="1:11" ht="31.5" hidden="1" customHeight="1">
      <c r="A30" s="216"/>
      <c r="B30" s="217" t="s">
        <v>144</v>
      </c>
      <c r="C30" s="217">
        <f t="shared" si="5"/>
        <v>0</v>
      </c>
      <c r="D30" s="217"/>
      <c r="E30" s="217"/>
      <c r="F30" s="217">
        <f t="shared" si="6"/>
        <v>0</v>
      </c>
      <c r="G30" s="217"/>
      <c r="H30" s="217"/>
      <c r="I30" s="227"/>
      <c r="J30" s="227"/>
      <c r="K30" s="227"/>
    </row>
    <row r="31" spans="1:11" ht="31.5" hidden="1" customHeight="1">
      <c r="A31" s="214" t="s">
        <v>16</v>
      </c>
      <c r="B31" s="215" t="s">
        <v>36</v>
      </c>
      <c r="C31" s="217">
        <f t="shared" si="5"/>
        <v>0</v>
      </c>
      <c r="D31" s="217"/>
      <c r="E31" s="217"/>
      <c r="F31" s="217">
        <f t="shared" si="6"/>
        <v>0</v>
      </c>
      <c r="G31" s="217"/>
      <c r="H31" s="217"/>
      <c r="I31" s="227"/>
      <c r="J31" s="227"/>
      <c r="K31" s="227"/>
    </row>
    <row r="32" spans="1:11" ht="31.5" hidden="1" customHeight="1">
      <c r="A32" s="216"/>
      <c r="B32" s="217" t="s">
        <v>145</v>
      </c>
      <c r="C32" s="217">
        <f t="shared" si="5"/>
        <v>0</v>
      </c>
      <c r="D32" s="217"/>
      <c r="E32" s="217"/>
      <c r="F32" s="217">
        <f t="shared" si="6"/>
        <v>0</v>
      </c>
      <c r="G32" s="217"/>
      <c r="H32" s="217"/>
      <c r="I32" s="227"/>
      <c r="J32" s="227"/>
      <c r="K32" s="227"/>
    </row>
    <row r="33" spans="1:11" ht="31.5">
      <c r="A33" s="214" t="s">
        <v>38</v>
      </c>
      <c r="B33" s="215" t="s">
        <v>167</v>
      </c>
      <c r="C33" s="217">
        <f t="shared" si="5"/>
        <v>0</v>
      </c>
      <c r="D33" s="217"/>
      <c r="E33" s="217"/>
      <c r="F33" s="215">
        <f t="shared" si="6"/>
        <v>2783761</v>
      </c>
      <c r="G33" s="215">
        <f>'[1]52'!E47</f>
        <v>2304846</v>
      </c>
      <c r="H33" s="215">
        <f>379197+99718</f>
        <v>478915</v>
      </c>
      <c r="I33" s="227"/>
      <c r="J33" s="227"/>
      <c r="K33" s="227"/>
    </row>
    <row r="34" spans="1:11" ht="32.25" customHeight="1">
      <c r="A34" s="219" t="s">
        <v>39</v>
      </c>
      <c r="B34" s="220" t="s">
        <v>359</v>
      </c>
      <c r="C34" s="229"/>
      <c r="D34" s="229"/>
      <c r="E34" s="229"/>
      <c r="F34" s="220">
        <f t="shared" si="6"/>
        <v>15257</v>
      </c>
      <c r="G34" s="220">
        <f>'[1]52'!E48</f>
        <v>15257</v>
      </c>
      <c r="H34" s="257"/>
      <c r="I34" s="230"/>
      <c r="J34" s="230"/>
      <c r="K34" s="230"/>
    </row>
    <row r="35" spans="1:11" ht="31.5" hidden="1" customHeight="1">
      <c r="A35" s="342" t="s">
        <v>272</v>
      </c>
      <c r="B35" s="342"/>
      <c r="C35" s="342"/>
      <c r="D35" s="342"/>
      <c r="E35" s="342"/>
      <c r="F35" s="342"/>
      <c r="G35" s="342"/>
      <c r="H35" s="342"/>
      <c r="I35" s="342"/>
      <c r="J35" s="342"/>
      <c r="K35" s="342"/>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3" sqref="A3:H3"/>
    </sheetView>
  </sheetViews>
  <sheetFormatPr defaultRowHeight="15.75"/>
  <cols>
    <col min="1" max="1" width="9.140625" style="43"/>
    <col min="2" max="2" width="35.42578125" style="43" customWidth="1"/>
    <col min="3" max="4" width="12.140625" style="53" customWidth="1"/>
    <col min="5" max="5" width="12.140625" style="311" hidden="1" customWidth="1"/>
    <col min="6" max="6" width="11" style="43" customWidth="1"/>
    <col min="7" max="16384" width="9.140625" style="43"/>
  </cols>
  <sheetData>
    <row r="1" spans="1:6" ht="22.5" customHeight="1">
      <c r="A1" s="340" t="str">
        <f>'62'!chuong_phuluc_48</f>
        <v>ỦY BAN NHÂN DÂN TỈNH TIỀN GIANG</v>
      </c>
      <c r="B1" s="340"/>
      <c r="D1" s="333" t="s">
        <v>1410</v>
      </c>
      <c r="E1" s="333"/>
      <c r="F1" s="333"/>
    </row>
    <row r="2" spans="1:6">
      <c r="A2" s="340" t="s">
        <v>1421</v>
      </c>
      <c r="B2" s="340"/>
      <c r="C2" s="340"/>
      <c r="D2" s="340"/>
      <c r="E2" s="340"/>
      <c r="F2" s="340"/>
    </row>
    <row r="3" spans="1:6">
      <c r="A3" s="344" t="str">
        <f>'62'!A3:F3</f>
        <v>(Kèm theo Quyết định số ………../QĐ-UBND ngày    /01/2020 của Ủy ban nhân dân tỉnh Tiền Giang)</v>
      </c>
      <c r="B3" s="344"/>
      <c r="C3" s="344"/>
      <c r="D3" s="344"/>
      <c r="E3" s="344"/>
      <c r="F3" s="344"/>
    </row>
    <row r="4" spans="1:6" ht="15.75" customHeight="1">
      <c r="A4" s="44"/>
      <c r="D4" s="341" t="s">
        <v>1</v>
      </c>
      <c r="E4" s="341"/>
      <c r="F4" s="341"/>
    </row>
    <row r="5" spans="1:6" ht="15.75" customHeight="1">
      <c r="A5" s="330" t="s">
        <v>2</v>
      </c>
      <c r="B5" s="330" t="s">
        <v>52</v>
      </c>
      <c r="C5" s="330" t="s">
        <v>3</v>
      </c>
      <c r="D5" s="330" t="s">
        <v>4</v>
      </c>
      <c r="E5" s="330" t="s">
        <v>5</v>
      </c>
      <c r="F5" s="330"/>
    </row>
    <row r="6" spans="1:6" ht="31.5">
      <c r="A6" s="330"/>
      <c r="B6" s="330"/>
      <c r="C6" s="330"/>
      <c r="D6" s="330"/>
      <c r="E6" s="312" t="s">
        <v>6</v>
      </c>
      <c r="F6" s="312" t="s">
        <v>1414</v>
      </c>
    </row>
    <row r="7" spans="1:6">
      <c r="A7" s="302" t="s">
        <v>7</v>
      </c>
      <c r="B7" s="302" t="s">
        <v>8</v>
      </c>
      <c r="C7" s="302">
        <v>1</v>
      </c>
      <c r="D7" s="302">
        <v>2</v>
      </c>
      <c r="E7" s="302" t="s">
        <v>9</v>
      </c>
      <c r="F7" s="302" t="s">
        <v>128</v>
      </c>
    </row>
    <row r="8" spans="1:6" s="46" customFormat="1">
      <c r="A8" s="318"/>
      <c r="B8" s="262" t="s">
        <v>26</v>
      </c>
      <c r="C8" s="319">
        <f>C9+C10+C47+C48</f>
        <v>8256880</v>
      </c>
      <c r="D8" s="319">
        <f>D9+D10+D47+D48</f>
        <v>9765358</v>
      </c>
      <c r="E8" s="319">
        <f>D8-C8</f>
        <v>1508478</v>
      </c>
      <c r="F8" s="320">
        <f>D8/C8*100</f>
        <v>118.26934629060857</v>
      </c>
    </row>
    <row r="9" spans="1:6" s="46" customFormat="1" ht="31.5">
      <c r="A9" s="264" t="s">
        <v>7</v>
      </c>
      <c r="B9" s="265" t="s">
        <v>1422</v>
      </c>
      <c r="C9" s="321">
        <v>3089500</v>
      </c>
      <c r="D9" s="321">
        <f>'[1]59'!L10</f>
        <v>3121630</v>
      </c>
      <c r="E9" s="321">
        <f t="shared" ref="E9:E48" si="0">D9-C9</f>
        <v>32130</v>
      </c>
      <c r="F9" s="322">
        <f t="shared" ref="F9:F45" si="1">D9/C9*100</f>
        <v>101.03997410584238</v>
      </c>
    </row>
    <row r="10" spans="1:6" s="46" customFormat="1" ht="31.5">
      <c r="A10" s="264" t="s">
        <v>8</v>
      </c>
      <c r="B10" s="265" t="s">
        <v>360</v>
      </c>
      <c r="C10" s="321">
        <f>C11+C28+C42+C43+C44+C45+C46</f>
        <v>5167380</v>
      </c>
      <c r="D10" s="321">
        <f>D11+D28+D42+D43+D44+D45</f>
        <v>4323625</v>
      </c>
      <c r="E10" s="321">
        <f t="shared" si="0"/>
        <v>-843755</v>
      </c>
      <c r="F10" s="322">
        <f t="shared" si="1"/>
        <v>83.671512449248937</v>
      </c>
    </row>
    <row r="11" spans="1:6">
      <c r="A11" s="264" t="s">
        <v>11</v>
      </c>
      <c r="B11" s="265" t="s">
        <v>28</v>
      </c>
      <c r="C11" s="321">
        <f>C12+C26+C27</f>
        <v>2903665</v>
      </c>
      <c r="D11" s="321">
        <f t="shared" ref="D11" si="2">D12+D26+D27</f>
        <v>2246041</v>
      </c>
      <c r="E11" s="321">
        <f t="shared" si="0"/>
        <v>-657624</v>
      </c>
      <c r="F11" s="322">
        <f t="shared" si="1"/>
        <v>77.35193281594124</v>
      </c>
    </row>
    <row r="12" spans="1:6">
      <c r="A12" s="323">
        <v>1</v>
      </c>
      <c r="B12" s="249" t="s">
        <v>147</v>
      </c>
      <c r="C12" s="324">
        <f>2903665-2260</f>
        <v>2901405</v>
      </c>
      <c r="D12" s="324">
        <v>2245913</v>
      </c>
      <c r="E12" s="324">
        <f t="shared" si="0"/>
        <v>-655492</v>
      </c>
      <c r="F12" s="325">
        <f t="shared" si="1"/>
        <v>77.407773130603957</v>
      </c>
    </row>
    <row r="13" spans="1:6" ht="15.75" hidden="1" customHeight="1">
      <c r="A13" s="323" t="s">
        <v>13</v>
      </c>
      <c r="B13" s="249" t="s">
        <v>133</v>
      </c>
      <c r="C13" s="324"/>
      <c r="D13" s="324"/>
      <c r="E13" s="324">
        <f t="shared" si="0"/>
        <v>0</v>
      </c>
      <c r="F13" s="322"/>
    </row>
    <row r="14" spans="1:6" ht="15.75" hidden="1" customHeight="1">
      <c r="A14" s="323" t="s">
        <v>13</v>
      </c>
      <c r="B14" s="249" t="s">
        <v>134</v>
      </c>
      <c r="C14" s="324"/>
      <c r="D14" s="324"/>
      <c r="E14" s="324">
        <f t="shared" si="0"/>
        <v>0</v>
      </c>
      <c r="F14" s="322"/>
    </row>
    <row r="15" spans="1:6" ht="15.75" hidden="1" customHeight="1">
      <c r="A15" s="323" t="s">
        <v>13</v>
      </c>
      <c r="B15" s="249" t="s">
        <v>148</v>
      </c>
      <c r="C15" s="324"/>
      <c r="D15" s="324"/>
      <c r="E15" s="324">
        <f t="shared" si="0"/>
        <v>0</v>
      </c>
      <c r="F15" s="322"/>
    </row>
    <row r="16" spans="1:6" ht="15.75" hidden="1" customHeight="1">
      <c r="A16" s="323" t="s">
        <v>13</v>
      </c>
      <c r="B16" s="249" t="s">
        <v>149</v>
      </c>
      <c r="C16" s="324"/>
      <c r="D16" s="324"/>
      <c r="E16" s="324">
        <f t="shared" si="0"/>
        <v>0</v>
      </c>
      <c r="F16" s="322"/>
    </row>
    <row r="17" spans="1:6" ht="15.75" hidden="1" customHeight="1">
      <c r="A17" s="323" t="s">
        <v>13</v>
      </c>
      <c r="B17" s="249" t="s">
        <v>150</v>
      </c>
      <c r="C17" s="324"/>
      <c r="D17" s="324"/>
      <c r="E17" s="324">
        <f t="shared" si="0"/>
        <v>0</v>
      </c>
      <c r="F17" s="322"/>
    </row>
    <row r="18" spans="1:6" ht="15.75" hidden="1" customHeight="1">
      <c r="A18" s="323" t="s">
        <v>13</v>
      </c>
      <c r="B18" s="249" t="s">
        <v>151</v>
      </c>
      <c r="C18" s="324"/>
      <c r="D18" s="324"/>
      <c r="E18" s="324">
        <f t="shared" si="0"/>
        <v>0</v>
      </c>
      <c r="F18" s="322"/>
    </row>
    <row r="19" spans="1:6" ht="15.75" hidden="1" customHeight="1">
      <c r="A19" s="323" t="s">
        <v>13</v>
      </c>
      <c r="B19" s="249" t="s">
        <v>152</v>
      </c>
      <c r="C19" s="324"/>
      <c r="D19" s="324"/>
      <c r="E19" s="324">
        <f t="shared" si="0"/>
        <v>0</v>
      </c>
      <c r="F19" s="322"/>
    </row>
    <row r="20" spans="1:6" ht="15.75" hidden="1" customHeight="1">
      <c r="A20" s="323" t="s">
        <v>13</v>
      </c>
      <c r="B20" s="249" t="s">
        <v>153</v>
      </c>
      <c r="C20" s="324"/>
      <c r="D20" s="324"/>
      <c r="E20" s="324">
        <f t="shared" si="0"/>
        <v>0</v>
      </c>
      <c r="F20" s="322"/>
    </row>
    <row r="21" spans="1:6" ht="15.75" hidden="1" customHeight="1">
      <c r="A21" s="323" t="s">
        <v>13</v>
      </c>
      <c r="B21" s="249" t="s">
        <v>154</v>
      </c>
      <c r="C21" s="324"/>
      <c r="D21" s="324"/>
      <c r="E21" s="324">
        <f t="shared" si="0"/>
        <v>0</v>
      </c>
      <c r="F21" s="322"/>
    </row>
    <row r="22" spans="1:6" ht="15.75" hidden="1" customHeight="1">
      <c r="A22" s="323" t="s">
        <v>13</v>
      </c>
      <c r="B22" s="249" t="s">
        <v>155</v>
      </c>
      <c r="C22" s="324"/>
      <c r="D22" s="324"/>
      <c r="E22" s="324">
        <f t="shared" si="0"/>
        <v>0</v>
      </c>
      <c r="F22" s="322"/>
    </row>
    <row r="23" spans="1:6" ht="31.5" hidden="1" customHeight="1">
      <c r="A23" s="323" t="s">
        <v>13</v>
      </c>
      <c r="B23" s="249" t="s">
        <v>156</v>
      </c>
      <c r="C23" s="324"/>
      <c r="D23" s="324"/>
      <c r="E23" s="324">
        <f t="shared" si="0"/>
        <v>0</v>
      </c>
      <c r="F23" s="322"/>
    </row>
    <row r="24" spans="1:6" ht="15.75" hidden="1" customHeight="1">
      <c r="A24" s="323" t="s">
        <v>13</v>
      </c>
      <c r="B24" s="249" t="s">
        <v>157</v>
      </c>
      <c r="C24" s="324"/>
      <c r="D24" s="324"/>
      <c r="E24" s="324">
        <f t="shared" si="0"/>
        <v>0</v>
      </c>
      <c r="F24" s="322"/>
    </row>
    <row r="25" spans="1:6" ht="15.75" hidden="1" customHeight="1">
      <c r="A25" s="323" t="s">
        <v>13</v>
      </c>
      <c r="B25" s="249" t="s">
        <v>158</v>
      </c>
      <c r="C25" s="324"/>
      <c r="D25" s="324"/>
      <c r="E25" s="324">
        <f t="shared" si="0"/>
        <v>0</v>
      </c>
      <c r="F25" s="322"/>
    </row>
    <row r="26" spans="1:6" ht="94.5">
      <c r="A26" s="323">
        <v>2</v>
      </c>
      <c r="B26" s="249" t="s">
        <v>159</v>
      </c>
      <c r="C26" s="324"/>
      <c r="D26" s="324"/>
      <c r="E26" s="324">
        <f t="shared" si="0"/>
        <v>0</v>
      </c>
      <c r="F26" s="322"/>
    </row>
    <row r="27" spans="1:6">
      <c r="A27" s="323">
        <v>3</v>
      </c>
      <c r="B27" s="249" t="s">
        <v>139</v>
      </c>
      <c r="C27" s="324">
        <f>22600*0.1</f>
        <v>2260</v>
      </c>
      <c r="D27" s="324">
        <v>128</v>
      </c>
      <c r="E27" s="324">
        <f t="shared" si="0"/>
        <v>-2132</v>
      </c>
      <c r="F27" s="325">
        <f t="shared" si="1"/>
        <v>5.663716814159292</v>
      </c>
    </row>
    <row r="28" spans="1:6" s="46" customFormat="1">
      <c r="A28" s="264" t="s">
        <v>16</v>
      </c>
      <c r="B28" s="265" t="s">
        <v>29</v>
      </c>
      <c r="C28" s="321">
        <f>SUM(C29:C41)</f>
        <v>1873892</v>
      </c>
      <c r="D28" s="321">
        <f t="shared" ref="D28" si="3">SUM(D29:D41)</f>
        <v>2076324</v>
      </c>
      <c r="E28" s="321">
        <f t="shared" si="0"/>
        <v>202432</v>
      </c>
      <c r="F28" s="322">
        <f t="shared" si="1"/>
        <v>110.80275704256168</v>
      </c>
    </row>
    <row r="29" spans="1:6">
      <c r="A29" s="323" t="s">
        <v>13</v>
      </c>
      <c r="B29" s="249" t="s">
        <v>133</v>
      </c>
      <c r="C29" s="324">
        <v>514268</v>
      </c>
      <c r="D29" s="324">
        <v>563092</v>
      </c>
      <c r="E29" s="324">
        <f t="shared" si="0"/>
        <v>48824</v>
      </c>
      <c r="F29" s="325">
        <f t="shared" si="1"/>
        <v>109.49388256706621</v>
      </c>
    </row>
    <row r="30" spans="1:6">
      <c r="A30" s="323" t="s">
        <v>13</v>
      </c>
      <c r="B30" s="249" t="s">
        <v>160</v>
      </c>
      <c r="C30" s="324">
        <v>30813</v>
      </c>
      <c r="D30" s="324">
        <v>15400</v>
      </c>
      <c r="E30" s="324">
        <f t="shared" si="0"/>
        <v>-15413</v>
      </c>
      <c r="F30" s="325">
        <f t="shared" si="1"/>
        <v>49.978905007626651</v>
      </c>
    </row>
    <row r="31" spans="1:6">
      <c r="A31" s="323" t="s">
        <v>13</v>
      </c>
      <c r="B31" s="249" t="s">
        <v>148</v>
      </c>
      <c r="C31" s="324">
        <v>55379</v>
      </c>
      <c r="D31" s="324">
        <v>71638</v>
      </c>
      <c r="E31" s="324">
        <f t="shared" si="0"/>
        <v>16259</v>
      </c>
      <c r="F31" s="325">
        <f t="shared" si="1"/>
        <v>129.35950450531791</v>
      </c>
    </row>
    <row r="32" spans="1:6">
      <c r="A32" s="323" t="s">
        <v>13</v>
      </c>
      <c r="B32" s="249" t="s">
        <v>149</v>
      </c>
      <c r="C32" s="324">
        <v>21346</v>
      </c>
      <c r="D32" s="324">
        <v>46870</v>
      </c>
      <c r="E32" s="324">
        <f t="shared" si="0"/>
        <v>25524</v>
      </c>
      <c r="F32" s="325">
        <f t="shared" si="1"/>
        <v>219.57275367750398</v>
      </c>
    </row>
    <row r="33" spans="1:6">
      <c r="A33" s="323" t="s">
        <v>13</v>
      </c>
      <c r="B33" s="249" t="s">
        <v>161</v>
      </c>
      <c r="C33" s="324">
        <v>195548</v>
      </c>
      <c r="D33" s="324">
        <v>527221</v>
      </c>
      <c r="E33" s="324">
        <f t="shared" si="0"/>
        <v>331673</v>
      </c>
      <c r="F33" s="325">
        <f t="shared" si="1"/>
        <v>269.61206455703973</v>
      </c>
    </row>
    <row r="34" spans="1:6">
      <c r="A34" s="323" t="s">
        <v>13</v>
      </c>
      <c r="B34" s="249" t="s">
        <v>151</v>
      </c>
      <c r="C34" s="324">
        <v>23764</v>
      </c>
      <c r="D34" s="324">
        <v>22819</v>
      </c>
      <c r="E34" s="324">
        <f t="shared" si="0"/>
        <v>-945</v>
      </c>
      <c r="F34" s="325">
        <f t="shared" si="1"/>
        <v>96.023396734556471</v>
      </c>
    </row>
    <row r="35" spans="1:6">
      <c r="A35" s="323" t="s">
        <v>13</v>
      </c>
      <c r="B35" s="249" t="s">
        <v>152</v>
      </c>
      <c r="C35" s="324">
        <v>7816</v>
      </c>
      <c r="D35" s="324">
        <v>7287</v>
      </c>
      <c r="E35" s="324">
        <f t="shared" si="0"/>
        <v>-529</v>
      </c>
      <c r="F35" s="325">
        <f t="shared" si="1"/>
        <v>93.231832139201643</v>
      </c>
    </row>
    <row r="36" spans="1:6">
      <c r="A36" s="323" t="s">
        <v>13</v>
      </c>
      <c r="B36" s="249" t="s">
        <v>162</v>
      </c>
      <c r="C36" s="324">
        <v>20898</v>
      </c>
      <c r="D36" s="324">
        <v>23562</v>
      </c>
      <c r="E36" s="324">
        <f t="shared" si="0"/>
        <v>2664</v>
      </c>
      <c r="F36" s="325">
        <f t="shared" si="1"/>
        <v>112.74763135228253</v>
      </c>
    </row>
    <row r="37" spans="1:6">
      <c r="A37" s="323" t="s">
        <v>13</v>
      </c>
      <c r="B37" s="249" t="s">
        <v>154</v>
      </c>
      <c r="C37" s="324">
        <v>20276</v>
      </c>
      <c r="D37" s="324">
        <v>7582</v>
      </c>
      <c r="E37" s="324">
        <f t="shared" si="0"/>
        <v>-12694</v>
      </c>
      <c r="F37" s="325">
        <f t="shared" si="1"/>
        <v>37.393963306372065</v>
      </c>
    </row>
    <row r="38" spans="1:6">
      <c r="A38" s="323" t="s">
        <v>13</v>
      </c>
      <c r="B38" s="249" t="s">
        <v>155</v>
      </c>
      <c r="C38" s="324">
        <v>191241</v>
      </c>
      <c r="D38" s="324">
        <v>340061</v>
      </c>
      <c r="E38" s="324">
        <f t="shared" si="0"/>
        <v>148820</v>
      </c>
      <c r="F38" s="325">
        <f t="shared" si="1"/>
        <v>177.81804111043132</v>
      </c>
    </row>
    <row r="39" spans="1:6" ht="31.5">
      <c r="A39" s="323" t="s">
        <v>13</v>
      </c>
      <c r="B39" s="249" t="s">
        <v>163</v>
      </c>
      <c r="C39" s="324">
        <v>305221</v>
      </c>
      <c r="D39" s="324">
        <v>305886</v>
      </c>
      <c r="E39" s="324">
        <f t="shared" si="0"/>
        <v>665</v>
      </c>
      <c r="F39" s="325">
        <f t="shared" si="1"/>
        <v>100.21787491686351</v>
      </c>
    </row>
    <row r="40" spans="1:6">
      <c r="A40" s="323" t="s">
        <v>13</v>
      </c>
      <c r="B40" s="249" t="s">
        <v>157</v>
      </c>
      <c r="C40" s="324">
        <v>309054</v>
      </c>
      <c r="D40" s="324">
        <v>54780</v>
      </c>
      <c r="E40" s="324">
        <f t="shared" si="0"/>
        <v>-254274</v>
      </c>
      <c r="F40" s="325">
        <f t="shared" si="1"/>
        <v>17.725057756896852</v>
      </c>
    </row>
    <row r="41" spans="1:6">
      <c r="A41" s="323" t="s">
        <v>13</v>
      </c>
      <c r="B41" s="249" t="s">
        <v>164</v>
      </c>
      <c r="C41" s="324">
        <v>178268</v>
      </c>
      <c r="D41" s="324">
        <v>90126</v>
      </c>
      <c r="E41" s="324">
        <f t="shared" si="0"/>
        <v>-88142</v>
      </c>
      <c r="F41" s="325">
        <f t="shared" si="1"/>
        <v>50.556465546256199</v>
      </c>
    </row>
    <row r="42" spans="1:6" ht="31.5">
      <c r="A42" s="264" t="s">
        <v>20</v>
      </c>
      <c r="B42" s="265" t="s">
        <v>165</v>
      </c>
      <c r="C42" s="321"/>
      <c r="D42" s="321">
        <v>260</v>
      </c>
      <c r="E42" s="321">
        <f t="shared" si="0"/>
        <v>260</v>
      </c>
      <c r="F42" s="322"/>
    </row>
    <row r="43" spans="1:6">
      <c r="A43" s="264" t="s">
        <v>22</v>
      </c>
      <c r="B43" s="265" t="s">
        <v>166</v>
      </c>
      <c r="C43" s="321">
        <v>1000</v>
      </c>
      <c r="D43" s="321">
        <v>1000</v>
      </c>
      <c r="E43" s="321">
        <f t="shared" si="0"/>
        <v>0</v>
      </c>
      <c r="F43" s="322">
        <f t="shared" si="1"/>
        <v>100</v>
      </c>
    </row>
    <row r="44" spans="1:6">
      <c r="A44" s="264" t="s">
        <v>24</v>
      </c>
      <c r="B44" s="265" t="s">
        <v>32</v>
      </c>
      <c r="C44" s="321">
        <v>85858</v>
      </c>
      <c r="D44" s="321"/>
      <c r="E44" s="321">
        <f t="shared" si="0"/>
        <v>-85858</v>
      </c>
      <c r="F44" s="322">
        <f t="shared" si="1"/>
        <v>0</v>
      </c>
    </row>
    <row r="45" spans="1:6" ht="31.5">
      <c r="A45" s="264" t="s">
        <v>141</v>
      </c>
      <c r="B45" s="265" t="s">
        <v>33</v>
      </c>
      <c r="C45" s="321">
        <v>211631</v>
      </c>
      <c r="D45" s="324"/>
      <c r="E45" s="321">
        <f t="shared" si="0"/>
        <v>-211631</v>
      </c>
      <c r="F45" s="322">
        <f t="shared" si="1"/>
        <v>0</v>
      </c>
    </row>
    <row r="46" spans="1:6" s="46" customFormat="1">
      <c r="A46" s="264" t="s">
        <v>192</v>
      </c>
      <c r="B46" s="291" t="s">
        <v>34</v>
      </c>
      <c r="C46" s="321">
        <f>47106+35100+9128</f>
        <v>91334</v>
      </c>
      <c r="D46" s="324"/>
      <c r="E46" s="321"/>
      <c r="F46" s="322"/>
    </row>
    <row r="47" spans="1:6" s="46" customFormat="1" ht="31.5">
      <c r="A47" s="264" t="s">
        <v>38</v>
      </c>
      <c r="B47" s="265" t="s">
        <v>167</v>
      </c>
      <c r="C47" s="321"/>
      <c r="D47" s="321">
        <v>2304846</v>
      </c>
      <c r="E47" s="321">
        <f t="shared" si="0"/>
        <v>2304846</v>
      </c>
      <c r="F47" s="322"/>
    </row>
    <row r="48" spans="1:6" ht="15.75" hidden="1" customHeight="1">
      <c r="A48" s="274" t="s">
        <v>39</v>
      </c>
      <c r="B48" s="275" t="s">
        <v>359</v>
      </c>
      <c r="C48" s="257"/>
      <c r="D48" s="257">
        <v>15257</v>
      </c>
      <c r="E48" s="257">
        <f t="shared" si="0"/>
        <v>15257</v>
      </c>
      <c r="F48" s="326"/>
    </row>
    <row r="49" spans="1:6" ht="30" hidden="1" customHeight="1">
      <c r="A49" s="346" t="s">
        <v>168</v>
      </c>
      <c r="B49" s="346"/>
      <c r="C49" s="346"/>
      <c r="D49" s="346"/>
      <c r="E49" s="346"/>
      <c r="F49" s="346"/>
    </row>
    <row r="50" spans="1:6">
      <c r="A50" s="210"/>
    </row>
  </sheetData>
  <mergeCells count="11">
    <mergeCell ref="A2:F2"/>
    <mergeCell ref="A3:F3"/>
    <mergeCell ref="A1:B1"/>
    <mergeCell ref="D4:F4"/>
    <mergeCell ref="D1:F1"/>
    <mergeCell ref="A49:F49"/>
    <mergeCell ref="A5:A6"/>
    <mergeCell ref="B5:B6"/>
    <mergeCell ref="C5:C6"/>
    <mergeCell ref="D5:D6"/>
    <mergeCell ref="E5:F5"/>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C9" activePane="bottomRight" state="frozen"/>
      <selection activeCell="A3" sqref="A3:H3"/>
      <selection pane="topRight" activeCell="A3" sqref="A3:H3"/>
      <selection pane="bottomLeft" activeCell="A3" sqref="A3:H3"/>
      <selection pane="bottomRight" activeCell="A3" sqref="A3:H3"/>
    </sheetView>
  </sheetViews>
  <sheetFormatPr defaultRowHeight="15.75"/>
  <cols>
    <col min="1" max="1" width="5.5703125" style="256" customWidth="1"/>
    <col min="2" max="2" width="27.140625" style="258" customWidth="1"/>
    <col min="3" max="3" width="12.140625" style="256" customWidth="1"/>
    <col min="4" max="4" width="11" style="256" customWidth="1"/>
    <col min="5" max="5" width="10" style="256" customWidth="1"/>
    <col min="6" max="6" width="9.140625" style="256"/>
    <col min="7" max="7" width="8.42578125" style="256" customWidth="1"/>
    <col min="8" max="8" width="10.140625" style="256" customWidth="1"/>
    <col min="9" max="10" width="9.140625" style="256"/>
    <col min="11" max="11" width="8.140625" style="256" customWidth="1"/>
    <col min="12" max="12" width="12.140625" style="256" customWidth="1"/>
    <col min="13" max="13" width="10.140625" style="256" bestFit="1" customWidth="1"/>
    <col min="14" max="14" width="12.85546875" style="256" customWidth="1"/>
    <col min="15" max="15" width="9.140625" style="256"/>
    <col min="16" max="16" width="8" style="256" customWidth="1"/>
    <col min="17" max="17" width="10.140625" style="256" bestFit="1" customWidth="1"/>
    <col min="18" max="18" width="9.140625" style="256"/>
    <col min="19" max="19" width="8.140625" style="256" customWidth="1"/>
    <col min="20" max="20" width="7.85546875" style="256" customWidth="1"/>
    <col min="21" max="21" width="10.28515625" style="256" customWidth="1"/>
    <col min="22" max="16384" width="9.140625" style="256"/>
  </cols>
  <sheetData>
    <row r="1" spans="1:24" ht="24.75" customHeight="1">
      <c r="A1" s="333" t="str">
        <f>'62'!chuong_phuluc_48</f>
        <v>ỦY BAN NHÂN DÂN TỈNH TIỀN GIANG</v>
      </c>
      <c r="B1" s="333"/>
      <c r="C1" s="333"/>
      <c r="V1" s="333" t="s">
        <v>1413</v>
      </c>
      <c r="W1" s="333"/>
      <c r="X1" s="333"/>
    </row>
    <row r="2" spans="1:24">
      <c r="A2" s="349" t="s">
        <v>1423</v>
      </c>
      <c r="B2" s="349"/>
      <c r="C2" s="349"/>
      <c r="D2" s="349"/>
      <c r="E2" s="349"/>
      <c r="F2" s="349"/>
      <c r="G2" s="349"/>
      <c r="H2" s="349"/>
      <c r="I2" s="349"/>
      <c r="J2" s="349"/>
      <c r="K2" s="349"/>
      <c r="L2" s="349"/>
      <c r="M2" s="349"/>
      <c r="N2" s="349"/>
      <c r="O2" s="349"/>
      <c r="P2" s="349"/>
      <c r="Q2" s="349"/>
      <c r="R2" s="349"/>
      <c r="S2" s="349"/>
      <c r="T2" s="349"/>
      <c r="U2" s="349"/>
      <c r="V2" s="349"/>
      <c r="W2" s="349"/>
      <c r="X2" s="349"/>
    </row>
    <row r="3" spans="1:24">
      <c r="A3" s="350" t="str">
        <f>'62'!A3:F3</f>
        <v>(Kèm theo Quyết định số ………../QĐ-UBND ngày    /01/2020 của Ủy ban nhân dân tỉnh Tiền Giang)</v>
      </c>
      <c r="B3" s="350"/>
      <c r="C3" s="350"/>
      <c r="D3" s="350"/>
      <c r="E3" s="350"/>
      <c r="F3" s="350"/>
      <c r="G3" s="350"/>
      <c r="H3" s="350"/>
      <c r="I3" s="350"/>
      <c r="J3" s="350"/>
      <c r="K3" s="350"/>
      <c r="L3" s="350"/>
      <c r="M3" s="350"/>
      <c r="N3" s="350"/>
      <c r="O3" s="350"/>
      <c r="P3" s="350"/>
      <c r="Q3" s="350"/>
      <c r="R3" s="350"/>
      <c r="S3" s="350"/>
      <c r="T3" s="350"/>
      <c r="U3" s="350"/>
      <c r="V3" s="350"/>
      <c r="W3" s="350"/>
      <c r="X3" s="350"/>
    </row>
    <row r="4" spans="1:24">
      <c r="A4" s="259"/>
      <c r="V4" s="351" t="s">
        <v>1</v>
      </c>
      <c r="W4" s="351"/>
      <c r="X4" s="351"/>
    </row>
    <row r="5" spans="1:24" s="260" customFormat="1" ht="15.75" customHeight="1">
      <c r="A5" s="347" t="s">
        <v>2</v>
      </c>
      <c r="B5" s="347" t="s">
        <v>179</v>
      </c>
      <c r="C5" s="347" t="s">
        <v>1400</v>
      </c>
      <c r="D5" s="347"/>
      <c r="E5" s="347"/>
      <c r="F5" s="347"/>
      <c r="G5" s="347"/>
      <c r="H5" s="347"/>
      <c r="I5" s="347"/>
      <c r="J5" s="347"/>
      <c r="K5" s="347"/>
      <c r="L5" s="347" t="s">
        <v>4</v>
      </c>
      <c r="M5" s="347"/>
      <c r="N5" s="347"/>
      <c r="O5" s="347"/>
      <c r="P5" s="347"/>
      <c r="Q5" s="347"/>
      <c r="R5" s="347"/>
      <c r="S5" s="347"/>
      <c r="T5" s="347"/>
      <c r="U5" s="347"/>
      <c r="V5" s="347" t="s">
        <v>53</v>
      </c>
      <c r="W5" s="347"/>
      <c r="X5" s="347"/>
    </row>
    <row r="6" spans="1:24" s="260" customFormat="1" ht="15.75" customHeight="1">
      <c r="A6" s="347"/>
      <c r="B6" s="347"/>
      <c r="C6" s="347" t="s">
        <v>180</v>
      </c>
      <c r="D6" s="353" t="s">
        <v>1396</v>
      </c>
      <c r="E6" s="347" t="s">
        <v>1397</v>
      </c>
      <c r="F6" s="347" t="s">
        <v>1398</v>
      </c>
      <c r="G6" s="347" t="s">
        <v>1399</v>
      </c>
      <c r="H6" s="347" t="s">
        <v>415</v>
      </c>
      <c r="I6" s="347" t="s">
        <v>182</v>
      </c>
      <c r="J6" s="347"/>
      <c r="K6" s="347"/>
      <c r="L6" s="347" t="s">
        <v>180</v>
      </c>
      <c r="M6" s="347" t="s">
        <v>1396</v>
      </c>
      <c r="N6" s="347" t="s">
        <v>1397</v>
      </c>
      <c r="O6" s="347" t="s">
        <v>1398</v>
      </c>
      <c r="P6" s="347" t="s">
        <v>1401</v>
      </c>
      <c r="Q6" s="347" t="s">
        <v>415</v>
      </c>
      <c r="R6" s="347" t="s">
        <v>182</v>
      </c>
      <c r="S6" s="347"/>
      <c r="T6" s="347"/>
      <c r="U6" s="347" t="s">
        <v>183</v>
      </c>
      <c r="V6" s="347" t="s">
        <v>180</v>
      </c>
      <c r="W6" s="347" t="s">
        <v>28</v>
      </c>
      <c r="X6" s="347" t="s">
        <v>29</v>
      </c>
    </row>
    <row r="7" spans="1:24" s="260" customFormat="1" ht="123" customHeight="1">
      <c r="A7" s="347"/>
      <c r="B7" s="347"/>
      <c r="C7" s="347"/>
      <c r="D7" s="354"/>
      <c r="E7" s="347"/>
      <c r="F7" s="347"/>
      <c r="G7" s="347"/>
      <c r="H7" s="347"/>
      <c r="I7" s="316" t="s">
        <v>180</v>
      </c>
      <c r="J7" s="316" t="s">
        <v>28</v>
      </c>
      <c r="K7" s="316" t="s">
        <v>29</v>
      </c>
      <c r="L7" s="347"/>
      <c r="M7" s="347"/>
      <c r="N7" s="347"/>
      <c r="O7" s="347"/>
      <c r="P7" s="347"/>
      <c r="Q7" s="347"/>
      <c r="R7" s="316" t="s">
        <v>180</v>
      </c>
      <c r="S7" s="316" t="s">
        <v>28</v>
      </c>
      <c r="T7" s="316" t="s">
        <v>29</v>
      </c>
      <c r="U7" s="347"/>
      <c r="V7" s="347"/>
      <c r="W7" s="347"/>
      <c r="X7" s="347"/>
    </row>
    <row r="8" spans="1:24">
      <c r="A8" s="261" t="s">
        <v>7</v>
      </c>
      <c r="B8" s="261" t="s">
        <v>8</v>
      </c>
      <c r="C8" s="261">
        <v>1</v>
      </c>
      <c r="D8" s="261">
        <v>2</v>
      </c>
      <c r="E8" s="261">
        <v>3</v>
      </c>
      <c r="F8" s="261">
        <v>4</v>
      </c>
      <c r="G8" s="261">
        <v>5</v>
      </c>
      <c r="H8" s="261">
        <v>6</v>
      </c>
      <c r="I8" s="261">
        <v>7</v>
      </c>
      <c r="J8" s="261">
        <v>8</v>
      </c>
      <c r="K8" s="261">
        <v>9</v>
      </c>
      <c r="L8" s="261">
        <v>10</v>
      </c>
      <c r="M8" s="261">
        <v>11</v>
      </c>
      <c r="N8" s="261">
        <v>12</v>
      </c>
      <c r="O8" s="261">
        <v>13</v>
      </c>
      <c r="P8" s="261">
        <v>14</v>
      </c>
      <c r="Q8" s="261">
        <v>15</v>
      </c>
      <c r="R8" s="261">
        <v>16</v>
      </c>
      <c r="S8" s="261">
        <v>17</v>
      </c>
      <c r="T8" s="261">
        <v>18</v>
      </c>
      <c r="U8" s="261">
        <v>19</v>
      </c>
      <c r="V8" s="261">
        <v>20</v>
      </c>
      <c r="W8" s="261">
        <v>21</v>
      </c>
      <c r="X8" s="261">
        <v>22</v>
      </c>
    </row>
    <row r="9" spans="1:24" s="260" customFormat="1">
      <c r="A9" s="262"/>
      <c r="B9" s="262" t="s">
        <v>184</v>
      </c>
      <c r="C9" s="262">
        <f>C10+C78+C79+C80+C81+C82+C83+C84+C85</f>
        <v>8758724</v>
      </c>
      <c r="D9" s="262">
        <f>D10+D78+D79+D80+D81+D82+D83+D84+D85</f>
        <v>3056458</v>
      </c>
      <c r="E9" s="262">
        <f>E10+E78+E79+E80+E81+E82+E83+E84+E85</f>
        <v>2169949</v>
      </c>
      <c r="F9" s="262">
        <f t="shared" ref="F9:U9" si="0">F10+F78+F79+F80+F81+F82+F83+F84+F85</f>
        <v>0</v>
      </c>
      <c r="G9" s="262">
        <f t="shared" si="0"/>
        <v>1000</v>
      </c>
      <c r="H9" s="262">
        <f t="shared" si="0"/>
        <v>3386989</v>
      </c>
      <c r="I9" s="262">
        <f t="shared" si="0"/>
        <v>144328</v>
      </c>
      <c r="J9" s="262">
        <f t="shared" si="0"/>
        <v>100100</v>
      </c>
      <c r="K9" s="262">
        <f t="shared" si="0"/>
        <v>44228</v>
      </c>
      <c r="L9" s="262">
        <f t="shared" si="0"/>
        <v>11145034.123</v>
      </c>
      <c r="M9" s="262">
        <f t="shared" si="0"/>
        <v>2246041.4</v>
      </c>
      <c r="N9" s="262">
        <f t="shared" si="0"/>
        <v>1963362.4</v>
      </c>
      <c r="O9" s="262">
        <f t="shared" si="0"/>
        <v>145</v>
      </c>
      <c r="P9" s="262">
        <f t="shared" si="0"/>
        <v>1000</v>
      </c>
      <c r="Q9" s="262">
        <f t="shared" si="0"/>
        <v>4589805.9230000004</v>
      </c>
      <c r="R9" s="262">
        <f t="shared" si="0"/>
        <v>39833.4</v>
      </c>
      <c r="S9" s="262">
        <f t="shared" si="0"/>
        <v>0</v>
      </c>
      <c r="T9" s="262">
        <f t="shared" si="0"/>
        <v>39833.4</v>
      </c>
      <c r="U9" s="262">
        <f t="shared" si="0"/>
        <v>2304846</v>
      </c>
      <c r="V9" s="263">
        <f>L9/C9*100</f>
        <v>127.2449516961603</v>
      </c>
      <c r="W9" s="263">
        <f>M9/D9*100</f>
        <v>73.485105962522638</v>
      </c>
      <c r="X9" s="263">
        <f>N9/E9*100</f>
        <v>90.479656434321726</v>
      </c>
    </row>
    <row r="10" spans="1:24" s="260" customFormat="1" ht="31.5">
      <c r="A10" s="264" t="s">
        <v>11</v>
      </c>
      <c r="B10" s="265" t="s">
        <v>185</v>
      </c>
      <c r="C10" s="265">
        <f>SUM(C11:C66)</f>
        <v>1965226</v>
      </c>
      <c r="D10" s="265">
        <f t="shared" ref="D10:U10" si="1">SUM(D11:D66)</f>
        <v>0</v>
      </c>
      <c r="E10" s="265">
        <f>SUM(E11:E66)</f>
        <v>1920998</v>
      </c>
      <c r="F10" s="265">
        <f t="shared" si="1"/>
        <v>0</v>
      </c>
      <c r="G10" s="265">
        <f t="shared" si="1"/>
        <v>0</v>
      </c>
      <c r="H10" s="265">
        <f t="shared" si="1"/>
        <v>0</v>
      </c>
      <c r="I10" s="265">
        <f t="shared" si="1"/>
        <v>44228</v>
      </c>
      <c r="J10" s="265">
        <f t="shared" si="1"/>
        <v>0</v>
      </c>
      <c r="K10" s="265">
        <f t="shared" si="1"/>
        <v>44228</v>
      </c>
      <c r="L10" s="265">
        <f>SUM(L11:L66)</f>
        <v>4322365.5999999996</v>
      </c>
      <c r="M10" s="265">
        <f t="shared" si="1"/>
        <v>2246041.4</v>
      </c>
      <c r="N10" s="265">
        <f t="shared" si="1"/>
        <v>1963362.4</v>
      </c>
      <c r="O10" s="265">
        <f t="shared" si="1"/>
        <v>0</v>
      </c>
      <c r="P10" s="265">
        <f t="shared" si="1"/>
        <v>0</v>
      </c>
      <c r="Q10" s="265">
        <f t="shared" si="1"/>
        <v>73128.399999999994</v>
      </c>
      <c r="R10" s="265">
        <f t="shared" si="1"/>
        <v>39833.4</v>
      </c>
      <c r="S10" s="265">
        <f t="shared" si="1"/>
        <v>0</v>
      </c>
      <c r="T10" s="265">
        <f t="shared" si="1"/>
        <v>39833.4</v>
      </c>
      <c r="U10" s="265">
        <f t="shared" si="1"/>
        <v>0</v>
      </c>
      <c r="V10" s="266">
        <f t="shared" ref="V10:V73" si="2">L10/C10*100</f>
        <v>219.94241883630684</v>
      </c>
      <c r="W10" s="266"/>
      <c r="X10" s="266">
        <f t="shared" ref="X10:X73" si="3">N10/E10*100</f>
        <v>102.20533285302744</v>
      </c>
    </row>
    <row r="11" spans="1:24">
      <c r="A11" s="232">
        <v>1</v>
      </c>
      <c r="B11" s="239" t="s">
        <v>279</v>
      </c>
      <c r="C11" s="249">
        <f>D11+E11+F11+G11+I11+H11</f>
        <v>10398</v>
      </c>
      <c r="D11" s="249"/>
      <c r="E11" s="249">
        <v>10398</v>
      </c>
      <c r="F11" s="249"/>
      <c r="G11" s="249"/>
      <c r="H11" s="249"/>
      <c r="I11" s="249">
        <f>SUM(J11:K11)</f>
        <v>0</v>
      </c>
      <c r="J11" s="249"/>
      <c r="K11" s="249"/>
      <c r="L11" s="249">
        <f>M11+N11+O11+P11+R11+Q11+U11</f>
        <v>10721</v>
      </c>
      <c r="M11" s="249">
        <v>23</v>
      </c>
      <c r="N11" s="249">
        <v>10698</v>
      </c>
      <c r="O11" s="249"/>
      <c r="P11" s="249"/>
      <c r="Q11" s="249"/>
      <c r="R11" s="249">
        <f>SUM(S11:T11)</f>
        <v>0</v>
      </c>
      <c r="S11" s="249"/>
      <c r="T11" s="249"/>
      <c r="U11" s="267"/>
      <c r="V11" s="268">
        <f>L11/C11*100</f>
        <v>103.10636660896326</v>
      </c>
      <c r="W11" s="268"/>
      <c r="X11" s="268">
        <f t="shared" si="3"/>
        <v>102.88517022504328</v>
      </c>
    </row>
    <row r="12" spans="1:24">
      <c r="A12" s="232">
        <v>2</v>
      </c>
      <c r="B12" s="239" t="s">
        <v>280</v>
      </c>
      <c r="C12" s="249">
        <f t="shared" ref="C12:C75" si="4">D12+E12+F12+G12+I12+H12</f>
        <v>25311</v>
      </c>
      <c r="D12" s="249"/>
      <c r="E12" s="249">
        <v>25311</v>
      </c>
      <c r="F12" s="249"/>
      <c r="G12" s="249"/>
      <c r="H12" s="249"/>
      <c r="I12" s="249">
        <f t="shared" ref="I12:I76" si="5">SUM(J12:K12)</f>
        <v>0</v>
      </c>
      <c r="J12" s="249"/>
      <c r="K12" s="249"/>
      <c r="L12" s="249">
        <f t="shared" ref="L12:L75" si="6">M12+N12+O12+P12+R12+Q12+U12</f>
        <v>267693</v>
      </c>
      <c r="M12" s="249">
        <v>240737</v>
      </c>
      <c r="N12" s="249">
        <v>26956</v>
      </c>
      <c r="O12" s="249"/>
      <c r="P12" s="249"/>
      <c r="Q12" s="249"/>
      <c r="R12" s="249">
        <f t="shared" ref="R12:R75" si="7">SUM(S12:T12)</f>
        <v>0</v>
      </c>
      <c r="S12" s="249"/>
      <c r="T12" s="249"/>
      <c r="U12" s="267"/>
      <c r="V12" s="268">
        <f t="shared" si="2"/>
        <v>1057.6152660898424</v>
      </c>
      <c r="W12" s="268"/>
      <c r="X12" s="268">
        <f t="shared" si="3"/>
        <v>106.49915056694719</v>
      </c>
    </row>
    <row r="13" spans="1:24">
      <c r="A13" s="232">
        <v>3</v>
      </c>
      <c r="B13" s="239" t="s">
        <v>281</v>
      </c>
      <c r="C13" s="249">
        <f t="shared" si="4"/>
        <v>6518</v>
      </c>
      <c r="D13" s="249"/>
      <c r="E13" s="249">
        <v>6518</v>
      </c>
      <c r="F13" s="249"/>
      <c r="G13" s="249"/>
      <c r="H13" s="249"/>
      <c r="I13" s="249">
        <f t="shared" si="5"/>
        <v>0</v>
      </c>
      <c r="J13" s="249"/>
      <c r="K13" s="249"/>
      <c r="L13" s="249">
        <f t="shared" si="6"/>
        <v>4212</v>
      </c>
      <c r="M13" s="249"/>
      <c r="N13" s="249">
        <v>4212</v>
      </c>
      <c r="O13" s="249"/>
      <c r="P13" s="249"/>
      <c r="Q13" s="249"/>
      <c r="R13" s="249">
        <f t="shared" si="7"/>
        <v>0</v>
      </c>
      <c r="S13" s="249"/>
      <c r="T13" s="249"/>
      <c r="U13" s="267"/>
      <c r="V13" s="268">
        <f t="shared" si="2"/>
        <v>64.621049401656947</v>
      </c>
      <c r="W13" s="268"/>
      <c r="X13" s="268">
        <f t="shared" si="3"/>
        <v>64.621049401656947</v>
      </c>
    </row>
    <row r="14" spans="1:24">
      <c r="A14" s="232">
        <v>4</v>
      </c>
      <c r="B14" s="239" t="s">
        <v>282</v>
      </c>
      <c r="C14" s="249">
        <f t="shared" si="4"/>
        <v>80488</v>
      </c>
      <c r="D14" s="249"/>
      <c r="E14" s="249">
        <f>78988+1500</f>
        <v>80488</v>
      </c>
      <c r="F14" s="249"/>
      <c r="G14" s="249"/>
      <c r="H14" s="249"/>
      <c r="I14" s="249">
        <f t="shared" si="5"/>
        <v>0</v>
      </c>
      <c r="J14" s="249"/>
      <c r="K14" s="249"/>
      <c r="L14" s="249">
        <f t="shared" si="6"/>
        <v>482287</v>
      </c>
      <c r="M14" s="249">
        <v>279805</v>
      </c>
      <c r="N14" s="249">
        <v>197614</v>
      </c>
      <c r="O14" s="249"/>
      <c r="P14" s="249"/>
      <c r="Q14" s="249">
        <v>909</v>
      </c>
      <c r="R14" s="249">
        <f t="shared" si="7"/>
        <v>3959</v>
      </c>
      <c r="S14" s="249"/>
      <c r="T14" s="249">
        <v>3959</v>
      </c>
      <c r="U14" s="267"/>
      <c r="V14" s="268">
        <f t="shared" si="2"/>
        <v>599.20360799125331</v>
      </c>
      <c r="W14" s="268"/>
      <c r="X14" s="268">
        <f t="shared" si="3"/>
        <v>245.51982904283869</v>
      </c>
    </row>
    <row r="15" spans="1:24">
      <c r="A15" s="232">
        <v>5</v>
      </c>
      <c r="B15" s="239" t="s">
        <v>1424</v>
      </c>
      <c r="C15" s="249">
        <f t="shared" si="4"/>
        <v>9349</v>
      </c>
      <c r="D15" s="249"/>
      <c r="E15" s="249">
        <v>9349</v>
      </c>
      <c r="F15" s="249"/>
      <c r="G15" s="249"/>
      <c r="H15" s="249"/>
      <c r="I15" s="249">
        <f t="shared" si="5"/>
        <v>0</v>
      </c>
      <c r="J15" s="249"/>
      <c r="K15" s="249"/>
      <c r="L15" s="249">
        <f t="shared" si="6"/>
        <v>11551</v>
      </c>
      <c r="M15" s="249">
        <v>1289</v>
      </c>
      <c r="N15" s="249">
        <v>9405</v>
      </c>
      <c r="O15" s="249"/>
      <c r="P15" s="249"/>
      <c r="Q15" s="249">
        <v>857</v>
      </c>
      <c r="R15" s="249">
        <f t="shared" si="7"/>
        <v>0</v>
      </c>
      <c r="S15" s="249"/>
      <c r="T15" s="249"/>
      <c r="U15" s="267"/>
      <c r="V15" s="268">
        <f t="shared" si="2"/>
        <v>123.55332121082469</v>
      </c>
      <c r="W15" s="268"/>
      <c r="X15" s="268">
        <f t="shared" si="3"/>
        <v>100.59899454487112</v>
      </c>
    </row>
    <row r="16" spans="1:24">
      <c r="A16" s="232">
        <v>6</v>
      </c>
      <c r="B16" s="239" t="s">
        <v>283</v>
      </c>
      <c r="C16" s="249">
        <f t="shared" si="4"/>
        <v>9973</v>
      </c>
      <c r="D16" s="249"/>
      <c r="E16" s="249">
        <f>9735+238</f>
        <v>9973</v>
      </c>
      <c r="F16" s="249"/>
      <c r="G16" s="249"/>
      <c r="H16" s="249"/>
      <c r="I16" s="249">
        <f t="shared" si="5"/>
        <v>0</v>
      </c>
      <c r="J16" s="249"/>
      <c r="K16" s="249"/>
      <c r="L16" s="249">
        <f t="shared" si="6"/>
        <v>12505</v>
      </c>
      <c r="M16" s="249">
        <v>4198</v>
      </c>
      <c r="N16" s="249">
        <v>8227</v>
      </c>
      <c r="O16" s="249"/>
      <c r="P16" s="249"/>
      <c r="Q16" s="249">
        <v>42</v>
      </c>
      <c r="R16" s="249">
        <f t="shared" si="7"/>
        <v>38</v>
      </c>
      <c r="S16" s="249"/>
      <c r="T16" s="249">
        <v>38</v>
      </c>
      <c r="U16" s="267"/>
      <c r="V16" s="268">
        <f t="shared" si="2"/>
        <v>125.38854908252281</v>
      </c>
      <c r="W16" s="268"/>
      <c r="X16" s="268">
        <f t="shared" si="3"/>
        <v>82.492730372004402</v>
      </c>
    </row>
    <row r="17" spans="1:24">
      <c r="A17" s="232">
        <v>7</v>
      </c>
      <c r="B17" s="239" t="s">
        <v>284</v>
      </c>
      <c r="C17" s="249">
        <f t="shared" si="4"/>
        <v>26434</v>
      </c>
      <c r="D17" s="249"/>
      <c r="E17" s="249">
        <v>26434</v>
      </c>
      <c r="F17" s="249"/>
      <c r="G17" s="249"/>
      <c r="H17" s="249"/>
      <c r="I17" s="249">
        <f t="shared" si="5"/>
        <v>0</v>
      </c>
      <c r="J17" s="249"/>
      <c r="K17" s="249"/>
      <c r="L17" s="249">
        <f t="shared" si="6"/>
        <v>74256</v>
      </c>
      <c r="M17" s="249">
        <v>48365</v>
      </c>
      <c r="N17" s="249">
        <v>24632</v>
      </c>
      <c r="O17" s="249"/>
      <c r="P17" s="249"/>
      <c r="Q17" s="249">
        <v>1259</v>
      </c>
      <c r="R17" s="249">
        <f t="shared" si="7"/>
        <v>0</v>
      </c>
      <c r="S17" s="249"/>
      <c r="T17" s="249"/>
      <c r="U17" s="267"/>
      <c r="V17" s="268">
        <f t="shared" si="2"/>
        <v>280.91094802148746</v>
      </c>
      <c r="W17" s="268"/>
      <c r="X17" s="268">
        <f t="shared" si="3"/>
        <v>93.183021865778926</v>
      </c>
    </row>
    <row r="18" spans="1:24">
      <c r="A18" s="232">
        <v>8</v>
      </c>
      <c r="B18" s="239" t="s">
        <v>411</v>
      </c>
      <c r="C18" s="249">
        <f t="shared" si="4"/>
        <v>19201</v>
      </c>
      <c r="D18" s="249"/>
      <c r="E18" s="249">
        <v>19201</v>
      </c>
      <c r="F18" s="249"/>
      <c r="G18" s="249"/>
      <c r="H18" s="249"/>
      <c r="I18" s="249">
        <f t="shared" si="5"/>
        <v>0</v>
      </c>
      <c r="J18" s="249"/>
      <c r="K18" s="249"/>
      <c r="L18" s="249">
        <f t="shared" si="6"/>
        <v>22830</v>
      </c>
      <c r="M18" s="249">
        <v>2630</v>
      </c>
      <c r="N18" s="249">
        <v>20045</v>
      </c>
      <c r="O18" s="249"/>
      <c r="P18" s="249"/>
      <c r="Q18" s="249">
        <v>155</v>
      </c>
      <c r="R18" s="249">
        <f t="shared" si="7"/>
        <v>0</v>
      </c>
      <c r="S18" s="249"/>
      <c r="T18" s="249"/>
      <c r="U18" s="267"/>
      <c r="V18" s="268">
        <f t="shared" si="2"/>
        <v>118.90005728868289</v>
      </c>
      <c r="W18" s="268"/>
      <c r="X18" s="268">
        <f t="shared" si="3"/>
        <v>104.39560439560441</v>
      </c>
    </row>
    <row r="19" spans="1:24">
      <c r="A19" s="232">
        <v>9</v>
      </c>
      <c r="B19" s="239" t="s">
        <v>285</v>
      </c>
      <c r="C19" s="249">
        <f t="shared" si="4"/>
        <v>12759</v>
      </c>
      <c r="D19" s="249"/>
      <c r="E19" s="249">
        <v>12759</v>
      </c>
      <c r="F19" s="249"/>
      <c r="G19" s="249"/>
      <c r="H19" s="249"/>
      <c r="I19" s="249">
        <f t="shared" si="5"/>
        <v>0</v>
      </c>
      <c r="J19" s="249"/>
      <c r="K19" s="249"/>
      <c r="L19" s="249">
        <f t="shared" si="6"/>
        <v>13171</v>
      </c>
      <c r="M19" s="249"/>
      <c r="N19" s="249">
        <v>13171</v>
      </c>
      <c r="O19" s="249"/>
      <c r="P19" s="249"/>
      <c r="Q19" s="249"/>
      <c r="R19" s="249">
        <f t="shared" si="7"/>
        <v>0</v>
      </c>
      <c r="S19" s="249"/>
      <c r="T19" s="249"/>
      <c r="U19" s="267"/>
      <c r="V19" s="268">
        <f t="shared" si="2"/>
        <v>103.22909318912141</v>
      </c>
      <c r="W19" s="268"/>
      <c r="X19" s="268">
        <f t="shared" si="3"/>
        <v>103.22909318912141</v>
      </c>
    </row>
    <row r="20" spans="1:24">
      <c r="A20" s="232">
        <v>10</v>
      </c>
      <c r="B20" s="239" t="s">
        <v>286</v>
      </c>
      <c r="C20" s="249">
        <f t="shared" si="4"/>
        <v>6776</v>
      </c>
      <c r="D20" s="249"/>
      <c r="E20" s="249">
        <v>6776</v>
      </c>
      <c r="F20" s="249"/>
      <c r="G20" s="249"/>
      <c r="H20" s="249"/>
      <c r="I20" s="249">
        <f t="shared" si="5"/>
        <v>0</v>
      </c>
      <c r="J20" s="249"/>
      <c r="K20" s="249"/>
      <c r="L20" s="249">
        <f t="shared" si="6"/>
        <v>70514</v>
      </c>
      <c r="M20" s="249">
        <v>58965</v>
      </c>
      <c r="N20" s="249">
        <v>11549</v>
      </c>
      <c r="O20" s="249"/>
      <c r="P20" s="249"/>
      <c r="Q20" s="249"/>
      <c r="R20" s="249">
        <f t="shared" si="7"/>
        <v>0</v>
      </c>
      <c r="S20" s="249"/>
      <c r="T20" s="249"/>
      <c r="U20" s="267"/>
      <c r="V20" s="268">
        <f t="shared" si="2"/>
        <v>1040.6434474616292</v>
      </c>
      <c r="W20" s="268"/>
      <c r="X20" s="268">
        <f t="shared" si="3"/>
        <v>170.43978748524202</v>
      </c>
    </row>
    <row r="21" spans="1:24">
      <c r="A21" s="232">
        <v>11</v>
      </c>
      <c r="B21" s="239" t="s">
        <v>287</v>
      </c>
      <c r="C21" s="249">
        <f t="shared" si="4"/>
        <v>31547</v>
      </c>
      <c r="D21" s="249"/>
      <c r="E21" s="249">
        <v>31547</v>
      </c>
      <c r="F21" s="249"/>
      <c r="G21" s="249"/>
      <c r="H21" s="249"/>
      <c r="I21" s="249">
        <f t="shared" si="5"/>
        <v>0</v>
      </c>
      <c r="J21" s="249"/>
      <c r="K21" s="249"/>
      <c r="L21" s="249">
        <f t="shared" si="6"/>
        <v>671477</v>
      </c>
      <c r="M21" s="249">
        <v>558202</v>
      </c>
      <c r="N21" s="249">
        <v>113275</v>
      </c>
      <c r="O21" s="249"/>
      <c r="P21" s="249"/>
      <c r="Q21" s="249"/>
      <c r="R21" s="249">
        <f t="shared" si="7"/>
        <v>0</v>
      </c>
      <c r="S21" s="249"/>
      <c r="T21" s="249"/>
      <c r="U21" s="267"/>
      <c r="V21" s="268">
        <f t="shared" si="2"/>
        <v>2128.4971629631978</v>
      </c>
      <c r="W21" s="268"/>
      <c r="X21" s="268">
        <f t="shared" si="3"/>
        <v>359.06742320981391</v>
      </c>
    </row>
    <row r="22" spans="1:24">
      <c r="A22" s="232">
        <v>12</v>
      </c>
      <c r="B22" s="239" t="s">
        <v>288</v>
      </c>
      <c r="C22" s="249">
        <f t="shared" si="4"/>
        <v>375724</v>
      </c>
      <c r="D22" s="249"/>
      <c r="E22" s="249">
        <v>375724</v>
      </c>
      <c r="F22" s="249"/>
      <c r="G22" s="249"/>
      <c r="H22" s="249"/>
      <c r="I22" s="249">
        <f t="shared" si="5"/>
        <v>0</v>
      </c>
      <c r="J22" s="249"/>
      <c r="K22" s="249"/>
      <c r="L22" s="249">
        <f t="shared" si="6"/>
        <v>773444</v>
      </c>
      <c r="M22" s="249">
        <v>361975</v>
      </c>
      <c r="N22" s="249">
        <v>396498</v>
      </c>
      <c r="O22" s="249"/>
      <c r="P22" s="249"/>
      <c r="Q22" s="249"/>
      <c r="R22" s="249">
        <f t="shared" si="7"/>
        <v>14971</v>
      </c>
      <c r="S22" s="249"/>
      <c r="T22" s="249">
        <v>14971</v>
      </c>
      <c r="U22" s="267"/>
      <c r="V22" s="268">
        <f t="shared" si="2"/>
        <v>205.85429730333971</v>
      </c>
      <c r="W22" s="268"/>
      <c r="X22" s="268">
        <f t="shared" si="3"/>
        <v>105.52905856426527</v>
      </c>
    </row>
    <row r="23" spans="1:24">
      <c r="A23" s="232">
        <v>13</v>
      </c>
      <c r="B23" s="239" t="s">
        <v>289</v>
      </c>
      <c r="C23" s="249">
        <f t="shared" si="4"/>
        <v>157360</v>
      </c>
      <c r="D23" s="249"/>
      <c r="E23" s="249">
        <f>149304+8056</f>
        <v>157360</v>
      </c>
      <c r="F23" s="249"/>
      <c r="G23" s="249"/>
      <c r="H23" s="249"/>
      <c r="I23" s="249">
        <f t="shared" si="5"/>
        <v>0</v>
      </c>
      <c r="J23" s="249"/>
      <c r="K23" s="249"/>
      <c r="L23" s="249">
        <f t="shared" si="6"/>
        <v>417653</v>
      </c>
      <c r="M23" s="249">
        <v>199508</v>
      </c>
      <c r="N23" s="249">
        <v>193602</v>
      </c>
      <c r="O23" s="249"/>
      <c r="P23" s="249"/>
      <c r="Q23" s="249">
        <v>15742</v>
      </c>
      <c r="R23" s="249">
        <f t="shared" si="7"/>
        <v>8801</v>
      </c>
      <c r="S23" s="249"/>
      <c r="T23" s="249">
        <v>8801</v>
      </c>
      <c r="U23" s="267"/>
      <c r="V23" s="268">
        <f t="shared" si="2"/>
        <v>265.41243009659377</v>
      </c>
      <c r="W23" s="268"/>
      <c r="X23" s="268">
        <f t="shared" si="3"/>
        <v>123.03126588713778</v>
      </c>
    </row>
    <row r="24" spans="1:24">
      <c r="A24" s="232">
        <v>14</v>
      </c>
      <c r="B24" s="239" t="s">
        <v>290</v>
      </c>
      <c r="C24" s="249">
        <f t="shared" si="4"/>
        <v>117332</v>
      </c>
      <c r="D24" s="249"/>
      <c r="E24" s="249">
        <f>112968+4364</f>
        <v>117332</v>
      </c>
      <c r="F24" s="249"/>
      <c r="G24" s="249"/>
      <c r="H24" s="249"/>
      <c r="I24" s="249">
        <f t="shared" si="5"/>
        <v>0</v>
      </c>
      <c r="J24" s="249"/>
      <c r="K24" s="249"/>
      <c r="L24" s="249">
        <f t="shared" si="6"/>
        <v>144401</v>
      </c>
      <c r="M24" s="249">
        <v>12488</v>
      </c>
      <c r="N24" s="249">
        <v>126695</v>
      </c>
      <c r="O24" s="249"/>
      <c r="P24" s="249"/>
      <c r="Q24" s="249">
        <v>560</v>
      </c>
      <c r="R24" s="249">
        <f t="shared" si="7"/>
        <v>4658</v>
      </c>
      <c r="S24" s="249"/>
      <c r="T24" s="249">
        <v>4658</v>
      </c>
      <c r="U24" s="267"/>
      <c r="V24" s="268">
        <f t="shared" si="2"/>
        <v>123.07043261855249</v>
      </c>
      <c r="W24" s="268"/>
      <c r="X24" s="268">
        <f t="shared" si="3"/>
        <v>107.9799202263662</v>
      </c>
    </row>
    <row r="25" spans="1:24" ht="30">
      <c r="A25" s="232">
        <v>15</v>
      </c>
      <c r="B25" s="239" t="s">
        <v>1425</v>
      </c>
      <c r="C25" s="249">
        <f t="shared" si="4"/>
        <v>68956</v>
      </c>
      <c r="D25" s="249"/>
      <c r="E25" s="249">
        <f>67956+1000</f>
        <v>68956</v>
      </c>
      <c r="F25" s="249"/>
      <c r="G25" s="249"/>
      <c r="H25" s="249"/>
      <c r="I25" s="249">
        <f t="shared" si="5"/>
        <v>0</v>
      </c>
      <c r="J25" s="249"/>
      <c r="K25" s="249"/>
      <c r="L25" s="249">
        <f t="shared" si="6"/>
        <v>164329</v>
      </c>
      <c r="M25" s="249">
        <v>95976</v>
      </c>
      <c r="N25" s="249">
        <v>67093</v>
      </c>
      <c r="O25" s="249"/>
      <c r="P25" s="249"/>
      <c r="Q25" s="249">
        <v>45</v>
      </c>
      <c r="R25" s="249">
        <f t="shared" si="7"/>
        <v>1215</v>
      </c>
      <c r="S25" s="249"/>
      <c r="T25" s="249">
        <v>1215</v>
      </c>
      <c r="U25" s="267"/>
      <c r="V25" s="268">
        <f t="shared" si="2"/>
        <v>238.30993677127444</v>
      </c>
      <c r="W25" s="268"/>
      <c r="X25" s="268">
        <f t="shared" si="3"/>
        <v>97.298277162248397</v>
      </c>
    </row>
    <row r="26" spans="1:24">
      <c r="A26" s="232">
        <v>16</v>
      </c>
      <c r="B26" s="239" t="s">
        <v>291</v>
      </c>
      <c r="C26" s="249">
        <f t="shared" si="4"/>
        <v>24408</v>
      </c>
      <c r="D26" s="249"/>
      <c r="E26" s="249">
        <v>24408</v>
      </c>
      <c r="F26" s="249"/>
      <c r="G26" s="249"/>
      <c r="H26" s="249"/>
      <c r="I26" s="249">
        <f t="shared" si="5"/>
        <v>0</v>
      </c>
      <c r="J26" s="249"/>
      <c r="K26" s="249"/>
      <c r="L26" s="249">
        <f t="shared" si="6"/>
        <v>25688</v>
      </c>
      <c r="M26" s="249">
        <v>8368</v>
      </c>
      <c r="N26" s="249">
        <v>16985</v>
      </c>
      <c r="O26" s="249"/>
      <c r="P26" s="249"/>
      <c r="Q26" s="249">
        <v>335</v>
      </c>
      <c r="R26" s="249">
        <f t="shared" si="7"/>
        <v>0</v>
      </c>
      <c r="S26" s="249"/>
      <c r="T26" s="249"/>
      <c r="U26" s="267"/>
      <c r="V26" s="268">
        <f t="shared" si="2"/>
        <v>105.24418223533267</v>
      </c>
      <c r="W26" s="268"/>
      <c r="X26" s="268">
        <f t="shared" si="3"/>
        <v>69.58784005244182</v>
      </c>
    </row>
    <row r="27" spans="1:24">
      <c r="A27" s="232">
        <v>17</v>
      </c>
      <c r="B27" s="239" t="s">
        <v>292</v>
      </c>
      <c r="C27" s="249">
        <f t="shared" si="4"/>
        <v>11605</v>
      </c>
      <c r="D27" s="249"/>
      <c r="E27" s="249">
        <v>11605</v>
      </c>
      <c r="F27" s="249"/>
      <c r="G27" s="249"/>
      <c r="H27" s="249"/>
      <c r="I27" s="249">
        <f t="shared" si="5"/>
        <v>0</v>
      </c>
      <c r="J27" s="249"/>
      <c r="K27" s="249"/>
      <c r="L27" s="249">
        <f t="shared" si="6"/>
        <v>13409</v>
      </c>
      <c r="M27" s="249">
        <v>3665</v>
      </c>
      <c r="N27" s="249">
        <v>9178</v>
      </c>
      <c r="O27" s="249"/>
      <c r="P27" s="249"/>
      <c r="Q27" s="249">
        <v>96</v>
      </c>
      <c r="R27" s="249">
        <f t="shared" si="7"/>
        <v>470</v>
      </c>
      <c r="S27" s="249"/>
      <c r="T27" s="249">
        <v>470</v>
      </c>
      <c r="U27" s="267"/>
      <c r="V27" s="268">
        <f t="shared" si="2"/>
        <v>115.54502369668246</v>
      </c>
      <c r="W27" s="268"/>
      <c r="X27" s="268">
        <f t="shared" si="3"/>
        <v>79.086600603188288</v>
      </c>
    </row>
    <row r="28" spans="1:24">
      <c r="A28" s="232">
        <v>18</v>
      </c>
      <c r="B28" s="239" t="s">
        <v>293</v>
      </c>
      <c r="C28" s="249">
        <f t="shared" si="4"/>
        <v>41445</v>
      </c>
      <c r="D28" s="249"/>
      <c r="E28" s="249">
        <v>41445</v>
      </c>
      <c r="F28" s="249"/>
      <c r="G28" s="249"/>
      <c r="H28" s="249"/>
      <c r="I28" s="249">
        <f t="shared" si="5"/>
        <v>0</v>
      </c>
      <c r="J28" s="249"/>
      <c r="K28" s="249"/>
      <c r="L28" s="249">
        <f t="shared" si="6"/>
        <v>77551</v>
      </c>
      <c r="M28" s="249">
        <v>38924</v>
      </c>
      <c r="N28" s="249">
        <v>38627</v>
      </c>
      <c r="O28" s="249"/>
      <c r="P28" s="249"/>
      <c r="Q28" s="249"/>
      <c r="R28" s="249">
        <f t="shared" si="7"/>
        <v>0</v>
      </c>
      <c r="S28" s="249"/>
      <c r="T28" s="249"/>
      <c r="U28" s="267"/>
      <c r="V28" s="268">
        <f t="shared" si="2"/>
        <v>187.11786705272047</v>
      </c>
      <c r="W28" s="268"/>
      <c r="X28" s="268">
        <f t="shared" si="3"/>
        <v>93.200627337435165</v>
      </c>
    </row>
    <row r="29" spans="1:24">
      <c r="A29" s="232">
        <v>19</v>
      </c>
      <c r="B29" s="239" t="s">
        <v>294</v>
      </c>
      <c r="C29" s="249">
        <f t="shared" si="4"/>
        <v>6970</v>
      </c>
      <c r="D29" s="249"/>
      <c r="E29" s="249">
        <v>6970</v>
      </c>
      <c r="F29" s="249"/>
      <c r="G29" s="249"/>
      <c r="H29" s="249"/>
      <c r="I29" s="249">
        <f t="shared" si="5"/>
        <v>0</v>
      </c>
      <c r="J29" s="249"/>
      <c r="K29" s="249"/>
      <c r="L29" s="249">
        <f t="shared" si="6"/>
        <v>15659</v>
      </c>
      <c r="M29" s="249">
        <v>5768</v>
      </c>
      <c r="N29" s="249">
        <v>9891</v>
      </c>
      <c r="O29" s="249"/>
      <c r="P29" s="249"/>
      <c r="Q29" s="249"/>
      <c r="R29" s="249">
        <f t="shared" si="7"/>
        <v>0</v>
      </c>
      <c r="S29" s="249"/>
      <c r="T29" s="249"/>
      <c r="U29" s="267"/>
      <c r="V29" s="268">
        <f t="shared" si="2"/>
        <v>224.66284074605451</v>
      </c>
      <c r="W29" s="268"/>
      <c r="X29" s="268">
        <f t="shared" si="3"/>
        <v>141.90817790530846</v>
      </c>
    </row>
    <row r="30" spans="1:24">
      <c r="A30" s="232">
        <v>20</v>
      </c>
      <c r="B30" s="239" t="s">
        <v>295</v>
      </c>
      <c r="C30" s="249">
        <f t="shared" si="4"/>
        <v>7816</v>
      </c>
      <c r="D30" s="249"/>
      <c r="E30" s="249">
        <v>7816</v>
      </c>
      <c r="F30" s="249"/>
      <c r="G30" s="249"/>
      <c r="H30" s="249"/>
      <c r="I30" s="249">
        <f t="shared" si="5"/>
        <v>0</v>
      </c>
      <c r="J30" s="249"/>
      <c r="K30" s="249"/>
      <c r="L30" s="249">
        <f t="shared" si="6"/>
        <v>14944</v>
      </c>
      <c r="M30" s="249">
        <f>2686+260+4710+1</f>
        <v>7657</v>
      </c>
      <c r="N30" s="249">
        <v>7287</v>
      </c>
      <c r="O30" s="249"/>
      <c r="P30" s="249"/>
      <c r="Q30" s="249"/>
      <c r="R30" s="249">
        <f t="shared" si="7"/>
        <v>0</v>
      </c>
      <c r="S30" s="249"/>
      <c r="T30" s="249"/>
      <c r="U30" s="267"/>
      <c r="V30" s="268">
        <f t="shared" si="2"/>
        <v>191.19754350051176</v>
      </c>
      <c r="W30" s="268"/>
      <c r="X30" s="268">
        <f t="shared" si="3"/>
        <v>93.231832139201643</v>
      </c>
    </row>
    <row r="31" spans="1:24">
      <c r="A31" s="232">
        <v>21</v>
      </c>
      <c r="B31" s="239" t="s">
        <v>296</v>
      </c>
      <c r="C31" s="249">
        <f t="shared" si="4"/>
        <v>3188</v>
      </c>
      <c r="D31" s="249"/>
      <c r="E31" s="249">
        <v>3188</v>
      </c>
      <c r="F31" s="249"/>
      <c r="G31" s="249"/>
      <c r="H31" s="249"/>
      <c r="I31" s="249">
        <f t="shared" si="5"/>
        <v>0</v>
      </c>
      <c r="J31" s="249"/>
      <c r="K31" s="249"/>
      <c r="L31" s="249">
        <f t="shared" si="6"/>
        <v>6530</v>
      </c>
      <c r="M31" s="249"/>
      <c r="N31" s="249">
        <f>6346+184</f>
        <v>6530</v>
      </c>
      <c r="O31" s="249"/>
      <c r="P31" s="249"/>
      <c r="Q31" s="249"/>
      <c r="R31" s="249">
        <f t="shared" si="7"/>
        <v>0</v>
      </c>
      <c r="S31" s="249"/>
      <c r="T31" s="249"/>
      <c r="U31" s="267"/>
      <c r="V31" s="268">
        <f t="shared" si="2"/>
        <v>204.8306148055207</v>
      </c>
      <c r="W31" s="268"/>
      <c r="X31" s="268">
        <f t="shared" si="3"/>
        <v>204.8306148055207</v>
      </c>
    </row>
    <row r="32" spans="1:24">
      <c r="A32" s="232">
        <v>22</v>
      </c>
      <c r="B32" s="239" t="s">
        <v>297</v>
      </c>
      <c r="C32" s="249">
        <f t="shared" si="4"/>
        <v>62581</v>
      </c>
      <c r="D32" s="249"/>
      <c r="E32" s="249">
        <v>62581</v>
      </c>
      <c r="F32" s="249"/>
      <c r="G32" s="249"/>
      <c r="H32" s="249"/>
      <c r="I32" s="249">
        <f t="shared" si="5"/>
        <v>0</v>
      </c>
      <c r="J32" s="249"/>
      <c r="K32" s="249"/>
      <c r="L32" s="249">
        <f t="shared" si="6"/>
        <v>72781</v>
      </c>
      <c r="M32" s="249">
        <v>10442</v>
      </c>
      <c r="N32" s="249">
        <v>62339</v>
      </c>
      <c r="O32" s="249"/>
      <c r="P32" s="249"/>
      <c r="Q32" s="249"/>
      <c r="R32" s="249">
        <f t="shared" si="7"/>
        <v>0</v>
      </c>
      <c r="S32" s="249"/>
      <c r="T32" s="249"/>
      <c r="U32" s="267"/>
      <c r="V32" s="268">
        <f t="shared" si="2"/>
        <v>116.29887665585402</v>
      </c>
      <c r="W32" s="268"/>
      <c r="X32" s="268">
        <f t="shared" si="3"/>
        <v>99.613301161694451</v>
      </c>
    </row>
    <row r="33" spans="1:24">
      <c r="A33" s="232">
        <v>23</v>
      </c>
      <c r="B33" s="239" t="s">
        <v>298</v>
      </c>
      <c r="C33" s="249">
        <f t="shared" si="4"/>
        <v>5610</v>
      </c>
      <c r="D33" s="249"/>
      <c r="E33" s="249">
        <v>5610</v>
      </c>
      <c r="F33" s="249"/>
      <c r="G33" s="249"/>
      <c r="H33" s="249"/>
      <c r="I33" s="249">
        <f t="shared" si="5"/>
        <v>0</v>
      </c>
      <c r="J33" s="249"/>
      <c r="K33" s="249"/>
      <c r="L33" s="249">
        <f t="shared" si="6"/>
        <v>5851</v>
      </c>
      <c r="M33" s="249"/>
      <c r="N33" s="249">
        <v>5851</v>
      </c>
      <c r="O33" s="249"/>
      <c r="P33" s="249"/>
      <c r="Q33" s="249"/>
      <c r="R33" s="249">
        <f t="shared" si="7"/>
        <v>0</v>
      </c>
      <c r="S33" s="249"/>
      <c r="T33" s="249"/>
      <c r="U33" s="267"/>
      <c r="V33" s="268">
        <f t="shared" si="2"/>
        <v>104.29590017825312</v>
      </c>
      <c r="W33" s="268"/>
      <c r="X33" s="268">
        <f t="shared" si="3"/>
        <v>104.29590017825312</v>
      </c>
    </row>
    <row r="34" spans="1:24">
      <c r="A34" s="232">
        <v>24</v>
      </c>
      <c r="B34" s="239" t="s">
        <v>299</v>
      </c>
      <c r="C34" s="249">
        <f t="shared" si="4"/>
        <v>5231</v>
      </c>
      <c r="D34" s="249"/>
      <c r="E34" s="249">
        <v>5231</v>
      </c>
      <c r="F34" s="249"/>
      <c r="G34" s="249"/>
      <c r="H34" s="249"/>
      <c r="I34" s="249">
        <f t="shared" si="5"/>
        <v>0</v>
      </c>
      <c r="J34" s="249"/>
      <c r="K34" s="249"/>
      <c r="L34" s="249">
        <f t="shared" si="6"/>
        <v>5751</v>
      </c>
      <c r="M34" s="249">
        <v>539</v>
      </c>
      <c r="N34" s="249">
        <v>5212</v>
      </c>
      <c r="O34" s="249"/>
      <c r="P34" s="249"/>
      <c r="Q34" s="249"/>
      <c r="R34" s="249">
        <f t="shared" si="7"/>
        <v>0</v>
      </c>
      <c r="S34" s="249"/>
      <c r="T34" s="249"/>
      <c r="U34" s="267"/>
      <c r="V34" s="268">
        <f t="shared" si="2"/>
        <v>109.94073790862168</v>
      </c>
      <c r="W34" s="268"/>
      <c r="X34" s="268">
        <f t="shared" si="3"/>
        <v>99.636780730261904</v>
      </c>
    </row>
    <row r="35" spans="1:24">
      <c r="A35" s="232">
        <v>25</v>
      </c>
      <c r="B35" s="239" t="s">
        <v>300</v>
      </c>
      <c r="C35" s="249">
        <f t="shared" si="4"/>
        <v>3495</v>
      </c>
      <c r="D35" s="249"/>
      <c r="E35" s="249">
        <v>3495</v>
      </c>
      <c r="F35" s="249"/>
      <c r="G35" s="249"/>
      <c r="H35" s="249"/>
      <c r="I35" s="249">
        <f t="shared" si="5"/>
        <v>0</v>
      </c>
      <c r="J35" s="249"/>
      <c r="K35" s="249"/>
      <c r="L35" s="249">
        <f t="shared" si="6"/>
        <v>4521</v>
      </c>
      <c r="M35" s="249">
        <v>462</v>
      </c>
      <c r="N35" s="249">
        <v>4059</v>
      </c>
      <c r="O35" s="249"/>
      <c r="P35" s="249"/>
      <c r="Q35" s="249"/>
      <c r="R35" s="249">
        <f t="shared" si="7"/>
        <v>0</v>
      </c>
      <c r="S35" s="249"/>
      <c r="T35" s="249"/>
      <c r="U35" s="267"/>
      <c r="V35" s="268">
        <f t="shared" si="2"/>
        <v>129.35622317596568</v>
      </c>
      <c r="W35" s="268"/>
      <c r="X35" s="268">
        <f t="shared" si="3"/>
        <v>116.137339055794</v>
      </c>
    </row>
    <row r="36" spans="1:24">
      <c r="A36" s="232">
        <v>26</v>
      </c>
      <c r="B36" s="239" t="s">
        <v>301</v>
      </c>
      <c r="C36" s="249">
        <f t="shared" si="4"/>
        <v>5046</v>
      </c>
      <c r="D36" s="249"/>
      <c r="E36" s="249">
        <v>5046</v>
      </c>
      <c r="F36" s="249"/>
      <c r="G36" s="249"/>
      <c r="H36" s="249"/>
      <c r="I36" s="249">
        <f t="shared" si="5"/>
        <v>0</v>
      </c>
      <c r="J36" s="249"/>
      <c r="K36" s="249"/>
      <c r="L36" s="249">
        <f t="shared" si="6"/>
        <v>5222</v>
      </c>
      <c r="M36" s="249"/>
      <c r="N36" s="249">
        <v>5222</v>
      </c>
      <c r="O36" s="249"/>
      <c r="P36" s="249"/>
      <c r="Q36" s="249"/>
      <c r="R36" s="249">
        <f t="shared" si="7"/>
        <v>0</v>
      </c>
      <c r="S36" s="249"/>
      <c r="T36" s="249"/>
      <c r="U36" s="267"/>
      <c r="V36" s="268">
        <f t="shared" si="2"/>
        <v>103.48791121680539</v>
      </c>
      <c r="W36" s="268"/>
      <c r="X36" s="268">
        <f t="shared" si="3"/>
        <v>103.48791121680539</v>
      </c>
    </row>
    <row r="37" spans="1:24">
      <c r="A37" s="232">
        <v>27</v>
      </c>
      <c r="B37" s="239" t="s">
        <v>302</v>
      </c>
      <c r="C37" s="249">
        <f t="shared" si="4"/>
        <v>2221</v>
      </c>
      <c r="D37" s="249"/>
      <c r="E37" s="249">
        <v>2221</v>
      </c>
      <c r="F37" s="249"/>
      <c r="G37" s="249"/>
      <c r="H37" s="249"/>
      <c r="I37" s="249">
        <f t="shared" si="5"/>
        <v>0</v>
      </c>
      <c r="J37" s="249"/>
      <c r="K37" s="249"/>
      <c r="L37" s="249">
        <f t="shared" si="6"/>
        <v>1928</v>
      </c>
      <c r="M37" s="249"/>
      <c r="N37" s="249">
        <v>1928</v>
      </c>
      <c r="O37" s="249"/>
      <c r="P37" s="249"/>
      <c r="Q37" s="249"/>
      <c r="R37" s="249">
        <f t="shared" si="7"/>
        <v>0</v>
      </c>
      <c r="S37" s="249"/>
      <c r="T37" s="249"/>
      <c r="U37" s="267"/>
      <c r="V37" s="268">
        <f t="shared" si="2"/>
        <v>86.807744259342627</v>
      </c>
      <c r="W37" s="268"/>
      <c r="X37" s="268">
        <f t="shared" si="3"/>
        <v>86.807744259342627</v>
      </c>
    </row>
    <row r="38" spans="1:24" ht="30">
      <c r="A38" s="232">
        <v>28</v>
      </c>
      <c r="B38" s="239" t="s">
        <v>303</v>
      </c>
      <c r="C38" s="249">
        <f t="shared" si="4"/>
        <v>4918</v>
      </c>
      <c r="D38" s="249"/>
      <c r="E38" s="249">
        <v>4918</v>
      </c>
      <c r="F38" s="249"/>
      <c r="G38" s="249"/>
      <c r="H38" s="249"/>
      <c r="I38" s="249">
        <f t="shared" si="5"/>
        <v>0</v>
      </c>
      <c r="J38" s="249"/>
      <c r="K38" s="249"/>
      <c r="L38" s="249">
        <f t="shared" si="6"/>
        <v>2857</v>
      </c>
      <c r="M38" s="249"/>
      <c r="N38" s="249">
        <v>2857</v>
      </c>
      <c r="O38" s="249"/>
      <c r="P38" s="249"/>
      <c r="Q38" s="249"/>
      <c r="R38" s="249">
        <f t="shared" si="7"/>
        <v>0</v>
      </c>
      <c r="S38" s="249"/>
      <c r="T38" s="249"/>
      <c r="U38" s="267"/>
      <c r="V38" s="268">
        <f t="shared" si="2"/>
        <v>58.092720618137449</v>
      </c>
      <c r="W38" s="268"/>
      <c r="X38" s="268">
        <f t="shared" si="3"/>
        <v>58.092720618137449</v>
      </c>
    </row>
    <row r="39" spans="1:24">
      <c r="A39" s="232">
        <v>29</v>
      </c>
      <c r="B39" s="239" t="s">
        <v>304</v>
      </c>
      <c r="C39" s="249">
        <f t="shared" si="4"/>
        <v>0</v>
      </c>
      <c r="D39" s="249"/>
      <c r="E39" s="249"/>
      <c r="F39" s="249"/>
      <c r="G39" s="249"/>
      <c r="H39" s="249"/>
      <c r="I39" s="249">
        <f t="shared" si="5"/>
        <v>0</v>
      </c>
      <c r="J39" s="249"/>
      <c r="K39" s="249"/>
      <c r="L39" s="249">
        <f t="shared" si="6"/>
        <v>0</v>
      </c>
      <c r="M39" s="249"/>
      <c r="N39" s="249"/>
      <c r="O39" s="249"/>
      <c r="P39" s="249"/>
      <c r="Q39" s="249"/>
      <c r="R39" s="249">
        <f t="shared" si="7"/>
        <v>0</v>
      </c>
      <c r="S39" s="249"/>
      <c r="T39" s="249"/>
      <c r="U39" s="267"/>
      <c r="V39" s="268"/>
      <c r="W39" s="268"/>
      <c r="X39" s="268"/>
    </row>
    <row r="40" spans="1:24">
      <c r="A40" s="232">
        <v>30</v>
      </c>
      <c r="B40" s="239" t="s">
        <v>305</v>
      </c>
      <c r="C40" s="249">
        <f t="shared" si="4"/>
        <v>7203</v>
      </c>
      <c r="D40" s="249"/>
      <c r="E40" s="249">
        <v>7203</v>
      </c>
      <c r="F40" s="249"/>
      <c r="G40" s="249"/>
      <c r="H40" s="249"/>
      <c r="I40" s="249">
        <f t="shared" si="5"/>
        <v>0</v>
      </c>
      <c r="J40" s="249"/>
      <c r="K40" s="249"/>
      <c r="L40" s="249">
        <f t="shared" si="6"/>
        <v>20098</v>
      </c>
      <c r="M40" s="249"/>
      <c r="N40" s="249">
        <v>20098</v>
      </c>
      <c r="O40" s="249"/>
      <c r="P40" s="249"/>
      <c r="Q40" s="249"/>
      <c r="R40" s="249">
        <f t="shared" si="7"/>
        <v>0</v>
      </c>
      <c r="S40" s="249"/>
      <c r="T40" s="249"/>
      <c r="U40" s="267"/>
      <c r="V40" s="268">
        <f t="shared" si="2"/>
        <v>279.02262945994727</v>
      </c>
      <c r="W40" s="268"/>
      <c r="X40" s="268">
        <f t="shared" si="3"/>
        <v>279.02262945994727</v>
      </c>
    </row>
    <row r="41" spans="1:24">
      <c r="A41" s="232">
        <v>31</v>
      </c>
      <c r="B41" s="239" t="s">
        <v>306</v>
      </c>
      <c r="C41" s="249">
        <f t="shared" si="4"/>
        <v>5458</v>
      </c>
      <c r="D41" s="249"/>
      <c r="E41" s="249">
        <v>5458</v>
      </c>
      <c r="F41" s="249"/>
      <c r="G41" s="249"/>
      <c r="H41" s="249"/>
      <c r="I41" s="249">
        <f t="shared" si="5"/>
        <v>0</v>
      </c>
      <c r="J41" s="249"/>
      <c r="K41" s="249"/>
      <c r="L41" s="249">
        <f t="shared" si="6"/>
        <v>22394</v>
      </c>
      <c r="M41" s="249"/>
      <c r="N41" s="249">
        <v>22394</v>
      </c>
      <c r="O41" s="249"/>
      <c r="P41" s="249"/>
      <c r="Q41" s="249"/>
      <c r="R41" s="249">
        <f t="shared" si="7"/>
        <v>0</v>
      </c>
      <c r="S41" s="249"/>
      <c r="T41" s="249"/>
      <c r="U41" s="267"/>
      <c r="V41" s="268">
        <f t="shared" si="2"/>
        <v>410.29681201905464</v>
      </c>
      <c r="W41" s="268"/>
      <c r="X41" s="268">
        <f t="shared" si="3"/>
        <v>410.29681201905464</v>
      </c>
    </row>
    <row r="42" spans="1:24">
      <c r="A42" s="232">
        <v>32</v>
      </c>
      <c r="B42" s="239" t="s">
        <v>307</v>
      </c>
      <c r="C42" s="249">
        <f t="shared" si="4"/>
        <v>36971</v>
      </c>
      <c r="D42" s="249"/>
      <c r="E42" s="249">
        <v>36971</v>
      </c>
      <c r="F42" s="249"/>
      <c r="G42" s="249"/>
      <c r="H42" s="249"/>
      <c r="I42" s="249">
        <f t="shared" si="5"/>
        <v>0</v>
      </c>
      <c r="J42" s="249"/>
      <c r="K42" s="249"/>
      <c r="L42" s="249">
        <f t="shared" si="6"/>
        <v>70240</v>
      </c>
      <c r="M42" s="249"/>
      <c r="N42" s="249">
        <v>70240</v>
      </c>
      <c r="O42" s="249"/>
      <c r="P42" s="249"/>
      <c r="Q42" s="249"/>
      <c r="R42" s="249">
        <f t="shared" si="7"/>
        <v>0</v>
      </c>
      <c r="S42" s="249"/>
      <c r="T42" s="249"/>
      <c r="U42" s="267"/>
      <c r="V42" s="268">
        <f t="shared" si="2"/>
        <v>189.98674636877553</v>
      </c>
      <c r="W42" s="268"/>
      <c r="X42" s="268">
        <f t="shared" si="3"/>
        <v>189.98674636877553</v>
      </c>
    </row>
    <row r="43" spans="1:24">
      <c r="A43" s="232">
        <v>33</v>
      </c>
      <c r="B43" s="239" t="s">
        <v>308</v>
      </c>
      <c r="C43" s="249">
        <f t="shared" si="4"/>
        <v>15271</v>
      </c>
      <c r="D43" s="249"/>
      <c r="E43" s="249">
        <v>15271</v>
      </c>
      <c r="F43" s="249"/>
      <c r="G43" s="249"/>
      <c r="H43" s="249"/>
      <c r="I43" s="249">
        <f t="shared" si="5"/>
        <v>0</v>
      </c>
      <c r="J43" s="249"/>
      <c r="K43" s="249"/>
      <c r="L43" s="249">
        <f t="shared" si="6"/>
        <v>27760</v>
      </c>
      <c r="M43" s="249"/>
      <c r="N43" s="249">
        <v>27760</v>
      </c>
      <c r="O43" s="249"/>
      <c r="P43" s="249"/>
      <c r="Q43" s="249"/>
      <c r="R43" s="249">
        <f t="shared" si="7"/>
        <v>0</v>
      </c>
      <c r="S43" s="249"/>
      <c r="T43" s="249"/>
      <c r="U43" s="267"/>
      <c r="V43" s="268">
        <f t="shared" si="2"/>
        <v>181.78246349289503</v>
      </c>
      <c r="W43" s="268"/>
      <c r="X43" s="268">
        <f t="shared" si="3"/>
        <v>181.78246349289503</v>
      </c>
    </row>
    <row r="44" spans="1:24" ht="30">
      <c r="A44" s="232">
        <v>34</v>
      </c>
      <c r="B44" s="239" t="s">
        <v>309</v>
      </c>
      <c r="C44" s="249">
        <f t="shared" si="4"/>
        <v>55379</v>
      </c>
      <c r="D44" s="249"/>
      <c r="E44" s="249">
        <f>48564+6815</f>
        <v>55379</v>
      </c>
      <c r="F44" s="249"/>
      <c r="G44" s="249"/>
      <c r="H44" s="249"/>
      <c r="I44" s="249">
        <f t="shared" si="5"/>
        <v>0</v>
      </c>
      <c r="J44" s="249"/>
      <c r="K44" s="249"/>
      <c r="L44" s="249">
        <f t="shared" si="6"/>
        <v>72132</v>
      </c>
      <c r="M44" s="249"/>
      <c r="N44" s="249">
        <f>64637+7495</f>
        <v>72132</v>
      </c>
      <c r="O44" s="249"/>
      <c r="P44" s="249"/>
      <c r="Q44" s="249"/>
      <c r="R44" s="249">
        <f t="shared" si="7"/>
        <v>0</v>
      </c>
      <c r="S44" s="249"/>
      <c r="T44" s="249"/>
      <c r="U44" s="267"/>
      <c r="V44" s="268">
        <f t="shared" si="2"/>
        <v>130.25153939218836</v>
      </c>
      <c r="W44" s="268"/>
      <c r="X44" s="268">
        <f t="shared" si="3"/>
        <v>130.25153939218836</v>
      </c>
    </row>
    <row r="45" spans="1:24">
      <c r="A45" s="232">
        <v>35</v>
      </c>
      <c r="B45" s="239" t="s">
        <v>310</v>
      </c>
      <c r="C45" s="249">
        <f t="shared" si="4"/>
        <v>23996</v>
      </c>
      <c r="D45" s="249"/>
      <c r="E45" s="249">
        <f>21896+2100</f>
        <v>23996</v>
      </c>
      <c r="F45" s="249"/>
      <c r="G45" s="249"/>
      <c r="H45" s="249"/>
      <c r="I45" s="249">
        <f t="shared" si="5"/>
        <v>0</v>
      </c>
      <c r="J45" s="249"/>
      <c r="K45" s="249"/>
      <c r="L45" s="249">
        <f t="shared" si="6"/>
        <v>47551</v>
      </c>
      <c r="M45" s="249"/>
      <c r="N45" s="249">
        <v>47551</v>
      </c>
      <c r="O45" s="249"/>
      <c r="P45" s="249"/>
      <c r="Q45" s="249"/>
      <c r="R45" s="249">
        <f t="shared" si="7"/>
        <v>0</v>
      </c>
      <c r="S45" s="249"/>
      <c r="T45" s="249"/>
      <c r="U45" s="267"/>
      <c r="V45" s="268">
        <f t="shared" si="2"/>
        <v>198.16219369894984</v>
      </c>
      <c r="W45" s="268"/>
      <c r="X45" s="268">
        <f t="shared" si="3"/>
        <v>198.16219369894984</v>
      </c>
    </row>
    <row r="46" spans="1:24" ht="30">
      <c r="A46" s="232">
        <v>36</v>
      </c>
      <c r="B46" s="233" t="s">
        <v>311</v>
      </c>
      <c r="C46" s="249">
        <f t="shared" si="4"/>
        <v>1859</v>
      </c>
      <c r="D46" s="249"/>
      <c r="E46" s="249">
        <v>1859</v>
      </c>
      <c r="F46" s="249"/>
      <c r="G46" s="249"/>
      <c r="H46" s="249"/>
      <c r="I46" s="249">
        <f t="shared" si="5"/>
        <v>0</v>
      </c>
      <c r="J46" s="249"/>
      <c r="K46" s="249"/>
      <c r="L46" s="249">
        <f t="shared" si="6"/>
        <v>3367</v>
      </c>
      <c r="M46" s="249"/>
      <c r="N46" s="249">
        <v>3367</v>
      </c>
      <c r="O46" s="249"/>
      <c r="P46" s="249"/>
      <c r="Q46" s="249"/>
      <c r="R46" s="249">
        <f t="shared" si="7"/>
        <v>0</v>
      </c>
      <c r="S46" s="249"/>
      <c r="T46" s="249"/>
      <c r="U46" s="267"/>
      <c r="V46" s="268">
        <f t="shared" si="2"/>
        <v>181.11888111888112</v>
      </c>
      <c r="W46" s="268"/>
      <c r="X46" s="268">
        <f t="shared" si="3"/>
        <v>181.11888111888112</v>
      </c>
    </row>
    <row r="47" spans="1:24">
      <c r="A47" s="232">
        <v>37</v>
      </c>
      <c r="B47" s="233" t="s">
        <v>312</v>
      </c>
      <c r="C47" s="249">
        <f t="shared" si="4"/>
        <v>0</v>
      </c>
      <c r="D47" s="249"/>
      <c r="E47" s="249"/>
      <c r="F47" s="249"/>
      <c r="G47" s="249"/>
      <c r="H47" s="249"/>
      <c r="I47" s="249">
        <f t="shared" si="5"/>
        <v>0</v>
      </c>
      <c r="J47" s="249"/>
      <c r="K47" s="249"/>
      <c r="L47" s="249">
        <f t="shared" si="6"/>
        <v>0</v>
      </c>
      <c r="M47" s="249"/>
      <c r="N47" s="249"/>
      <c r="O47" s="249"/>
      <c r="P47" s="249"/>
      <c r="Q47" s="249"/>
      <c r="R47" s="249">
        <f t="shared" si="7"/>
        <v>0</v>
      </c>
      <c r="S47" s="249"/>
      <c r="T47" s="249"/>
      <c r="U47" s="267"/>
      <c r="V47" s="268"/>
      <c r="W47" s="268"/>
      <c r="X47" s="268"/>
    </row>
    <row r="48" spans="1:24">
      <c r="A48" s="232">
        <v>38</v>
      </c>
      <c r="B48" s="234" t="s">
        <v>401</v>
      </c>
      <c r="C48" s="249">
        <f t="shared" si="4"/>
        <v>2342</v>
      </c>
      <c r="D48" s="249"/>
      <c r="E48" s="249">
        <v>2342</v>
      </c>
      <c r="F48" s="249"/>
      <c r="G48" s="249"/>
      <c r="H48" s="249"/>
      <c r="I48" s="249">
        <f t="shared" si="5"/>
        <v>0</v>
      </c>
      <c r="J48" s="249"/>
      <c r="K48" s="249"/>
      <c r="L48" s="249">
        <f t="shared" si="6"/>
        <v>3743</v>
      </c>
      <c r="M48" s="249">
        <v>1140</v>
      </c>
      <c r="N48" s="249">
        <v>2603</v>
      </c>
      <c r="O48" s="249"/>
      <c r="P48" s="249"/>
      <c r="Q48" s="249"/>
      <c r="R48" s="249">
        <f t="shared" si="7"/>
        <v>0</v>
      </c>
      <c r="S48" s="249"/>
      <c r="T48" s="249"/>
      <c r="U48" s="267"/>
      <c r="V48" s="268">
        <f t="shared" si="2"/>
        <v>159.82066609735267</v>
      </c>
      <c r="W48" s="268"/>
      <c r="X48" s="268">
        <f t="shared" si="3"/>
        <v>111.14432109308284</v>
      </c>
    </row>
    <row r="49" spans="1:24">
      <c r="A49" s="232">
        <v>39</v>
      </c>
      <c r="B49" s="235" t="s">
        <v>402</v>
      </c>
      <c r="C49" s="249">
        <f t="shared" si="4"/>
        <v>731</v>
      </c>
      <c r="D49" s="249"/>
      <c r="E49" s="249">
        <v>731</v>
      </c>
      <c r="F49" s="249"/>
      <c r="G49" s="249"/>
      <c r="H49" s="249"/>
      <c r="I49" s="249">
        <f t="shared" si="5"/>
        <v>0</v>
      </c>
      <c r="J49" s="249"/>
      <c r="K49" s="249"/>
      <c r="L49" s="249">
        <f t="shared" si="6"/>
        <v>933</v>
      </c>
      <c r="M49" s="249"/>
      <c r="N49" s="249">
        <v>933</v>
      </c>
      <c r="O49" s="249"/>
      <c r="P49" s="249"/>
      <c r="Q49" s="249"/>
      <c r="R49" s="249">
        <f t="shared" si="7"/>
        <v>0</v>
      </c>
      <c r="S49" s="249"/>
      <c r="T49" s="249"/>
      <c r="U49" s="267"/>
      <c r="V49" s="268">
        <f t="shared" si="2"/>
        <v>127.63337893296853</v>
      </c>
      <c r="W49" s="268"/>
      <c r="X49" s="268">
        <f t="shared" si="3"/>
        <v>127.63337893296853</v>
      </c>
    </row>
    <row r="50" spans="1:24">
      <c r="A50" s="232">
        <v>40</v>
      </c>
      <c r="B50" s="234" t="s">
        <v>321</v>
      </c>
      <c r="C50" s="249">
        <f t="shared" si="4"/>
        <v>734</v>
      </c>
      <c r="D50" s="249"/>
      <c r="E50" s="249">
        <v>734</v>
      </c>
      <c r="F50" s="249"/>
      <c r="G50" s="249"/>
      <c r="H50" s="249"/>
      <c r="I50" s="249">
        <f t="shared" si="5"/>
        <v>0</v>
      </c>
      <c r="J50" s="249"/>
      <c r="K50" s="249"/>
      <c r="L50" s="249">
        <f t="shared" si="6"/>
        <v>703</v>
      </c>
      <c r="M50" s="249"/>
      <c r="N50" s="249">
        <v>703</v>
      </c>
      <c r="O50" s="249"/>
      <c r="P50" s="249"/>
      <c r="Q50" s="249"/>
      <c r="R50" s="249">
        <f t="shared" si="7"/>
        <v>0</v>
      </c>
      <c r="S50" s="249"/>
      <c r="T50" s="249"/>
      <c r="U50" s="267"/>
      <c r="V50" s="268">
        <f t="shared" si="2"/>
        <v>95.776566757493185</v>
      </c>
      <c r="W50" s="268"/>
      <c r="X50" s="268">
        <f t="shared" si="3"/>
        <v>95.776566757493185</v>
      </c>
    </row>
    <row r="51" spans="1:24" ht="25.5">
      <c r="A51" s="232">
        <v>41</v>
      </c>
      <c r="B51" s="236" t="s">
        <v>403</v>
      </c>
      <c r="C51" s="249">
        <f t="shared" si="4"/>
        <v>580</v>
      </c>
      <c r="D51" s="249"/>
      <c r="E51" s="249">
        <v>580</v>
      </c>
      <c r="F51" s="249"/>
      <c r="G51" s="249"/>
      <c r="H51" s="249"/>
      <c r="I51" s="249">
        <f t="shared" si="5"/>
        <v>0</v>
      </c>
      <c r="J51" s="249"/>
      <c r="K51" s="249"/>
      <c r="L51" s="249">
        <f t="shared" si="6"/>
        <v>1092</v>
      </c>
      <c r="M51" s="249"/>
      <c r="N51" s="249">
        <v>1092</v>
      </c>
      <c r="O51" s="249"/>
      <c r="P51" s="249"/>
      <c r="Q51" s="249"/>
      <c r="R51" s="249">
        <f t="shared" si="7"/>
        <v>0</v>
      </c>
      <c r="S51" s="249"/>
      <c r="T51" s="249"/>
      <c r="U51" s="267"/>
      <c r="V51" s="268">
        <f t="shared" si="2"/>
        <v>188.27586206896552</v>
      </c>
      <c r="W51" s="268"/>
      <c r="X51" s="268">
        <f t="shared" si="3"/>
        <v>188.27586206896552</v>
      </c>
    </row>
    <row r="52" spans="1:24">
      <c r="A52" s="232">
        <v>42</v>
      </c>
      <c r="B52" s="237" t="s">
        <v>320</v>
      </c>
      <c r="C52" s="249">
        <f t="shared" si="4"/>
        <v>546</v>
      </c>
      <c r="D52" s="249"/>
      <c r="E52" s="249">
        <f>546</f>
        <v>546</v>
      </c>
      <c r="F52" s="249"/>
      <c r="G52" s="249"/>
      <c r="H52" s="249"/>
      <c r="I52" s="249">
        <f t="shared" si="5"/>
        <v>0</v>
      </c>
      <c r="J52" s="249"/>
      <c r="K52" s="249"/>
      <c r="L52" s="249">
        <f t="shared" si="6"/>
        <v>539</v>
      </c>
      <c r="M52" s="249"/>
      <c r="N52" s="249">
        <v>539</v>
      </c>
      <c r="O52" s="249"/>
      <c r="P52" s="249"/>
      <c r="Q52" s="249"/>
      <c r="R52" s="249">
        <f t="shared" si="7"/>
        <v>0</v>
      </c>
      <c r="S52" s="249"/>
      <c r="T52" s="249"/>
      <c r="U52" s="267"/>
      <c r="V52" s="268">
        <f t="shared" si="2"/>
        <v>98.71794871794873</v>
      </c>
      <c r="W52" s="268"/>
      <c r="X52" s="268">
        <f t="shared" si="3"/>
        <v>98.71794871794873</v>
      </c>
    </row>
    <row r="53" spans="1:24">
      <c r="A53" s="232">
        <v>43</v>
      </c>
      <c r="B53" s="234" t="s">
        <v>404</v>
      </c>
      <c r="C53" s="249">
        <f t="shared" si="4"/>
        <v>747</v>
      </c>
      <c r="D53" s="249"/>
      <c r="E53" s="249">
        <f>647+100</f>
        <v>747</v>
      </c>
      <c r="F53" s="249"/>
      <c r="G53" s="249"/>
      <c r="H53" s="249"/>
      <c r="I53" s="249">
        <f t="shared" si="5"/>
        <v>0</v>
      </c>
      <c r="J53" s="249"/>
      <c r="K53" s="249"/>
      <c r="L53" s="249">
        <f t="shared" si="6"/>
        <v>735</v>
      </c>
      <c r="M53" s="249"/>
      <c r="N53" s="249">
        <v>735</v>
      </c>
      <c r="O53" s="249"/>
      <c r="P53" s="249"/>
      <c r="Q53" s="249"/>
      <c r="R53" s="249">
        <f t="shared" si="7"/>
        <v>0</v>
      </c>
      <c r="S53" s="249"/>
      <c r="T53" s="249"/>
      <c r="U53" s="267"/>
      <c r="V53" s="268">
        <f t="shared" si="2"/>
        <v>98.393574297188763</v>
      </c>
      <c r="W53" s="268"/>
      <c r="X53" s="268">
        <f t="shared" si="3"/>
        <v>98.393574297188763</v>
      </c>
    </row>
    <row r="54" spans="1:24">
      <c r="A54" s="232">
        <v>44</v>
      </c>
      <c r="B54" s="238" t="s">
        <v>405</v>
      </c>
      <c r="C54" s="249">
        <f t="shared" si="4"/>
        <v>2133</v>
      </c>
      <c r="D54" s="249"/>
      <c r="E54" s="249">
        <f>1603+530</f>
        <v>2133</v>
      </c>
      <c r="F54" s="249"/>
      <c r="G54" s="249"/>
      <c r="H54" s="249"/>
      <c r="I54" s="249">
        <f t="shared" si="5"/>
        <v>0</v>
      </c>
      <c r="J54" s="249"/>
      <c r="K54" s="249"/>
      <c r="L54" s="249">
        <f t="shared" si="6"/>
        <v>2197</v>
      </c>
      <c r="M54" s="249"/>
      <c r="N54" s="249">
        <v>2197</v>
      </c>
      <c r="O54" s="249"/>
      <c r="P54" s="249"/>
      <c r="Q54" s="249"/>
      <c r="R54" s="249">
        <f t="shared" si="7"/>
        <v>0</v>
      </c>
      <c r="S54" s="249"/>
      <c r="T54" s="249"/>
      <c r="U54" s="267"/>
      <c r="V54" s="268">
        <f t="shared" si="2"/>
        <v>103.00046882325364</v>
      </c>
      <c r="W54" s="268"/>
      <c r="X54" s="268">
        <f t="shared" si="3"/>
        <v>103.00046882325364</v>
      </c>
    </row>
    <row r="55" spans="1:24">
      <c r="A55" s="232">
        <v>45</v>
      </c>
      <c r="B55" s="234" t="s">
        <v>406</v>
      </c>
      <c r="C55" s="249">
        <f t="shared" si="4"/>
        <v>2391</v>
      </c>
      <c r="D55" s="249"/>
      <c r="E55" s="249">
        <v>2391</v>
      </c>
      <c r="F55" s="249"/>
      <c r="G55" s="249"/>
      <c r="H55" s="249"/>
      <c r="I55" s="249">
        <f t="shared" si="5"/>
        <v>0</v>
      </c>
      <c r="J55" s="249"/>
      <c r="K55" s="249"/>
      <c r="L55" s="249">
        <f t="shared" si="6"/>
        <v>2158</v>
      </c>
      <c r="M55" s="249"/>
      <c r="N55" s="249">
        <v>2158</v>
      </c>
      <c r="O55" s="249"/>
      <c r="P55" s="249"/>
      <c r="Q55" s="249"/>
      <c r="R55" s="249">
        <f t="shared" si="7"/>
        <v>0</v>
      </c>
      <c r="S55" s="249"/>
      <c r="T55" s="249"/>
      <c r="U55" s="267"/>
      <c r="V55" s="268">
        <f t="shared" si="2"/>
        <v>90.255123379339182</v>
      </c>
      <c r="W55" s="268"/>
      <c r="X55" s="268">
        <f t="shared" si="3"/>
        <v>90.255123379339182</v>
      </c>
    </row>
    <row r="56" spans="1:24">
      <c r="A56" s="232">
        <v>46</v>
      </c>
      <c r="B56" s="237" t="s">
        <v>384</v>
      </c>
      <c r="C56" s="249">
        <f t="shared" si="4"/>
        <v>1511</v>
      </c>
      <c r="D56" s="249"/>
      <c r="E56" s="249">
        <v>1511</v>
      </c>
      <c r="F56" s="249"/>
      <c r="G56" s="249"/>
      <c r="H56" s="249"/>
      <c r="I56" s="249">
        <f t="shared" si="5"/>
        <v>0</v>
      </c>
      <c r="J56" s="249"/>
      <c r="K56" s="249"/>
      <c r="L56" s="249">
        <f t="shared" si="6"/>
        <v>2536</v>
      </c>
      <c r="M56" s="249"/>
      <c r="N56" s="249">
        <v>2390</v>
      </c>
      <c r="O56" s="249"/>
      <c r="P56" s="249"/>
      <c r="Q56" s="249"/>
      <c r="R56" s="249">
        <f t="shared" si="7"/>
        <v>146</v>
      </c>
      <c r="S56" s="249"/>
      <c r="T56" s="249">
        <v>146</v>
      </c>
      <c r="U56" s="267"/>
      <c r="V56" s="268">
        <f t="shared" si="2"/>
        <v>167.83587028457976</v>
      </c>
      <c r="W56" s="268"/>
      <c r="X56" s="268">
        <f t="shared" si="3"/>
        <v>158.17339510258108</v>
      </c>
    </row>
    <row r="57" spans="1:24">
      <c r="A57" s="232">
        <v>47</v>
      </c>
      <c r="B57" s="234" t="s">
        <v>322</v>
      </c>
      <c r="C57" s="249">
        <f t="shared" si="4"/>
        <v>452</v>
      </c>
      <c r="D57" s="249"/>
      <c r="E57" s="249">
        <v>452</v>
      </c>
      <c r="F57" s="249"/>
      <c r="G57" s="249"/>
      <c r="H57" s="249"/>
      <c r="I57" s="249">
        <f t="shared" si="5"/>
        <v>0</v>
      </c>
      <c r="J57" s="249"/>
      <c r="K57" s="249"/>
      <c r="L57" s="249">
        <f t="shared" si="6"/>
        <v>428</v>
      </c>
      <c r="M57" s="249"/>
      <c r="N57" s="249">
        <v>428</v>
      </c>
      <c r="O57" s="249"/>
      <c r="P57" s="249"/>
      <c r="Q57" s="249"/>
      <c r="R57" s="249">
        <f t="shared" si="7"/>
        <v>0</v>
      </c>
      <c r="S57" s="249"/>
      <c r="T57" s="249"/>
      <c r="U57" s="267"/>
      <c r="V57" s="268">
        <f t="shared" si="2"/>
        <v>94.690265486725664</v>
      </c>
      <c r="W57" s="268"/>
      <c r="X57" s="268">
        <f t="shared" si="3"/>
        <v>94.690265486725664</v>
      </c>
    </row>
    <row r="58" spans="1:24" ht="25.5">
      <c r="A58" s="232">
        <v>48</v>
      </c>
      <c r="B58" s="237" t="s">
        <v>407</v>
      </c>
      <c r="C58" s="249">
        <f t="shared" si="4"/>
        <v>906</v>
      </c>
      <c r="D58" s="249"/>
      <c r="E58" s="249">
        <v>906</v>
      </c>
      <c r="F58" s="249"/>
      <c r="G58" s="249"/>
      <c r="H58" s="249"/>
      <c r="I58" s="249">
        <f t="shared" si="5"/>
        <v>0</v>
      </c>
      <c r="J58" s="249"/>
      <c r="K58" s="249"/>
      <c r="L58" s="249">
        <f t="shared" si="6"/>
        <v>898</v>
      </c>
      <c r="M58" s="249"/>
      <c r="N58" s="249">
        <v>898</v>
      </c>
      <c r="O58" s="249"/>
      <c r="P58" s="249"/>
      <c r="Q58" s="249"/>
      <c r="R58" s="249">
        <f t="shared" si="7"/>
        <v>0</v>
      </c>
      <c r="S58" s="249"/>
      <c r="T58" s="249"/>
      <c r="U58" s="267"/>
      <c r="V58" s="268">
        <f t="shared" si="2"/>
        <v>99.116997792494473</v>
      </c>
      <c r="W58" s="268"/>
      <c r="X58" s="268">
        <f t="shared" si="3"/>
        <v>99.116997792494473</v>
      </c>
    </row>
    <row r="59" spans="1:24">
      <c r="A59" s="232">
        <v>49</v>
      </c>
      <c r="B59" s="234" t="s">
        <v>408</v>
      </c>
      <c r="C59" s="249">
        <f t="shared" si="4"/>
        <v>939</v>
      </c>
      <c r="D59" s="249"/>
      <c r="E59" s="249">
        <v>939</v>
      </c>
      <c r="F59" s="249"/>
      <c r="G59" s="249"/>
      <c r="H59" s="249"/>
      <c r="I59" s="249">
        <f t="shared" si="5"/>
        <v>0</v>
      </c>
      <c r="J59" s="249"/>
      <c r="K59" s="249"/>
      <c r="L59" s="249">
        <f t="shared" si="6"/>
        <v>846</v>
      </c>
      <c r="M59" s="249"/>
      <c r="N59" s="249">
        <v>846</v>
      </c>
      <c r="O59" s="249"/>
      <c r="P59" s="249"/>
      <c r="Q59" s="249"/>
      <c r="R59" s="249">
        <f t="shared" si="7"/>
        <v>0</v>
      </c>
      <c r="S59" s="249"/>
      <c r="T59" s="249"/>
      <c r="U59" s="267"/>
      <c r="V59" s="268">
        <f t="shared" si="2"/>
        <v>90.095846645367416</v>
      </c>
      <c r="W59" s="268"/>
      <c r="X59" s="268">
        <f t="shared" si="3"/>
        <v>90.095846645367416</v>
      </c>
    </row>
    <row r="60" spans="1:24">
      <c r="A60" s="232">
        <v>50</v>
      </c>
      <c r="B60" s="234" t="s">
        <v>324</v>
      </c>
      <c r="C60" s="249">
        <f t="shared" si="4"/>
        <v>550</v>
      </c>
      <c r="D60" s="249"/>
      <c r="E60" s="249">
        <v>550</v>
      </c>
      <c r="F60" s="249"/>
      <c r="G60" s="249"/>
      <c r="H60" s="249"/>
      <c r="I60" s="249">
        <f t="shared" si="5"/>
        <v>0</v>
      </c>
      <c r="J60" s="249"/>
      <c r="K60" s="249"/>
      <c r="L60" s="249">
        <f t="shared" si="6"/>
        <v>710</v>
      </c>
      <c r="M60" s="249"/>
      <c r="N60" s="249">
        <v>510</v>
      </c>
      <c r="O60" s="249"/>
      <c r="P60" s="249"/>
      <c r="Q60" s="249">
        <v>200</v>
      </c>
      <c r="R60" s="249">
        <f t="shared" si="7"/>
        <v>0</v>
      </c>
      <c r="S60" s="249"/>
      <c r="T60" s="249"/>
      <c r="U60" s="267"/>
      <c r="V60" s="268">
        <f t="shared" si="2"/>
        <v>129.09090909090909</v>
      </c>
      <c r="W60" s="268"/>
      <c r="X60" s="268">
        <f t="shared" si="3"/>
        <v>92.72727272727272</v>
      </c>
    </row>
    <row r="61" spans="1:24">
      <c r="A61" s="232">
        <v>51</v>
      </c>
      <c r="B61" s="234" t="s">
        <v>409</v>
      </c>
      <c r="C61" s="249">
        <f t="shared" si="4"/>
        <v>570</v>
      </c>
      <c r="D61" s="249"/>
      <c r="E61" s="249">
        <v>570</v>
      </c>
      <c r="F61" s="249"/>
      <c r="G61" s="249"/>
      <c r="H61" s="249"/>
      <c r="I61" s="249">
        <f t="shared" si="5"/>
        <v>0</v>
      </c>
      <c r="J61" s="249"/>
      <c r="K61" s="249"/>
      <c r="L61" s="249">
        <f t="shared" si="6"/>
        <v>784</v>
      </c>
      <c r="M61" s="249"/>
      <c r="N61" s="249">
        <v>527</v>
      </c>
      <c r="O61" s="249"/>
      <c r="P61" s="249"/>
      <c r="Q61" s="249">
        <v>257</v>
      </c>
      <c r="R61" s="249">
        <f t="shared" si="7"/>
        <v>0</v>
      </c>
      <c r="S61" s="249"/>
      <c r="T61" s="249"/>
      <c r="U61" s="267"/>
      <c r="V61" s="268">
        <f t="shared" si="2"/>
        <v>137.54385964912282</v>
      </c>
      <c r="W61" s="268"/>
      <c r="X61" s="268">
        <f t="shared" si="3"/>
        <v>92.456140350877192</v>
      </c>
    </row>
    <row r="62" spans="1:24">
      <c r="A62" s="232">
        <v>52</v>
      </c>
      <c r="B62" s="234" t="s">
        <v>325</v>
      </c>
      <c r="C62" s="249">
        <f t="shared" si="4"/>
        <v>361</v>
      </c>
      <c r="D62" s="249"/>
      <c r="E62" s="249">
        <v>361</v>
      </c>
      <c r="F62" s="249"/>
      <c r="G62" s="249"/>
      <c r="H62" s="249"/>
      <c r="I62" s="249">
        <f t="shared" si="5"/>
        <v>0</v>
      </c>
      <c r="J62" s="249"/>
      <c r="K62" s="249"/>
      <c r="L62" s="249">
        <f t="shared" si="6"/>
        <v>1112</v>
      </c>
      <c r="M62" s="249"/>
      <c r="N62" s="249">
        <v>1112</v>
      </c>
      <c r="O62" s="249"/>
      <c r="P62" s="249"/>
      <c r="Q62" s="249"/>
      <c r="R62" s="249">
        <f t="shared" si="7"/>
        <v>0</v>
      </c>
      <c r="S62" s="249"/>
      <c r="T62" s="249"/>
      <c r="U62" s="267"/>
      <c r="V62" s="268">
        <f t="shared" si="2"/>
        <v>308.03324099722988</v>
      </c>
      <c r="W62" s="268"/>
      <c r="X62" s="268">
        <f t="shared" si="3"/>
        <v>308.03324099722988</v>
      </c>
    </row>
    <row r="63" spans="1:24" s="270" customFormat="1">
      <c r="A63" s="232">
        <v>53</v>
      </c>
      <c r="B63" s="237" t="s">
        <v>323</v>
      </c>
      <c r="C63" s="249">
        <f t="shared" si="4"/>
        <v>592</v>
      </c>
      <c r="D63" s="269"/>
      <c r="E63" s="269">
        <v>592</v>
      </c>
      <c r="F63" s="269"/>
      <c r="G63" s="269"/>
      <c r="H63" s="269"/>
      <c r="I63" s="249">
        <f t="shared" si="5"/>
        <v>0</v>
      </c>
      <c r="J63" s="269"/>
      <c r="K63" s="269"/>
      <c r="L63" s="249">
        <f t="shared" si="6"/>
        <v>451</v>
      </c>
      <c r="M63" s="269"/>
      <c r="N63" s="269">
        <v>451</v>
      </c>
      <c r="O63" s="269"/>
      <c r="P63" s="269"/>
      <c r="Q63" s="269"/>
      <c r="R63" s="249">
        <f t="shared" si="7"/>
        <v>0</v>
      </c>
      <c r="S63" s="269"/>
      <c r="T63" s="269"/>
      <c r="U63" s="269"/>
      <c r="V63" s="268">
        <f t="shared" si="2"/>
        <v>76.182432432432435</v>
      </c>
      <c r="W63" s="268"/>
      <c r="X63" s="268">
        <f t="shared" si="3"/>
        <v>76.182432432432435</v>
      </c>
    </row>
    <row r="64" spans="1:24">
      <c r="A64" s="232">
        <v>54</v>
      </c>
      <c r="B64" s="237" t="s">
        <v>410</v>
      </c>
      <c r="C64" s="249">
        <f t="shared" si="4"/>
        <v>486</v>
      </c>
      <c r="D64" s="249"/>
      <c r="E64" s="249">
        <v>486</v>
      </c>
      <c r="F64" s="249"/>
      <c r="G64" s="249"/>
      <c r="H64" s="249"/>
      <c r="I64" s="249">
        <f t="shared" si="5"/>
        <v>0</v>
      </c>
      <c r="J64" s="249"/>
      <c r="K64" s="249"/>
      <c r="L64" s="249">
        <f t="shared" si="6"/>
        <v>1012</v>
      </c>
      <c r="M64" s="249"/>
      <c r="N64" s="249">
        <v>1012</v>
      </c>
      <c r="O64" s="249"/>
      <c r="P64" s="249"/>
      <c r="Q64" s="249"/>
      <c r="R64" s="249">
        <f t="shared" si="7"/>
        <v>0</v>
      </c>
      <c r="S64" s="249"/>
      <c r="T64" s="249"/>
      <c r="U64" s="267"/>
      <c r="V64" s="268">
        <f t="shared" si="2"/>
        <v>208.23045267489712</v>
      </c>
      <c r="W64" s="268"/>
      <c r="X64" s="268">
        <f t="shared" si="3"/>
        <v>208.23045267489712</v>
      </c>
    </row>
    <row r="65" spans="1:24">
      <c r="A65" s="232">
        <v>55</v>
      </c>
      <c r="B65" s="239" t="s">
        <v>414</v>
      </c>
      <c r="C65" s="249">
        <f t="shared" si="4"/>
        <v>0</v>
      </c>
      <c r="D65" s="249"/>
      <c r="E65" s="249"/>
      <c r="F65" s="249"/>
      <c r="G65" s="249"/>
      <c r="H65" s="249"/>
      <c r="I65" s="249">
        <f t="shared" si="5"/>
        <v>0</v>
      </c>
      <c r="J65" s="249"/>
      <c r="K65" s="249"/>
      <c r="L65" s="249">
        <f t="shared" si="6"/>
        <v>0</v>
      </c>
      <c r="M65" s="249"/>
      <c r="N65" s="249"/>
      <c r="O65" s="249"/>
      <c r="P65" s="249"/>
      <c r="Q65" s="249"/>
      <c r="R65" s="249">
        <f t="shared" si="7"/>
        <v>0</v>
      </c>
      <c r="S65" s="249"/>
      <c r="T65" s="249"/>
      <c r="U65" s="267"/>
      <c r="V65" s="268"/>
      <c r="W65" s="268"/>
      <c r="X65" s="268"/>
    </row>
    <row r="66" spans="1:24">
      <c r="A66" s="232">
        <v>56</v>
      </c>
      <c r="B66" s="239" t="s">
        <v>313</v>
      </c>
      <c r="C66" s="249">
        <f t="shared" si="4"/>
        <v>659858</v>
      </c>
      <c r="D66" s="249">
        <f>SUM(D67:D77)</f>
        <v>0</v>
      </c>
      <c r="E66" s="249">
        <f>SUM(E67:E77)</f>
        <v>615630</v>
      </c>
      <c r="F66" s="249">
        <f t="shared" ref="F66:U66" si="8">SUM(F67:F77)</f>
        <v>0</v>
      </c>
      <c r="G66" s="249">
        <f t="shared" si="8"/>
        <v>0</v>
      </c>
      <c r="H66" s="249">
        <f t="shared" si="8"/>
        <v>0</v>
      </c>
      <c r="I66" s="249">
        <f t="shared" si="8"/>
        <v>44228</v>
      </c>
      <c r="J66" s="249">
        <f t="shared" si="8"/>
        <v>0</v>
      </c>
      <c r="K66" s="249">
        <f t="shared" si="8"/>
        <v>44228</v>
      </c>
      <c r="L66" s="249">
        <f t="shared" si="8"/>
        <v>644210.60000000009</v>
      </c>
      <c r="M66" s="249">
        <f t="shared" si="8"/>
        <v>304915.40000000002</v>
      </c>
      <c r="N66" s="249">
        <f>SUM(N67:N77)</f>
        <v>281048.40000000002</v>
      </c>
      <c r="O66" s="249">
        <f t="shared" si="8"/>
        <v>0</v>
      </c>
      <c r="P66" s="249">
        <f t="shared" si="8"/>
        <v>0</v>
      </c>
      <c r="Q66" s="249">
        <f t="shared" si="8"/>
        <v>52671.4</v>
      </c>
      <c r="R66" s="249">
        <f t="shared" si="7"/>
        <v>5575.4</v>
      </c>
      <c r="S66" s="249">
        <f t="shared" si="8"/>
        <v>0</v>
      </c>
      <c r="T66" s="249">
        <f t="shared" si="8"/>
        <v>5575.4</v>
      </c>
      <c r="U66" s="249">
        <f t="shared" si="8"/>
        <v>0</v>
      </c>
      <c r="V66" s="268">
        <f t="shared" si="2"/>
        <v>97.628671623288668</v>
      </c>
      <c r="W66" s="268"/>
      <c r="X66" s="268">
        <f t="shared" si="3"/>
        <v>45.652161200721217</v>
      </c>
    </row>
    <row r="67" spans="1:24">
      <c r="A67" s="232">
        <v>57</v>
      </c>
      <c r="B67" s="239" t="s">
        <v>314</v>
      </c>
      <c r="C67" s="249">
        <f t="shared" si="4"/>
        <v>0</v>
      </c>
      <c r="D67" s="249"/>
      <c r="E67" s="249"/>
      <c r="F67" s="249"/>
      <c r="G67" s="249"/>
      <c r="H67" s="249"/>
      <c r="I67" s="249">
        <f t="shared" si="5"/>
        <v>0</v>
      </c>
      <c r="J67" s="249"/>
      <c r="K67" s="249"/>
      <c r="L67" s="249">
        <f t="shared" si="6"/>
        <v>2415</v>
      </c>
      <c r="M67" s="249"/>
      <c r="N67" s="249">
        <v>2415</v>
      </c>
      <c r="O67" s="249"/>
      <c r="P67" s="249"/>
      <c r="Q67" s="249"/>
      <c r="R67" s="249">
        <f t="shared" si="7"/>
        <v>0</v>
      </c>
      <c r="S67" s="249"/>
      <c r="T67" s="249"/>
      <c r="U67" s="267"/>
      <c r="V67" s="266"/>
      <c r="W67" s="266"/>
      <c r="X67" s="266"/>
    </row>
    <row r="68" spans="1:24">
      <c r="A68" s="232">
        <v>58</v>
      </c>
      <c r="B68" s="239" t="s">
        <v>315</v>
      </c>
      <c r="C68" s="249">
        <f t="shared" si="4"/>
        <v>0</v>
      </c>
      <c r="D68" s="249"/>
      <c r="E68" s="249"/>
      <c r="F68" s="249"/>
      <c r="G68" s="249"/>
      <c r="H68" s="249"/>
      <c r="I68" s="249">
        <f t="shared" si="5"/>
        <v>0</v>
      </c>
      <c r="J68" s="249"/>
      <c r="K68" s="249"/>
      <c r="L68" s="249">
        <f t="shared" si="6"/>
        <v>1474</v>
      </c>
      <c r="M68" s="249"/>
      <c r="N68" s="249">
        <v>1474</v>
      </c>
      <c r="O68" s="249"/>
      <c r="P68" s="249"/>
      <c r="Q68" s="249"/>
      <c r="R68" s="249">
        <f t="shared" si="7"/>
        <v>0</v>
      </c>
      <c r="S68" s="249"/>
      <c r="T68" s="249"/>
      <c r="U68" s="267"/>
      <c r="V68" s="266"/>
      <c r="W68" s="266"/>
      <c r="X68" s="266"/>
    </row>
    <row r="69" spans="1:24" ht="30">
      <c r="A69" s="232">
        <v>59</v>
      </c>
      <c r="B69" s="239" t="s">
        <v>316</v>
      </c>
      <c r="C69" s="249">
        <f t="shared" si="4"/>
        <v>40247</v>
      </c>
      <c r="D69" s="249"/>
      <c r="E69" s="249">
        <v>40247</v>
      </c>
      <c r="F69" s="249"/>
      <c r="G69" s="249"/>
      <c r="H69" s="249"/>
      <c r="I69" s="249">
        <f t="shared" si="5"/>
        <v>0</v>
      </c>
      <c r="J69" s="249"/>
      <c r="K69" s="249"/>
      <c r="L69" s="249">
        <f t="shared" si="6"/>
        <v>0</v>
      </c>
      <c r="M69" s="249"/>
      <c r="N69" s="249"/>
      <c r="O69" s="249"/>
      <c r="P69" s="249"/>
      <c r="Q69" s="249"/>
      <c r="R69" s="249">
        <f t="shared" si="7"/>
        <v>0</v>
      </c>
      <c r="S69" s="249"/>
      <c r="T69" s="249"/>
      <c r="U69" s="267"/>
      <c r="V69" s="268">
        <f t="shared" si="2"/>
        <v>0</v>
      </c>
      <c r="W69" s="268"/>
      <c r="X69" s="268">
        <f t="shared" si="3"/>
        <v>0</v>
      </c>
    </row>
    <row r="70" spans="1:24">
      <c r="A70" s="232">
        <v>60</v>
      </c>
      <c r="B70" s="241" t="s">
        <v>317</v>
      </c>
      <c r="C70" s="249">
        <f t="shared" si="4"/>
        <v>0</v>
      </c>
      <c r="D70" s="249"/>
      <c r="E70" s="249"/>
      <c r="F70" s="249"/>
      <c r="G70" s="249"/>
      <c r="H70" s="249"/>
      <c r="I70" s="249">
        <f t="shared" si="5"/>
        <v>0</v>
      </c>
      <c r="J70" s="249"/>
      <c r="K70" s="249"/>
      <c r="L70" s="249">
        <f t="shared" si="6"/>
        <v>0</v>
      </c>
      <c r="M70" s="249"/>
      <c r="N70" s="249"/>
      <c r="O70" s="249"/>
      <c r="P70" s="249"/>
      <c r="Q70" s="249"/>
      <c r="R70" s="249">
        <f t="shared" si="7"/>
        <v>0</v>
      </c>
      <c r="S70" s="249"/>
      <c r="T70" s="249"/>
      <c r="U70" s="267"/>
      <c r="V70" s="266"/>
      <c r="W70" s="266"/>
      <c r="X70" s="266"/>
    </row>
    <row r="71" spans="1:24">
      <c r="A71" s="232">
        <v>61</v>
      </c>
      <c r="B71" s="241" t="s">
        <v>1426</v>
      </c>
      <c r="C71" s="249">
        <f t="shared" si="4"/>
        <v>0</v>
      </c>
      <c r="D71" s="249"/>
      <c r="E71" s="249"/>
      <c r="F71" s="249"/>
      <c r="G71" s="249"/>
      <c r="H71" s="249"/>
      <c r="I71" s="249">
        <f t="shared" si="5"/>
        <v>0</v>
      </c>
      <c r="J71" s="249"/>
      <c r="K71" s="249"/>
      <c r="L71" s="249">
        <f t="shared" si="6"/>
        <v>104</v>
      </c>
      <c r="M71" s="249"/>
      <c r="N71" s="249">
        <v>104</v>
      </c>
      <c r="O71" s="249"/>
      <c r="P71" s="249"/>
      <c r="Q71" s="249"/>
      <c r="R71" s="249">
        <f t="shared" si="7"/>
        <v>0</v>
      </c>
      <c r="S71" s="249"/>
      <c r="T71" s="249"/>
      <c r="U71" s="267"/>
      <c r="V71" s="266"/>
      <c r="W71" s="266"/>
      <c r="X71" s="266"/>
    </row>
    <row r="72" spans="1:24">
      <c r="A72" s="232">
        <v>62</v>
      </c>
      <c r="B72" s="241" t="s">
        <v>412</v>
      </c>
      <c r="C72" s="249">
        <f t="shared" si="4"/>
        <v>0</v>
      </c>
      <c r="D72" s="249"/>
      <c r="E72" s="249"/>
      <c r="F72" s="249"/>
      <c r="G72" s="249"/>
      <c r="H72" s="249"/>
      <c r="I72" s="249">
        <f t="shared" si="5"/>
        <v>0</v>
      </c>
      <c r="J72" s="249"/>
      <c r="K72" s="249"/>
      <c r="L72" s="249">
        <f t="shared" si="6"/>
        <v>0</v>
      </c>
      <c r="M72" s="249"/>
      <c r="N72" s="249"/>
      <c r="O72" s="249"/>
      <c r="P72" s="249"/>
      <c r="Q72" s="249"/>
      <c r="R72" s="249">
        <f t="shared" si="7"/>
        <v>0</v>
      </c>
      <c r="S72" s="249"/>
      <c r="T72" s="249"/>
      <c r="U72" s="267"/>
      <c r="V72" s="268"/>
      <c r="W72" s="268"/>
      <c r="X72" s="268"/>
    </row>
    <row r="73" spans="1:24">
      <c r="A73" s="232">
        <v>63</v>
      </c>
      <c r="B73" s="239" t="s">
        <v>318</v>
      </c>
      <c r="C73" s="249">
        <f t="shared" si="4"/>
        <v>246238</v>
      </c>
      <c r="D73" s="249"/>
      <c r="E73" s="249">
        <v>246238</v>
      </c>
      <c r="F73" s="249"/>
      <c r="G73" s="249"/>
      <c r="H73" s="249"/>
      <c r="I73" s="249">
        <f t="shared" si="5"/>
        <v>0</v>
      </c>
      <c r="J73" s="249"/>
      <c r="K73" s="249"/>
      <c r="L73" s="249">
        <f t="shared" si="6"/>
        <v>0</v>
      </c>
      <c r="M73" s="249"/>
      <c r="N73" s="249"/>
      <c r="O73" s="249"/>
      <c r="P73" s="249"/>
      <c r="Q73" s="249"/>
      <c r="R73" s="249">
        <f t="shared" si="7"/>
        <v>0</v>
      </c>
      <c r="S73" s="249"/>
      <c r="T73" s="249"/>
      <c r="U73" s="267"/>
      <c r="V73" s="268">
        <f t="shared" si="2"/>
        <v>0</v>
      </c>
      <c r="W73" s="268"/>
      <c r="X73" s="268">
        <f t="shared" si="3"/>
        <v>0</v>
      </c>
    </row>
    <row r="74" spans="1:24">
      <c r="A74" s="232">
        <v>64</v>
      </c>
      <c r="B74" s="239" t="s">
        <v>319</v>
      </c>
      <c r="C74" s="249">
        <f t="shared" si="4"/>
        <v>0</v>
      </c>
      <c r="D74" s="249"/>
      <c r="E74" s="249"/>
      <c r="F74" s="249"/>
      <c r="G74" s="249"/>
      <c r="H74" s="249"/>
      <c r="I74" s="249">
        <f t="shared" si="5"/>
        <v>0</v>
      </c>
      <c r="J74" s="249"/>
      <c r="K74" s="249"/>
      <c r="L74" s="249">
        <f t="shared" si="6"/>
        <v>600</v>
      </c>
      <c r="M74" s="249"/>
      <c r="N74" s="249">
        <v>600</v>
      </c>
      <c r="O74" s="249"/>
      <c r="P74" s="249"/>
      <c r="Q74" s="249"/>
      <c r="R74" s="249">
        <f t="shared" si="7"/>
        <v>0</v>
      </c>
      <c r="S74" s="249"/>
      <c r="T74" s="249"/>
      <c r="U74" s="267"/>
      <c r="V74" s="268"/>
      <c r="W74" s="268"/>
      <c r="X74" s="268"/>
    </row>
    <row r="75" spans="1:24">
      <c r="A75" s="232">
        <v>65</v>
      </c>
      <c r="B75" s="239" t="s">
        <v>1427</v>
      </c>
      <c r="C75" s="249">
        <f t="shared" si="4"/>
        <v>373373</v>
      </c>
      <c r="D75" s="249"/>
      <c r="E75" s="249">
        <f>30000+223115+29218+16812+30000</f>
        <v>329145</v>
      </c>
      <c r="F75" s="249"/>
      <c r="G75" s="249"/>
      <c r="H75" s="249"/>
      <c r="I75" s="249">
        <f t="shared" si="5"/>
        <v>44228</v>
      </c>
      <c r="J75" s="249"/>
      <c r="K75" s="249">
        <v>44228</v>
      </c>
      <c r="L75" s="249">
        <f t="shared" si="6"/>
        <v>415867.60000000009</v>
      </c>
      <c r="M75" s="249">
        <f>81036+129+0.4</f>
        <v>81165.399999999994</v>
      </c>
      <c r="N75" s="249">
        <f>477622-N44-N45-N67-N68-N71-N74-76896+5+0.4</f>
        <v>276455.40000000002</v>
      </c>
      <c r="O75" s="249"/>
      <c r="P75" s="249"/>
      <c r="Q75" s="249">
        <f>52671+0.4</f>
        <v>52671.4</v>
      </c>
      <c r="R75" s="249">
        <f t="shared" si="7"/>
        <v>5575.4</v>
      </c>
      <c r="S75" s="249"/>
      <c r="T75" s="249">
        <f>5574+0.4+1</f>
        <v>5575.4</v>
      </c>
      <c r="U75" s="267"/>
      <c r="V75" s="268">
        <f t="shared" ref="V75:W83" si="9">L75/C75*100</f>
        <v>111.38127288261339</v>
      </c>
      <c r="W75" s="268"/>
      <c r="X75" s="268">
        <f t="shared" ref="X75" si="10">N75/E75*100</f>
        <v>83.991979218885305</v>
      </c>
    </row>
    <row r="76" spans="1:24" ht="45">
      <c r="A76" s="232">
        <v>66</v>
      </c>
      <c r="B76" s="239" t="s">
        <v>1428</v>
      </c>
      <c r="C76" s="249">
        <f t="shared" ref="C76:C85" si="11">D76+E76+F76+G76+I76+H76</f>
        <v>0</v>
      </c>
      <c r="D76" s="249"/>
      <c r="E76" s="249"/>
      <c r="F76" s="249"/>
      <c r="G76" s="249"/>
      <c r="H76" s="249"/>
      <c r="I76" s="249">
        <f t="shared" si="5"/>
        <v>0</v>
      </c>
      <c r="J76" s="249"/>
      <c r="K76" s="249"/>
      <c r="L76" s="249">
        <f t="shared" ref="L76:L85" si="12">M76+N76+O76+P76+R76+Q76+U76</f>
        <v>223750</v>
      </c>
      <c r="M76" s="249">
        <f>44+73+59+22+25000+75+2121+1135+421+803+126461+13+21783+1000+12246+755+7792+7813+3186+4593+931+2624+3000+1800</f>
        <v>223750</v>
      </c>
      <c r="N76" s="249"/>
      <c r="O76" s="249"/>
      <c r="P76" s="249"/>
      <c r="Q76" s="249"/>
      <c r="R76" s="249">
        <f t="shared" ref="R76:R85" si="13">SUM(S76:T76)</f>
        <v>0</v>
      </c>
      <c r="S76" s="249"/>
      <c r="T76" s="249"/>
      <c r="U76" s="267"/>
      <c r="V76" s="268"/>
      <c r="W76" s="268"/>
      <c r="X76" s="268"/>
    </row>
    <row r="77" spans="1:24">
      <c r="A77" s="232">
        <v>67</v>
      </c>
      <c r="B77" s="239" t="s">
        <v>413</v>
      </c>
      <c r="C77" s="249">
        <f t="shared" si="11"/>
        <v>0</v>
      </c>
      <c r="D77" s="249"/>
      <c r="E77" s="249"/>
      <c r="F77" s="249"/>
      <c r="G77" s="249"/>
      <c r="H77" s="249"/>
      <c r="I77" s="249">
        <f t="shared" ref="I77:I84" si="14">SUM(J77:K77)</f>
        <v>0</v>
      </c>
      <c r="J77" s="249"/>
      <c r="K77" s="249"/>
      <c r="L77" s="249">
        <f t="shared" si="12"/>
        <v>0</v>
      </c>
      <c r="M77" s="249"/>
      <c r="N77" s="249"/>
      <c r="O77" s="249"/>
      <c r="P77" s="249"/>
      <c r="Q77" s="249"/>
      <c r="R77" s="249">
        <f t="shared" si="13"/>
        <v>0</v>
      </c>
      <c r="S77" s="249"/>
      <c r="T77" s="249"/>
      <c r="U77" s="267"/>
      <c r="V77" s="268"/>
      <c r="W77" s="268"/>
      <c r="X77" s="268"/>
    </row>
    <row r="78" spans="1:24" s="260" customFormat="1" ht="28.5">
      <c r="A78" s="271" t="s">
        <v>16</v>
      </c>
      <c r="B78" s="272" t="s">
        <v>400</v>
      </c>
      <c r="C78" s="265">
        <f>D78+E78+F78+G78+I78+H78</f>
        <v>2903665</v>
      </c>
      <c r="D78" s="265">
        <f>1798667+1004898</f>
        <v>2803565</v>
      </c>
      <c r="E78" s="265"/>
      <c r="F78" s="265"/>
      <c r="G78" s="265"/>
      <c r="H78" s="265"/>
      <c r="I78" s="265">
        <f t="shared" si="14"/>
        <v>100100</v>
      </c>
      <c r="J78" s="265">
        <v>100100</v>
      </c>
      <c r="K78" s="265"/>
      <c r="L78" s="265">
        <f t="shared" si="12"/>
        <v>0</v>
      </c>
      <c r="M78" s="265"/>
      <c r="N78" s="265"/>
      <c r="O78" s="265"/>
      <c r="P78" s="265"/>
      <c r="Q78" s="265"/>
      <c r="R78" s="249">
        <f t="shared" si="13"/>
        <v>0</v>
      </c>
      <c r="S78" s="265"/>
      <c r="T78" s="265"/>
      <c r="U78" s="273"/>
      <c r="V78" s="266">
        <f t="shared" si="9"/>
        <v>0</v>
      </c>
      <c r="W78" s="266">
        <f t="shared" si="9"/>
        <v>0</v>
      </c>
      <c r="X78" s="266"/>
    </row>
    <row r="79" spans="1:24" s="260" customFormat="1" ht="63">
      <c r="A79" s="264" t="s">
        <v>16</v>
      </c>
      <c r="B79" s="265" t="s">
        <v>187</v>
      </c>
      <c r="C79" s="265">
        <f t="shared" si="11"/>
        <v>0</v>
      </c>
      <c r="D79" s="265"/>
      <c r="E79" s="265"/>
      <c r="F79" s="265"/>
      <c r="G79" s="265"/>
      <c r="H79" s="265"/>
      <c r="I79" s="265">
        <f t="shared" si="14"/>
        <v>0</v>
      </c>
      <c r="J79" s="265"/>
      <c r="K79" s="265"/>
      <c r="L79" s="265">
        <f t="shared" si="12"/>
        <v>145</v>
      </c>
      <c r="M79" s="265"/>
      <c r="N79" s="265"/>
      <c r="O79" s="265">
        <v>145</v>
      </c>
      <c r="P79" s="265"/>
      <c r="Q79" s="265"/>
      <c r="R79" s="249">
        <f t="shared" si="13"/>
        <v>0</v>
      </c>
      <c r="S79" s="265"/>
      <c r="T79" s="265"/>
      <c r="U79" s="273"/>
      <c r="V79" s="266"/>
      <c r="W79" s="266"/>
      <c r="X79" s="266"/>
    </row>
    <row r="80" spans="1:24" s="260" customFormat="1" ht="31.5">
      <c r="A80" s="264" t="s">
        <v>20</v>
      </c>
      <c r="B80" s="265" t="s">
        <v>188</v>
      </c>
      <c r="C80" s="265">
        <f t="shared" si="11"/>
        <v>1000</v>
      </c>
      <c r="D80" s="265"/>
      <c r="E80" s="265"/>
      <c r="F80" s="265"/>
      <c r="G80" s="265">
        <v>1000</v>
      </c>
      <c r="H80" s="265"/>
      <c r="I80" s="265">
        <f t="shared" si="14"/>
        <v>0</v>
      </c>
      <c r="J80" s="265"/>
      <c r="K80" s="265"/>
      <c r="L80" s="265">
        <f t="shared" si="12"/>
        <v>1000</v>
      </c>
      <c r="M80" s="265"/>
      <c r="N80" s="265"/>
      <c r="O80" s="265"/>
      <c r="P80" s="265">
        <v>1000</v>
      </c>
      <c r="Q80" s="265"/>
      <c r="R80" s="249">
        <f t="shared" si="13"/>
        <v>0</v>
      </c>
      <c r="S80" s="265"/>
      <c r="T80" s="265"/>
      <c r="U80" s="273"/>
      <c r="V80" s="266">
        <f t="shared" si="9"/>
        <v>100</v>
      </c>
      <c r="W80" s="266"/>
      <c r="X80" s="266"/>
    </row>
    <row r="81" spans="1:24" s="260" customFormat="1" ht="31.5">
      <c r="A81" s="264" t="s">
        <v>22</v>
      </c>
      <c r="B81" s="265" t="s">
        <v>189</v>
      </c>
      <c r="C81" s="265">
        <f t="shared" si="11"/>
        <v>85858</v>
      </c>
      <c r="D81" s="265"/>
      <c r="E81" s="265"/>
      <c r="F81" s="265"/>
      <c r="G81" s="265"/>
      <c r="H81" s="265">
        <v>85858</v>
      </c>
      <c r="I81" s="265">
        <f t="shared" si="14"/>
        <v>0</v>
      </c>
      <c r="J81" s="265"/>
      <c r="K81" s="265"/>
      <c r="L81" s="265">
        <f t="shared" si="12"/>
        <v>0</v>
      </c>
      <c r="M81" s="265"/>
      <c r="N81" s="265"/>
      <c r="O81" s="265"/>
      <c r="P81" s="265"/>
      <c r="Q81" s="265"/>
      <c r="R81" s="249">
        <f t="shared" si="13"/>
        <v>0</v>
      </c>
      <c r="S81" s="265"/>
      <c r="T81" s="265"/>
      <c r="U81" s="273"/>
      <c r="V81" s="266">
        <f t="shared" si="9"/>
        <v>0</v>
      </c>
      <c r="W81" s="266"/>
      <c r="X81" s="266"/>
    </row>
    <row r="82" spans="1:24" s="260" customFormat="1" ht="31.5">
      <c r="A82" s="264" t="s">
        <v>24</v>
      </c>
      <c r="B82" s="265" t="s">
        <v>190</v>
      </c>
      <c r="C82" s="265">
        <f t="shared" si="11"/>
        <v>211631</v>
      </c>
      <c r="D82" s="265"/>
      <c r="E82" s="265"/>
      <c r="F82" s="265"/>
      <c r="G82" s="265"/>
      <c r="H82" s="265">
        <v>211631</v>
      </c>
      <c r="I82" s="265">
        <f t="shared" si="14"/>
        <v>0</v>
      </c>
      <c r="J82" s="265"/>
      <c r="K82" s="265"/>
      <c r="L82" s="265">
        <f t="shared" si="12"/>
        <v>0</v>
      </c>
      <c r="M82" s="265"/>
      <c r="N82" s="265"/>
      <c r="O82" s="265"/>
      <c r="P82" s="265"/>
      <c r="Q82" s="265"/>
      <c r="R82" s="249">
        <f t="shared" si="13"/>
        <v>0</v>
      </c>
      <c r="S82" s="265"/>
      <c r="T82" s="265"/>
      <c r="U82" s="273"/>
      <c r="V82" s="266"/>
      <c r="W82" s="266"/>
      <c r="X82" s="266"/>
    </row>
    <row r="83" spans="1:24" s="260" customFormat="1" ht="47.25">
      <c r="A83" s="264" t="s">
        <v>141</v>
      </c>
      <c r="B83" s="265" t="s">
        <v>191</v>
      </c>
      <c r="C83" s="265">
        <f t="shared" si="11"/>
        <v>3591344</v>
      </c>
      <c r="D83" s="265">
        <v>252893</v>
      </c>
      <c r="E83" s="265">
        <f>172201+76750</f>
        <v>248951</v>
      </c>
      <c r="F83" s="265"/>
      <c r="G83" s="265"/>
      <c r="H83" s="265">
        <f>3591344-252893-248951</f>
        <v>3089500</v>
      </c>
      <c r="I83" s="265">
        <f t="shared" si="14"/>
        <v>0</v>
      </c>
      <c r="J83" s="265"/>
      <c r="K83" s="265"/>
      <c r="L83" s="265">
        <f t="shared" si="12"/>
        <v>4501420.523</v>
      </c>
      <c r="M83" s="265"/>
      <c r="N83" s="265"/>
      <c r="O83" s="265"/>
      <c r="P83" s="265"/>
      <c r="Q83" s="265">
        <f>'[1]59'!K10</f>
        <v>4501420.523</v>
      </c>
      <c r="R83" s="249">
        <f t="shared" si="13"/>
        <v>0</v>
      </c>
      <c r="S83" s="265"/>
      <c r="T83" s="265"/>
      <c r="U83" s="273"/>
      <c r="V83" s="266">
        <f t="shared" si="9"/>
        <v>125.34083404430207</v>
      </c>
      <c r="W83" s="266"/>
      <c r="X83" s="266"/>
    </row>
    <row r="84" spans="1:24" s="260" customFormat="1" ht="47.25">
      <c r="A84" s="264" t="s">
        <v>192</v>
      </c>
      <c r="B84" s="265" t="s">
        <v>193</v>
      </c>
      <c r="C84" s="265">
        <f t="shared" si="11"/>
        <v>0</v>
      </c>
      <c r="D84" s="265"/>
      <c r="E84" s="265"/>
      <c r="F84" s="265"/>
      <c r="G84" s="265"/>
      <c r="H84" s="265"/>
      <c r="I84" s="265">
        <f t="shared" si="14"/>
        <v>0</v>
      </c>
      <c r="J84" s="265"/>
      <c r="K84" s="265"/>
      <c r="L84" s="265">
        <f t="shared" si="12"/>
        <v>2304846</v>
      </c>
      <c r="M84" s="265"/>
      <c r="N84" s="265"/>
      <c r="O84" s="265"/>
      <c r="P84" s="265"/>
      <c r="Q84" s="265"/>
      <c r="R84" s="249">
        <f t="shared" si="13"/>
        <v>0</v>
      </c>
      <c r="S84" s="265"/>
      <c r="T84" s="265"/>
      <c r="U84" s="273">
        <f>'[1]52'!E47</f>
        <v>2304846</v>
      </c>
      <c r="V84" s="266"/>
      <c r="W84" s="266"/>
      <c r="X84" s="266"/>
    </row>
    <row r="85" spans="1:24" s="260" customFormat="1">
      <c r="A85" s="274" t="s">
        <v>416</v>
      </c>
      <c r="B85" s="275" t="s">
        <v>417</v>
      </c>
      <c r="C85" s="275">
        <f t="shared" si="11"/>
        <v>0</v>
      </c>
      <c r="D85" s="275"/>
      <c r="E85" s="275"/>
      <c r="F85" s="275"/>
      <c r="G85" s="275"/>
      <c r="H85" s="275"/>
      <c r="I85" s="275">
        <f t="shared" ref="I85" si="15">SUM(J85:K85)</f>
        <v>0</v>
      </c>
      <c r="J85" s="275"/>
      <c r="K85" s="275"/>
      <c r="L85" s="275">
        <f t="shared" si="12"/>
        <v>15257</v>
      </c>
      <c r="M85" s="275"/>
      <c r="N85" s="275"/>
      <c r="O85" s="275"/>
      <c r="P85" s="275"/>
      <c r="Q85" s="275">
        <f>'[1]52'!E48</f>
        <v>15257</v>
      </c>
      <c r="R85" s="276">
        <f t="shared" si="13"/>
        <v>0</v>
      </c>
      <c r="S85" s="275"/>
      <c r="T85" s="275"/>
      <c r="U85" s="277"/>
      <c r="V85" s="278"/>
      <c r="W85" s="278"/>
      <c r="X85" s="278"/>
    </row>
    <row r="86" spans="1:24" hidden="1">
      <c r="A86" s="352" t="s">
        <v>273</v>
      </c>
      <c r="B86" s="352"/>
      <c r="C86" s="352"/>
      <c r="D86" s="352"/>
      <c r="E86" s="352"/>
      <c r="F86" s="352"/>
      <c r="G86" s="352"/>
      <c r="H86" s="352"/>
      <c r="I86" s="352"/>
      <c r="J86" s="352"/>
      <c r="K86" s="352"/>
      <c r="L86" s="352"/>
      <c r="M86" s="352"/>
      <c r="N86" s="352"/>
      <c r="O86" s="352"/>
      <c r="P86" s="352"/>
      <c r="Q86" s="352"/>
      <c r="R86" s="352"/>
      <c r="S86" s="352"/>
      <c r="T86" s="352"/>
      <c r="U86" s="352"/>
      <c r="V86" s="352"/>
      <c r="W86" s="352"/>
      <c r="X86" s="352"/>
    </row>
    <row r="87" spans="1:24" hidden="1">
      <c r="A87" s="348" t="s">
        <v>194</v>
      </c>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hidden="1">
      <c r="A88" s="348" t="s">
        <v>195</v>
      </c>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hidden="1">
      <c r="A89" s="279"/>
    </row>
    <row r="90" spans="1:24" hidden="1"/>
    <row r="91" spans="1:24" hidden="1"/>
    <row r="92" spans="1:24" hidden="1"/>
    <row r="93" spans="1:24" hidden="1">
      <c r="N93" s="256">
        <v>1903614563118</v>
      </c>
    </row>
    <row r="94" spans="1:24" hidden="1">
      <c r="N94" s="256">
        <v>1864831855916</v>
      </c>
    </row>
    <row r="95" spans="1:24" hidden="1">
      <c r="N95" s="256">
        <f>55101889209-23280000000-2105724000-659019660</f>
        <v>29057145549</v>
      </c>
    </row>
    <row r="96" spans="1:24" hidden="1">
      <c r="N96" s="256">
        <v>6544358092</v>
      </c>
    </row>
    <row r="97" spans="14:14" hidden="1">
      <c r="N97" s="256">
        <v>3181203561</v>
      </c>
    </row>
    <row r="98" spans="14:14" hidden="1">
      <c r="N98" s="256">
        <f>N93-N94-N95-N96-N97</f>
        <v>0</v>
      </c>
    </row>
    <row r="99" spans="14:14" hidden="1">
      <c r="N99" s="256">
        <f>N93-34245214000</f>
        <v>1869369349118</v>
      </c>
    </row>
    <row r="100" spans="14:14" hidden="1">
      <c r="N100" s="256">
        <v>18280000000</v>
      </c>
    </row>
    <row r="101" spans="14:14" hidden="1">
      <c r="N101" s="256">
        <v>5000000000</v>
      </c>
    </row>
    <row r="102" spans="14:14" hidden="1">
      <c r="N102" s="256">
        <f>SUM(N99:N101)</f>
        <v>1892649349118</v>
      </c>
    </row>
    <row r="103" spans="14:14" hidden="1"/>
    <row r="104" spans="14:14" hidden="1"/>
  </sheetData>
  <mergeCells count="31">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7" t="s">
        <v>227</v>
      </c>
      <c r="U1" s="357"/>
      <c r="V1" s="357"/>
    </row>
    <row r="2" spans="1:22">
      <c r="A2" s="357" t="s">
        <v>350</v>
      </c>
      <c r="B2" s="357"/>
      <c r="C2" s="357"/>
      <c r="D2" s="357"/>
      <c r="E2" s="357"/>
      <c r="F2" s="357"/>
      <c r="G2" s="357"/>
      <c r="H2" s="357"/>
      <c r="I2" s="357"/>
      <c r="J2" s="357"/>
      <c r="K2" s="357"/>
      <c r="L2" s="357"/>
      <c r="M2" s="357"/>
      <c r="N2" s="357"/>
      <c r="O2" s="357"/>
      <c r="P2" s="357"/>
      <c r="Q2" s="357"/>
      <c r="R2" s="357"/>
      <c r="S2" s="357"/>
      <c r="T2" s="357"/>
      <c r="U2" s="357"/>
      <c r="V2" s="357"/>
    </row>
    <row r="3" spans="1:22">
      <c r="A3" s="357"/>
      <c r="B3" s="357"/>
      <c r="C3" s="357"/>
      <c r="D3" s="357"/>
      <c r="E3" s="357"/>
      <c r="F3" s="357"/>
      <c r="G3" s="357"/>
      <c r="H3" s="357"/>
      <c r="I3" s="357"/>
      <c r="J3" s="357"/>
      <c r="K3" s="357"/>
      <c r="L3" s="357"/>
      <c r="M3" s="357"/>
      <c r="N3" s="357"/>
      <c r="O3" s="357"/>
      <c r="P3" s="357"/>
      <c r="Q3" s="357"/>
      <c r="R3" s="357"/>
      <c r="S3" s="357"/>
      <c r="T3" s="357"/>
      <c r="U3" s="357"/>
      <c r="V3" s="357"/>
    </row>
    <row r="4" spans="1:22">
      <c r="A4" s="7"/>
      <c r="T4" s="363" t="s">
        <v>1</v>
      </c>
      <c r="U4" s="363"/>
      <c r="V4" s="363"/>
    </row>
    <row r="5" spans="1:22">
      <c r="A5" s="355" t="s">
        <v>2</v>
      </c>
      <c r="B5" s="355" t="s">
        <v>1402</v>
      </c>
      <c r="C5" s="355" t="s">
        <v>3</v>
      </c>
      <c r="D5" s="355"/>
      <c r="E5" s="355"/>
      <c r="F5" s="355"/>
      <c r="G5" s="355"/>
      <c r="H5" s="355"/>
      <c r="I5" s="355"/>
      <c r="J5" s="355"/>
      <c r="K5" s="355" t="s">
        <v>4</v>
      </c>
      <c r="L5" s="355"/>
      <c r="M5" s="355"/>
      <c r="N5" s="355"/>
      <c r="O5" s="355"/>
      <c r="P5" s="355"/>
      <c r="Q5" s="355"/>
      <c r="R5" s="355"/>
      <c r="S5" s="355"/>
      <c r="T5" s="355" t="s">
        <v>53</v>
      </c>
      <c r="U5" s="355"/>
      <c r="V5" s="355"/>
    </row>
    <row r="6" spans="1:22" ht="15.75" customHeight="1">
      <c r="A6" s="355"/>
      <c r="B6" s="355"/>
      <c r="C6" s="355" t="s">
        <v>180</v>
      </c>
      <c r="D6" s="358" t="s">
        <v>28</v>
      </c>
      <c r="E6" s="355" t="s">
        <v>29</v>
      </c>
      <c r="F6" s="355"/>
      <c r="G6" s="355"/>
      <c r="H6" s="355" t="s">
        <v>229</v>
      </c>
      <c r="I6" s="355"/>
      <c r="J6" s="355"/>
      <c r="K6" s="355" t="s">
        <v>180</v>
      </c>
      <c r="L6" s="358" t="s">
        <v>28</v>
      </c>
      <c r="M6" s="355" t="s">
        <v>29</v>
      </c>
      <c r="N6" s="355"/>
      <c r="O6" s="355"/>
      <c r="P6" s="355" t="s">
        <v>229</v>
      </c>
      <c r="Q6" s="355"/>
      <c r="R6" s="355"/>
      <c r="S6" s="355" t="s">
        <v>37</v>
      </c>
      <c r="T6" s="355" t="s">
        <v>180</v>
      </c>
      <c r="U6" s="355" t="s">
        <v>28</v>
      </c>
      <c r="V6" s="355" t="s">
        <v>29</v>
      </c>
    </row>
    <row r="7" spans="1:22" ht="15.75" customHeight="1">
      <c r="A7" s="355"/>
      <c r="B7" s="355"/>
      <c r="C7" s="355"/>
      <c r="D7" s="359"/>
      <c r="E7" s="355" t="s">
        <v>180</v>
      </c>
      <c r="F7" s="355" t="s">
        <v>203</v>
      </c>
      <c r="G7" s="355"/>
      <c r="H7" s="355" t="s">
        <v>180</v>
      </c>
      <c r="I7" s="355" t="s">
        <v>203</v>
      </c>
      <c r="J7" s="355"/>
      <c r="K7" s="355"/>
      <c r="L7" s="359"/>
      <c r="M7" s="355" t="s">
        <v>180</v>
      </c>
      <c r="N7" s="355" t="s">
        <v>203</v>
      </c>
      <c r="O7" s="355"/>
      <c r="P7" s="355" t="s">
        <v>180</v>
      </c>
      <c r="Q7" s="355" t="s">
        <v>203</v>
      </c>
      <c r="R7" s="355"/>
      <c r="S7" s="355"/>
      <c r="T7" s="355"/>
      <c r="U7" s="355"/>
      <c r="V7" s="355"/>
    </row>
    <row r="8" spans="1:22" ht="78.75">
      <c r="A8" s="355"/>
      <c r="B8" s="355"/>
      <c r="C8" s="355"/>
      <c r="D8" s="360"/>
      <c r="E8" s="355"/>
      <c r="F8" s="55" t="s">
        <v>230</v>
      </c>
      <c r="G8" s="212" t="s">
        <v>134</v>
      </c>
      <c r="H8" s="355"/>
      <c r="I8" s="55" t="s">
        <v>28</v>
      </c>
      <c r="J8" s="55" t="s">
        <v>29</v>
      </c>
      <c r="K8" s="355"/>
      <c r="L8" s="360"/>
      <c r="M8" s="355"/>
      <c r="N8" s="37" t="s">
        <v>230</v>
      </c>
      <c r="O8" s="212" t="s">
        <v>134</v>
      </c>
      <c r="P8" s="355"/>
      <c r="Q8" s="37" t="s">
        <v>28</v>
      </c>
      <c r="R8" s="37" t="s">
        <v>29</v>
      </c>
      <c r="S8" s="355"/>
      <c r="T8" s="355"/>
      <c r="U8" s="355"/>
      <c r="V8" s="355"/>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231</v>
      </c>
      <c r="U9" s="37" t="s">
        <v>232</v>
      </c>
      <c r="V9" s="37">
        <v>17</v>
      </c>
    </row>
    <row r="10" spans="1:22" s="63" customFormat="1">
      <c r="A10" s="33"/>
      <c r="B10" s="33" t="s">
        <v>184</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326</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327</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328</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329</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330</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331</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332</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333</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334</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335</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336</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276</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6" t="s">
        <v>238</v>
      </c>
      <c r="B24" s="356"/>
      <c r="C24" s="356"/>
      <c r="D24" s="356"/>
      <c r="E24" s="356"/>
      <c r="F24" s="356"/>
      <c r="G24" s="356"/>
      <c r="H24" s="356"/>
      <c r="I24" s="356"/>
      <c r="J24" s="356"/>
      <c r="K24" s="356"/>
      <c r="L24" s="356"/>
      <c r="M24" s="356"/>
      <c r="N24" s="356"/>
      <c r="O24" s="356"/>
      <c r="P24" s="356"/>
      <c r="Q24" s="356"/>
      <c r="R24" s="356"/>
      <c r="S24" s="356"/>
      <c r="T24" s="356"/>
      <c r="U24" s="356"/>
      <c r="V24" s="356"/>
    </row>
    <row r="25" spans="1:22" hidden="1">
      <c r="A25" s="356" t="s">
        <v>239</v>
      </c>
      <c r="B25" s="356"/>
      <c r="C25" s="356"/>
      <c r="D25" s="356"/>
      <c r="E25" s="356"/>
      <c r="F25" s="356"/>
      <c r="G25" s="356"/>
      <c r="H25" s="356"/>
      <c r="I25" s="356"/>
      <c r="J25" s="356"/>
      <c r="K25" s="356"/>
      <c r="L25" s="356"/>
      <c r="M25" s="356"/>
      <c r="N25" s="356"/>
      <c r="O25" s="356"/>
      <c r="P25" s="356"/>
      <c r="Q25" s="356"/>
      <c r="R25" s="356"/>
      <c r="S25" s="356"/>
      <c r="T25" s="356"/>
      <c r="U25" s="356"/>
      <c r="V25" s="356"/>
    </row>
    <row r="26" spans="1:22" hidden="1">
      <c r="A26" s="8"/>
    </row>
  </sheetData>
  <mergeCells count="33">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workbookViewId="0">
      <selection activeCell="A3" sqref="A3:H3"/>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3" t="str">
        <f>'62'!chuong_phuluc_48</f>
        <v>ỦY BAN NHÂN DÂN TỈNH TIỀN GIANG</v>
      </c>
      <c r="B1" s="373"/>
      <c r="C1" s="373"/>
      <c r="D1" s="373"/>
      <c r="X1" s="333" t="s">
        <v>1412</v>
      </c>
      <c r="Y1" s="333"/>
      <c r="Z1" s="333"/>
    </row>
    <row r="2" spans="1:26">
      <c r="A2" s="372" t="s">
        <v>1429</v>
      </c>
      <c r="B2" s="372"/>
      <c r="C2" s="372"/>
      <c r="D2" s="372"/>
      <c r="E2" s="372"/>
      <c r="F2" s="372"/>
      <c r="G2" s="372"/>
      <c r="H2" s="372"/>
      <c r="I2" s="372"/>
      <c r="J2" s="372"/>
      <c r="K2" s="372"/>
      <c r="L2" s="372"/>
      <c r="M2" s="372"/>
      <c r="N2" s="372"/>
      <c r="O2" s="372"/>
      <c r="P2" s="372"/>
      <c r="Q2" s="372"/>
      <c r="R2" s="372"/>
      <c r="S2" s="372"/>
      <c r="T2" s="372"/>
      <c r="U2" s="372"/>
      <c r="V2" s="372"/>
      <c r="W2" s="372"/>
      <c r="X2" s="372"/>
      <c r="Y2" s="372"/>
      <c r="Z2" s="372"/>
    </row>
    <row r="3" spans="1:26">
      <c r="A3" s="364" t="str">
        <f>'62'!A3:F3</f>
        <v>(Kèm theo Quyết định số ………../QĐ-UBND ngày    /01/2020 của Ủy ban nhân dân tỉnh Tiền Giang)</v>
      </c>
      <c r="B3" s="364"/>
      <c r="C3" s="364"/>
      <c r="D3" s="364"/>
      <c r="E3" s="364"/>
      <c r="F3" s="364"/>
      <c r="G3" s="364"/>
      <c r="H3" s="364"/>
      <c r="I3" s="364"/>
      <c r="J3" s="364"/>
      <c r="K3" s="364"/>
      <c r="L3" s="364"/>
      <c r="M3" s="364"/>
      <c r="N3" s="364"/>
      <c r="O3" s="364"/>
      <c r="P3" s="364"/>
      <c r="Q3" s="364"/>
      <c r="R3" s="364"/>
      <c r="S3" s="364"/>
      <c r="T3" s="364"/>
      <c r="U3" s="364"/>
      <c r="V3" s="364"/>
      <c r="W3" s="364"/>
      <c r="X3" s="364"/>
      <c r="Y3" s="364"/>
      <c r="Z3" s="364"/>
    </row>
    <row r="4" spans="1:26">
      <c r="A4" s="57"/>
      <c r="X4" s="371" t="s">
        <v>1</v>
      </c>
      <c r="Y4" s="371"/>
      <c r="Z4" s="371"/>
    </row>
    <row r="5" spans="1:26" ht="15.75" customHeight="1">
      <c r="A5" s="365" t="s">
        <v>2</v>
      </c>
      <c r="B5" s="365" t="s">
        <v>228</v>
      </c>
      <c r="C5" s="368" t="s">
        <v>3</v>
      </c>
      <c r="D5" s="369"/>
      <c r="E5" s="369"/>
      <c r="F5" s="369"/>
      <c r="G5" s="369"/>
      <c r="H5" s="369"/>
      <c r="I5" s="369"/>
      <c r="J5" s="370"/>
      <c r="K5" s="368" t="s">
        <v>4</v>
      </c>
      <c r="L5" s="369"/>
      <c r="M5" s="369"/>
      <c r="N5" s="369"/>
      <c r="O5" s="369"/>
      <c r="P5" s="369"/>
      <c r="Q5" s="369"/>
      <c r="R5" s="370"/>
      <c r="S5" s="368" t="s">
        <v>240</v>
      </c>
      <c r="T5" s="369"/>
      <c r="U5" s="369"/>
      <c r="V5" s="369"/>
      <c r="W5" s="369"/>
      <c r="X5" s="369"/>
      <c r="Y5" s="369"/>
      <c r="Z5" s="370"/>
    </row>
    <row r="6" spans="1:26" ht="15.75" customHeight="1">
      <c r="A6" s="366"/>
      <c r="B6" s="366"/>
      <c r="C6" s="365" t="s">
        <v>180</v>
      </c>
      <c r="D6" s="365" t="s">
        <v>58</v>
      </c>
      <c r="E6" s="368" t="s">
        <v>59</v>
      </c>
      <c r="F6" s="369"/>
      <c r="G6" s="369"/>
      <c r="H6" s="369"/>
      <c r="I6" s="369"/>
      <c r="J6" s="370"/>
      <c r="K6" s="365" t="s">
        <v>180</v>
      </c>
      <c r="L6" s="365" t="s">
        <v>58</v>
      </c>
      <c r="M6" s="368" t="s">
        <v>59</v>
      </c>
      <c r="N6" s="369"/>
      <c r="O6" s="369"/>
      <c r="P6" s="369"/>
      <c r="Q6" s="369"/>
      <c r="R6" s="370"/>
      <c r="S6" s="365" t="s">
        <v>180</v>
      </c>
      <c r="T6" s="365" t="s">
        <v>58</v>
      </c>
      <c r="U6" s="368" t="s">
        <v>59</v>
      </c>
      <c r="V6" s="369"/>
      <c r="W6" s="369"/>
      <c r="X6" s="369"/>
      <c r="Y6" s="369"/>
      <c r="Z6" s="370"/>
    </row>
    <row r="7" spans="1:26" ht="24" customHeight="1">
      <c r="A7" s="366"/>
      <c r="B7" s="366"/>
      <c r="C7" s="366"/>
      <c r="D7" s="366"/>
      <c r="E7" s="365" t="s">
        <v>180</v>
      </c>
      <c r="F7" s="368" t="s">
        <v>241</v>
      </c>
      <c r="G7" s="370"/>
      <c r="H7" s="365" t="s">
        <v>242</v>
      </c>
      <c r="I7" s="365" t="s">
        <v>243</v>
      </c>
      <c r="J7" s="365" t="s">
        <v>244</v>
      </c>
      <c r="K7" s="366"/>
      <c r="L7" s="366"/>
      <c r="M7" s="365" t="s">
        <v>180</v>
      </c>
      <c r="N7" s="368" t="s">
        <v>241</v>
      </c>
      <c r="O7" s="370"/>
      <c r="P7" s="365" t="s">
        <v>242</v>
      </c>
      <c r="Q7" s="365" t="s">
        <v>243</v>
      </c>
      <c r="R7" s="365" t="s">
        <v>244</v>
      </c>
      <c r="S7" s="366"/>
      <c r="T7" s="366"/>
      <c r="U7" s="365" t="s">
        <v>180</v>
      </c>
      <c r="V7" s="368" t="s">
        <v>241</v>
      </c>
      <c r="W7" s="370"/>
      <c r="X7" s="365" t="s">
        <v>242</v>
      </c>
      <c r="Y7" s="365" t="s">
        <v>243</v>
      </c>
      <c r="Z7" s="365" t="s">
        <v>244</v>
      </c>
    </row>
    <row r="8" spans="1:26" ht="107.25" customHeight="1">
      <c r="A8" s="367"/>
      <c r="B8" s="367"/>
      <c r="C8" s="367"/>
      <c r="D8" s="367"/>
      <c r="E8" s="367"/>
      <c r="F8" s="315" t="s">
        <v>245</v>
      </c>
      <c r="G8" s="315" t="s">
        <v>246</v>
      </c>
      <c r="H8" s="367"/>
      <c r="I8" s="367"/>
      <c r="J8" s="367"/>
      <c r="K8" s="367"/>
      <c r="L8" s="367"/>
      <c r="M8" s="367"/>
      <c r="N8" s="315" t="s">
        <v>245</v>
      </c>
      <c r="O8" s="315" t="s">
        <v>246</v>
      </c>
      <c r="P8" s="367"/>
      <c r="Q8" s="367"/>
      <c r="R8" s="367"/>
      <c r="S8" s="367"/>
      <c r="T8" s="367"/>
      <c r="U8" s="367"/>
      <c r="V8" s="315" t="s">
        <v>245</v>
      </c>
      <c r="W8" s="315" t="s">
        <v>246</v>
      </c>
      <c r="X8" s="367"/>
      <c r="Y8" s="367"/>
      <c r="Z8" s="367"/>
    </row>
    <row r="9" spans="1:26" s="242" customFormat="1" ht="25.5">
      <c r="A9" s="224" t="s">
        <v>7</v>
      </c>
      <c r="B9" s="224" t="s">
        <v>8</v>
      </c>
      <c r="C9" s="224">
        <v>1</v>
      </c>
      <c r="D9" s="224">
        <v>2</v>
      </c>
      <c r="E9" s="224" t="s">
        <v>247</v>
      </c>
      <c r="F9" s="224">
        <v>4</v>
      </c>
      <c r="G9" s="224">
        <v>5</v>
      </c>
      <c r="H9" s="224">
        <v>6</v>
      </c>
      <c r="I9" s="224">
        <v>7</v>
      </c>
      <c r="J9" s="224">
        <v>8</v>
      </c>
      <c r="K9" s="224">
        <v>9</v>
      </c>
      <c r="L9" s="224">
        <v>10</v>
      </c>
      <c r="M9" s="224" t="s">
        <v>248</v>
      </c>
      <c r="N9" s="224">
        <v>12</v>
      </c>
      <c r="O9" s="224">
        <v>13</v>
      </c>
      <c r="P9" s="224">
        <v>14</v>
      </c>
      <c r="Q9" s="224">
        <v>15</v>
      </c>
      <c r="R9" s="224">
        <v>16</v>
      </c>
      <c r="S9" s="224" t="s">
        <v>249</v>
      </c>
      <c r="T9" s="224" t="s">
        <v>250</v>
      </c>
      <c r="U9" s="224" t="s">
        <v>251</v>
      </c>
      <c r="V9" s="224" t="s">
        <v>252</v>
      </c>
      <c r="W9" s="224" t="s">
        <v>253</v>
      </c>
      <c r="X9" s="224" t="s">
        <v>254</v>
      </c>
      <c r="Y9" s="224" t="s">
        <v>255</v>
      </c>
      <c r="Z9" s="224" t="s">
        <v>256</v>
      </c>
    </row>
    <row r="10" spans="1:26" s="61" customFormat="1">
      <c r="A10" s="51"/>
      <c r="B10" s="51" t="s">
        <v>184</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326</v>
      </c>
      <c r="C11" s="327">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327</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328</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329</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330</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331</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332</v>
      </c>
      <c r="C17" s="52">
        <v>209377</v>
      </c>
      <c r="D17" s="47">
        <v>178007</v>
      </c>
      <c r="E17" s="47">
        <v>31370</v>
      </c>
      <c r="F17" s="47"/>
      <c r="G17" s="47">
        <v>31370</v>
      </c>
      <c r="H17" s="47">
        <v>11711</v>
      </c>
      <c r="I17" s="47">
        <v>19659</v>
      </c>
      <c r="J17" s="47"/>
      <c r="K17" s="250">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333</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334</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335</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336</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3"/>
      <c r="B22" s="244"/>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4" t="s">
        <v>277</v>
      </c>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row>
    <row r="24" spans="1:26">
      <c r="A24" s="58"/>
    </row>
    <row r="25" spans="1:26">
      <c r="A25" s="59"/>
    </row>
    <row r="50" spans="1:1">
      <c r="A50" s="60"/>
    </row>
    <row r="51" spans="1:1">
      <c r="A51" s="59"/>
    </row>
  </sheetData>
  <mergeCells count="35">
    <mergeCell ref="A23:Z23"/>
    <mergeCell ref="Y7:Y8"/>
    <mergeCell ref="Z7:Z8"/>
    <mergeCell ref="N7:O7"/>
    <mergeCell ref="P7:P8"/>
    <mergeCell ref="Q7:Q8"/>
    <mergeCell ref="R7:R8"/>
    <mergeCell ref="U7:U8"/>
    <mergeCell ref="V7:W7"/>
    <mergeCell ref="H7:H8"/>
    <mergeCell ref="I7:I8"/>
    <mergeCell ref="J7:J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3:Z3"/>
    <mergeCell ref="D6:D8"/>
    <mergeCell ref="E6:J6"/>
    <mergeCell ref="A5:A8"/>
    <mergeCell ref="B5:B8"/>
    <mergeCell ref="K6:K8"/>
    <mergeCell ref="S6:S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3" sqref="A3:H3"/>
      <selection pane="topRight" activeCell="A3" sqref="A3:H3"/>
      <selection pane="bottomLeft" activeCell="A3" sqref="A3:H3"/>
      <selection pane="bottomRight" activeCell="A3" sqref="A3:H3"/>
    </sheetView>
  </sheetViews>
  <sheetFormatPr defaultRowHeight="15.75"/>
  <cols>
    <col min="1" max="1" width="5" style="43" customWidth="1"/>
    <col min="2" max="2" width="33.7109375" style="240"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3" t="str">
        <f>'62'!chuong_phuluc_48</f>
        <v>ỦY BAN NHÂN DÂN TỈNH TIỀN GIANG</v>
      </c>
      <c r="B1" s="343"/>
      <c r="C1" s="343"/>
      <c r="AG1" s="333" t="s">
        <v>1411</v>
      </c>
      <c r="AH1" s="333"/>
      <c r="AI1" s="333"/>
      <c r="AJ1" s="288"/>
    </row>
    <row r="2" spans="1:36">
      <c r="A2" s="340" t="s">
        <v>1430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row>
    <row r="3" spans="1:36">
      <c r="A3" s="344" t="str">
        <f>'62'!A3:F3</f>
        <v>(Kèm theo Quyết định số ………../QĐ-UBND ngày    /01/2020 của Ủy ban nhân dân tỉnh Tiền Giang)</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row>
    <row r="4" spans="1:36" ht="15.75" customHeight="1">
      <c r="A4" s="44"/>
      <c r="AG4" s="375" t="s">
        <v>1</v>
      </c>
      <c r="AH4" s="375"/>
      <c r="AI4" s="375"/>
      <c r="AJ4" s="375"/>
    </row>
    <row r="5" spans="1:36" ht="15.75" customHeight="1">
      <c r="A5" s="345" t="s">
        <v>2</v>
      </c>
      <c r="B5" s="345" t="s">
        <v>1393</v>
      </c>
      <c r="C5" s="345" t="s">
        <v>3</v>
      </c>
      <c r="D5" s="345"/>
      <c r="E5" s="345"/>
      <c r="F5" s="345" t="s">
        <v>4</v>
      </c>
      <c r="G5" s="345"/>
      <c r="H5" s="345"/>
      <c r="I5" s="345"/>
      <c r="J5" s="345"/>
      <c r="K5" s="345"/>
      <c r="L5" s="345"/>
      <c r="M5" s="345"/>
      <c r="N5" s="345"/>
      <c r="O5" s="345"/>
      <c r="P5" s="345"/>
      <c r="Q5" s="345"/>
      <c r="R5" s="345"/>
      <c r="S5" s="345"/>
      <c r="T5" s="345"/>
      <c r="U5" s="345"/>
      <c r="V5" s="345"/>
      <c r="W5" s="345"/>
      <c r="X5" s="345"/>
      <c r="Y5" s="345"/>
      <c r="Z5" s="345"/>
      <c r="AA5" s="345"/>
      <c r="AB5" s="345"/>
      <c r="AC5" s="345"/>
      <c r="AD5" s="345"/>
      <c r="AE5" s="345"/>
      <c r="AF5" s="345"/>
      <c r="AG5" s="345" t="s">
        <v>53</v>
      </c>
      <c r="AH5" s="345"/>
      <c r="AI5" s="345"/>
      <c r="AJ5" s="345"/>
    </row>
    <row r="6" spans="1:36" ht="40.5" customHeight="1">
      <c r="A6" s="345"/>
      <c r="B6" s="345"/>
      <c r="C6" s="345" t="s">
        <v>180</v>
      </c>
      <c r="D6" s="345" t="s">
        <v>203</v>
      </c>
      <c r="E6" s="345"/>
      <c r="F6" s="345" t="s">
        <v>180</v>
      </c>
      <c r="G6" s="345" t="s">
        <v>203</v>
      </c>
      <c r="H6" s="345"/>
      <c r="I6" s="345" t="s">
        <v>389</v>
      </c>
      <c r="J6" s="345"/>
      <c r="K6" s="345"/>
      <c r="L6" s="345" t="s">
        <v>397</v>
      </c>
      <c r="M6" s="345"/>
      <c r="N6" s="345"/>
      <c r="O6" s="345" t="s">
        <v>394</v>
      </c>
      <c r="P6" s="345"/>
      <c r="Q6" s="345"/>
      <c r="R6" s="368" t="s">
        <v>395</v>
      </c>
      <c r="S6" s="369"/>
      <c r="T6" s="370"/>
      <c r="U6" s="368" t="s">
        <v>396</v>
      </c>
      <c r="V6" s="369"/>
      <c r="W6" s="370"/>
      <c r="X6" s="345" t="s">
        <v>399</v>
      </c>
      <c r="Y6" s="345"/>
      <c r="Z6" s="345"/>
      <c r="AA6" s="345"/>
      <c r="AB6" s="345"/>
      <c r="AC6" s="345"/>
      <c r="AD6" s="345"/>
      <c r="AE6" s="345"/>
      <c r="AF6" s="345"/>
      <c r="AG6" s="345" t="s">
        <v>180</v>
      </c>
      <c r="AH6" s="345" t="s">
        <v>203</v>
      </c>
      <c r="AI6" s="345"/>
      <c r="AJ6" s="345" t="s">
        <v>181</v>
      </c>
    </row>
    <row r="7" spans="1:36" ht="15.75" customHeight="1">
      <c r="A7" s="345"/>
      <c r="B7" s="345"/>
      <c r="C7" s="345"/>
      <c r="D7" s="365" t="s">
        <v>390</v>
      </c>
      <c r="E7" s="365" t="s">
        <v>391</v>
      </c>
      <c r="F7" s="345"/>
      <c r="G7" s="365" t="s">
        <v>392</v>
      </c>
      <c r="H7" s="365" t="s">
        <v>393</v>
      </c>
      <c r="I7" s="345" t="s">
        <v>180</v>
      </c>
      <c r="J7" s="365" t="s">
        <v>390</v>
      </c>
      <c r="K7" s="365" t="s">
        <v>391</v>
      </c>
      <c r="L7" s="345" t="s">
        <v>180</v>
      </c>
      <c r="M7" s="365" t="s">
        <v>390</v>
      </c>
      <c r="N7" s="365" t="s">
        <v>391</v>
      </c>
      <c r="O7" s="345" t="s">
        <v>180</v>
      </c>
      <c r="P7" s="365" t="s">
        <v>390</v>
      </c>
      <c r="Q7" s="365" t="s">
        <v>391</v>
      </c>
      <c r="R7" s="345" t="s">
        <v>180</v>
      </c>
      <c r="S7" s="365" t="s">
        <v>390</v>
      </c>
      <c r="T7" s="365" t="s">
        <v>391</v>
      </c>
      <c r="U7" s="345" t="s">
        <v>180</v>
      </c>
      <c r="V7" s="365" t="s">
        <v>390</v>
      </c>
      <c r="W7" s="365" t="s">
        <v>391</v>
      </c>
      <c r="X7" s="345" t="s">
        <v>180</v>
      </c>
      <c r="Y7" s="365" t="s">
        <v>398</v>
      </c>
      <c r="Z7" s="365" t="s">
        <v>391</v>
      </c>
      <c r="AA7" s="345" t="s">
        <v>180</v>
      </c>
      <c r="AB7" s="365" t="s">
        <v>390</v>
      </c>
      <c r="AC7" s="365" t="s">
        <v>391</v>
      </c>
      <c r="AD7" s="345" t="s">
        <v>180</v>
      </c>
      <c r="AE7" s="365" t="s">
        <v>390</v>
      </c>
      <c r="AF7" s="365" t="s">
        <v>391</v>
      </c>
      <c r="AG7" s="345"/>
      <c r="AH7" s="345" t="s">
        <v>28</v>
      </c>
      <c r="AI7" s="345" t="s">
        <v>29</v>
      </c>
      <c r="AJ7" s="345"/>
    </row>
    <row r="8" spans="1:36">
      <c r="A8" s="345"/>
      <c r="B8" s="345"/>
      <c r="C8" s="345"/>
      <c r="D8" s="366"/>
      <c r="E8" s="366"/>
      <c r="F8" s="345"/>
      <c r="G8" s="366"/>
      <c r="H8" s="366"/>
      <c r="I8" s="345"/>
      <c r="J8" s="366"/>
      <c r="K8" s="366"/>
      <c r="L8" s="345"/>
      <c r="M8" s="366"/>
      <c r="N8" s="366"/>
      <c r="O8" s="345"/>
      <c r="P8" s="366"/>
      <c r="Q8" s="366"/>
      <c r="R8" s="345"/>
      <c r="S8" s="366"/>
      <c r="T8" s="366"/>
      <c r="U8" s="345"/>
      <c r="V8" s="366"/>
      <c r="W8" s="366"/>
      <c r="X8" s="345"/>
      <c r="Y8" s="366"/>
      <c r="Z8" s="366"/>
      <c r="AA8" s="345"/>
      <c r="AB8" s="366"/>
      <c r="AC8" s="366"/>
      <c r="AD8" s="345"/>
      <c r="AE8" s="366"/>
      <c r="AF8" s="366"/>
      <c r="AG8" s="345"/>
      <c r="AH8" s="345"/>
      <c r="AI8" s="345"/>
      <c r="AJ8" s="345"/>
    </row>
    <row r="9" spans="1:36" ht="30.75" customHeight="1">
      <c r="A9" s="345"/>
      <c r="B9" s="345"/>
      <c r="C9" s="345"/>
      <c r="D9" s="367"/>
      <c r="E9" s="367"/>
      <c r="F9" s="345"/>
      <c r="G9" s="367"/>
      <c r="H9" s="367"/>
      <c r="I9" s="345"/>
      <c r="J9" s="367"/>
      <c r="K9" s="367"/>
      <c r="L9" s="345"/>
      <c r="M9" s="367"/>
      <c r="N9" s="367"/>
      <c r="O9" s="345"/>
      <c r="P9" s="367"/>
      <c r="Q9" s="367"/>
      <c r="R9" s="345"/>
      <c r="S9" s="367"/>
      <c r="T9" s="367"/>
      <c r="U9" s="345"/>
      <c r="V9" s="367"/>
      <c r="W9" s="367"/>
      <c r="X9" s="345"/>
      <c r="Y9" s="367"/>
      <c r="Z9" s="367"/>
      <c r="AA9" s="345"/>
      <c r="AB9" s="367"/>
      <c r="AC9" s="367"/>
      <c r="AD9" s="345"/>
      <c r="AE9" s="367"/>
      <c r="AF9" s="367"/>
      <c r="AG9" s="345"/>
      <c r="AH9" s="345"/>
      <c r="AI9" s="345"/>
      <c r="AJ9" s="345"/>
    </row>
    <row r="10" spans="1:36">
      <c r="A10" s="315" t="s">
        <v>7</v>
      </c>
      <c r="B10" s="315" t="s">
        <v>8</v>
      </c>
      <c r="C10" s="315">
        <v>1</v>
      </c>
      <c r="D10" s="315">
        <v>2</v>
      </c>
      <c r="E10" s="315">
        <v>3</v>
      </c>
      <c r="F10" s="315">
        <v>5</v>
      </c>
      <c r="G10" s="315">
        <v>6</v>
      </c>
      <c r="H10" s="315">
        <v>7</v>
      </c>
      <c r="I10" s="315">
        <v>8</v>
      </c>
      <c r="J10" s="315">
        <v>9</v>
      </c>
      <c r="K10" s="315">
        <v>10</v>
      </c>
      <c r="L10" s="315">
        <v>11</v>
      </c>
      <c r="M10" s="315">
        <v>12</v>
      </c>
      <c r="N10" s="315">
        <v>13</v>
      </c>
      <c r="O10" s="315">
        <v>14</v>
      </c>
      <c r="P10" s="315">
        <v>15</v>
      </c>
      <c r="Q10" s="315">
        <v>16</v>
      </c>
      <c r="R10" s="315">
        <v>17</v>
      </c>
      <c r="S10" s="315">
        <v>18</v>
      </c>
      <c r="T10" s="315">
        <v>19</v>
      </c>
      <c r="U10" s="315">
        <v>20</v>
      </c>
      <c r="V10" s="315">
        <v>21</v>
      </c>
      <c r="W10" s="315">
        <v>22</v>
      </c>
      <c r="X10" s="315">
        <v>23</v>
      </c>
      <c r="Y10" s="315">
        <v>24</v>
      </c>
      <c r="Z10" s="315">
        <v>25</v>
      </c>
      <c r="AA10" s="315">
        <v>8</v>
      </c>
      <c r="AB10" s="315">
        <v>9</v>
      </c>
      <c r="AC10" s="315">
        <v>12</v>
      </c>
      <c r="AD10" s="315">
        <v>8</v>
      </c>
      <c r="AE10" s="315">
        <v>9</v>
      </c>
      <c r="AF10" s="315">
        <v>12</v>
      </c>
      <c r="AG10" s="315" t="s">
        <v>1405</v>
      </c>
      <c r="AH10" s="315" t="s">
        <v>1403</v>
      </c>
      <c r="AI10" s="315" t="s">
        <v>1404</v>
      </c>
      <c r="AJ10" s="315" t="s">
        <v>268</v>
      </c>
    </row>
    <row r="11" spans="1:36" s="46" customFormat="1">
      <c r="A11" s="85"/>
      <c r="B11" s="51" t="s">
        <v>184</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1">
        <v>1</v>
      </c>
      <c r="B12" s="245" t="s">
        <v>383</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c r="A13" s="281">
        <v>2</v>
      </c>
      <c r="B13" s="246" t="s">
        <v>385</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1">
        <v>3</v>
      </c>
      <c r="B14" s="246" t="s">
        <v>386</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1">
        <v>4</v>
      </c>
      <c r="B15" s="246" t="s">
        <v>387</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1">
        <v>5</v>
      </c>
      <c r="B16" s="246" t="s">
        <v>388</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1">
        <v>6</v>
      </c>
      <c r="B17" s="246" t="s">
        <v>292</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1">
        <v>7</v>
      </c>
      <c r="B18" s="246" t="s">
        <v>384</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1">
        <v>8</v>
      </c>
      <c r="B19" s="246" t="s">
        <v>283</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1">
        <v>9</v>
      </c>
      <c r="B20" s="246" t="s">
        <v>310</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1">
        <v>10</v>
      </c>
      <c r="B21" s="247" t="s">
        <v>326</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1">
        <v>11</v>
      </c>
      <c r="B22" s="247" t="s">
        <v>327</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1">
        <v>12</v>
      </c>
      <c r="B23" s="247" t="s">
        <v>328</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1">
        <v>13</v>
      </c>
      <c r="B24" s="247" t="s">
        <v>329</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1">
        <v>14</v>
      </c>
      <c r="B25" s="247" t="s">
        <v>330</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1">
        <v>15</v>
      </c>
      <c r="B26" s="247" t="s">
        <v>331</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1">
        <v>16</v>
      </c>
      <c r="B27" s="247" t="s">
        <v>332</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1">
        <v>17</v>
      </c>
      <c r="B28" s="247" t="s">
        <v>333</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1">
        <v>18</v>
      </c>
      <c r="B29" s="247" t="s">
        <v>334</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1">
        <v>19</v>
      </c>
      <c r="B30" s="247" t="s">
        <v>335</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8">
        <v>20</v>
      </c>
      <c r="B31" s="248" t="s">
        <v>336</v>
      </c>
      <c r="C31" s="244">
        <f t="shared" si="2"/>
        <v>4932.402</v>
      </c>
      <c r="D31" s="48">
        <f>4027.112</f>
        <v>4027.1120000000001</v>
      </c>
      <c r="E31" s="48">
        <f>100+805.29</f>
        <v>905.29</v>
      </c>
      <c r="F31" s="244">
        <f t="shared" si="3"/>
        <v>5200.7780000000002</v>
      </c>
      <c r="G31" s="244">
        <f t="shared" si="4"/>
        <v>4085.3389999999999</v>
      </c>
      <c r="H31" s="244">
        <f t="shared" si="4"/>
        <v>1115.4390000000001</v>
      </c>
      <c r="I31" s="244">
        <f t="shared" si="5"/>
        <v>0</v>
      </c>
      <c r="J31" s="48"/>
      <c r="K31" s="48">
        <v>0</v>
      </c>
      <c r="L31" s="244">
        <f t="shared" si="6"/>
        <v>5200.7780000000002</v>
      </c>
      <c r="M31" s="48">
        <v>4085.3389999999999</v>
      </c>
      <c r="N31" s="48">
        <v>1115.4390000000001</v>
      </c>
      <c r="O31" s="244">
        <f t="shared" si="7"/>
        <v>0</v>
      </c>
      <c r="P31" s="48"/>
      <c r="Q31" s="48"/>
      <c r="R31" s="244">
        <f t="shared" si="8"/>
        <v>0</v>
      </c>
      <c r="S31" s="48"/>
      <c r="T31" s="48"/>
      <c r="U31" s="244">
        <f t="shared" si="9"/>
        <v>0</v>
      </c>
      <c r="V31" s="48"/>
      <c r="W31" s="48"/>
      <c r="X31" s="244">
        <f t="shared" si="10"/>
        <v>0</v>
      </c>
      <c r="Y31" s="48"/>
      <c r="Z31" s="48"/>
      <c r="AA31" s="48"/>
      <c r="AB31" s="48"/>
      <c r="AC31" s="48"/>
      <c r="AD31" s="48"/>
      <c r="AE31" s="48"/>
      <c r="AF31" s="48"/>
      <c r="AG31" s="280">
        <f t="shared" si="11"/>
        <v>105.44108124195878</v>
      </c>
      <c r="AH31" s="280">
        <f t="shared" si="11"/>
        <v>101.44587486019758</v>
      </c>
      <c r="AI31" s="280">
        <f t="shared" si="1"/>
        <v>123.2134454152813</v>
      </c>
      <c r="AJ31" s="48"/>
    </row>
    <row r="32" spans="1:36" hidden="1">
      <c r="A32" s="376" t="s">
        <v>278</v>
      </c>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c r="AD32" s="377"/>
      <c r="AE32" s="377"/>
      <c r="AF32" s="377"/>
      <c r="AG32" s="376"/>
      <c r="AH32" s="376"/>
      <c r="AI32" s="376"/>
      <c r="AJ32" s="377"/>
    </row>
    <row r="33" spans="1:2">
      <c r="A33" s="49"/>
    </row>
    <row r="40" spans="1:2" hidden="1">
      <c r="B40" s="240">
        <v>190359653560</v>
      </c>
    </row>
    <row r="41" spans="1:2" hidden="1">
      <c r="B41" s="240">
        <v>186888617136</v>
      </c>
    </row>
    <row r="42" spans="1:2" hidden="1">
      <c r="B42" s="240">
        <f>B40-B41</f>
        <v>3471036424</v>
      </c>
    </row>
    <row r="43" spans="1:2" hidden="1">
      <c r="B43" s="240">
        <v>2971036424</v>
      </c>
    </row>
    <row r="44" spans="1:2" hidden="1">
      <c r="B44" s="240">
        <v>500000000</v>
      </c>
    </row>
    <row r="45" spans="1:2" hidden="1">
      <c r="B45" s="240">
        <f>B44+B43</f>
        <v>3471036424</v>
      </c>
    </row>
    <row r="46" spans="1:2" hidden="1">
      <c r="B46" s="240">
        <v>-290376928</v>
      </c>
    </row>
    <row r="47" spans="1:2" hidden="1">
      <c r="B47" s="240">
        <v>-1325106120</v>
      </c>
    </row>
    <row r="48" spans="1:2" hidden="1">
      <c r="B48" s="240">
        <v>-4733874002</v>
      </c>
    </row>
    <row r="49" spans="2:2" hidden="1">
      <c r="B49" s="240">
        <f>B40+B46+B47+B48</f>
        <v>184010296510</v>
      </c>
    </row>
  </sheetData>
  <mergeCells count="56">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M7:M9"/>
    <mergeCell ref="N7:N9"/>
    <mergeCell ref="O6:Q6"/>
    <mergeCell ref="U6:W6"/>
    <mergeCell ref="U7:U9"/>
    <mergeCell ref="V7:V9"/>
    <mergeCell ref="W7:W9"/>
    <mergeCell ref="Q7:Q9"/>
    <mergeCell ref="R6:T6"/>
    <mergeCell ref="R7:R9"/>
    <mergeCell ref="S7:S9"/>
    <mergeCell ref="T7:T9"/>
    <mergeCell ref="AD6:AF6"/>
    <mergeCell ref="AD7:AD9"/>
    <mergeCell ref="AE7:AE9"/>
    <mergeCell ref="AF7:AF9"/>
    <mergeCell ref="X6:Z6"/>
    <mergeCell ref="X7:X9"/>
    <mergeCell ref="Y7:Y9"/>
    <mergeCell ref="Z7:Z9"/>
    <mergeCell ref="AA6:AC6"/>
    <mergeCell ref="AA7:AA9"/>
    <mergeCell ref="AB7:AB9"/>
    <mergeCell ref="AC7:AC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978C7C-3073-4F9C-A9DD-04FFA4085EE3}"/>
</file>

<file path=customXml/itemProps2.xml><?xml version="1.0" encoding="utf-8"?>
<ds:datastoreItem xmlns:ds="http://schemas.openxmlformats.org/officeDocument/2006/customXml" ds:itemID="{0137FBCF-EDE5-4CF9-AB17-3FDE8A6C2C07}"/>
</file>

<file path=customXml/itemProps3.xml><?xml version="1.0" encoding="utf-8"?>
<ds:datastoreItem xmlns:ds="http://schemas.openxmlformats.org/officeDocument/2006/customXml" ds:itemID="{D923E5B5-F8DA-496E-8CD1-050E747655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2020-01-05T12:48:41Z</cp:lastPrinted>
  <dcterms:created xsi:type="dcterms:W3CDTF">2017-05-31T02:55:57Z</dcterms:created>
  <dcterms:modified xsi:type="dcterms:W3CDTF">2020-06-24T11:47:35Z</dcterms:modified>
</cp:coreProperties>
</file>