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ểu 47" sheetId="31" r:id="rId8"/>
    <sheet name="Biểu 48" sheetId="38" r:id="rId9"/>
    <sheet name="Biểu 49" sheetId="25" r:id="rId10"/>
    <sheet name="Biểu 50" sheetId="26" r:id="rId11"/>
    <sheet name="Biểu 52" sheetId="42" r:id="rId12"/>
    <sheet name="Biểu 53" sheetId="41" r:id="rId13"/>
    <sheet name="Biểu 54" sheetId="40" r:id="rId14"/>
    <sheet name="Biểu 55" sheetId="39" r:id="rId15"/>
    <sheet name="Biểu 56" sheetId="29" r:id="rId16"/>
    <sheet name="Bieu 17" sheetId="23" state="hidden" r:id="rId17"/>
    <sheet name="Bieu 37" sheetId="37" state="hidden" r:id="rId18"/>
    <sheet name="Bieu 41" sheetId="28" state="hidden" r:id="rId19"/>
    <sheet name="Bieu 9" sheetId="30" state="hidden" r:id="rId20"/>
    <sheet name="Bieu 10" sheetId="32" state="hidden" r:id="rId21"/>
    <sheet name="10 sua" sheetId="33" state="hidden" r:id="rId22"/>
    <sheet name="DT2018 (goc)" sheetId="27" state="hidden" r:id="rId23"/>
    <sheet name="2018-bao tam" sheetId="35" state="hidden" r:id="rId24"/>
    <sheet name="ngay 27-11" sheetId="36" state="hidden" r:id="rId25"/>
    <sheet name="9 sua" sheetId="34" state="hidden" r:id="rId26"/>
    <sheet name="BTC-Chinh thuc" sheetId="21" state="hidden" r:id="rId27"/>
  </sheets>
  <externalReferences>
    <externalReference r:id="rId28"/>
    <externalReference r:id="rId29"/>
    <externalReference r:id="rId30"/>
  </externalReferences>
  <definedNames>
    <definedName name="___a1" localSheetId="0" hidden="1">{"'Sheet1'!$L$16"}</definedName>
    <definedName name="___CON1" localSheetId="12">#REF!</definedName>
    <definedName name="___CON1">#REF!</definedName>
    <definedName name="___CON2" localSheetId="12">#REF!</definedName>
    <definedName name="___CON2">#REF!</definedName>
    <definedName name="___NET2" localSheetId="12">#REF!</definedName>
    <definedName name="___NET2">#REF!</definedName>
    <definedName name="___PA3" localSheetId="0" hidden="1">{"'Sheet1'!$L$16"}</definedName>
    <definedName name="__a1" hidden="1">{"'Sheet1'!$L$16"}</definedName>
    <definedName name="__boi1" localSheetId="12">#REF!</definedName>
    <definedName name="__boi1">#REF!</definedName>
    <definedName name="__boi2" localSheetId="12">#REF!</definedName>
    <definedName name="__boi2">#REF!</definedName>
    <definedName name="__CON1" localSheetId="12">#REF!</definedName>
    <definedName name="__CON1">#REF!</definedName>
    <definedName name="__CON2" localSheetId="12">#REF!</definedName>
    <definedName name="__CON2">#REF!</definedName>
    <definedName name="__ddn400" localSheetId="12">#REF!</definedName>
    <definedName name="__ddn400">#REF!</definedName>
    <definedName name="__ddn600" localSheetId="12">#REF!</definedName>
    <definedName name="__ddn600">#REF!</definedName>
    <definedName name="__DT12" localSheetId="0" hidden="1">{"'Sheet1'!$L$16"}</definedName>
    <definedName name="__hsm2">1.1289</definedName>
    <definedName name="__hso2" localSheetId="12">#REF!</definedName>
    <definedName name="__hso2">#REF!</definedName>
    <definedName name="__kha1" localSheetId="12">#REF!</definedName>
    <definedName name="__kha1">#REF!</definedName>
    <definedName name="__lap1" localSheetId="12">#REF!</definedName>
    <definedName name="__lap1">#REF!</definedName>
    <definedName name="__lap2" localSheetId="12">#REF!</definedName>
    <definedName name="__lap2">#REF!</definedName>
    <definedName name="__MAC12" localSheetId="12">#REF!</definedName>
    <definedName name="__MAC12">#REF!</definedName>
    <definedName name="__MAC46" localSheetId="12">#REF!</definedName>
    <definedName name="__MAC46">#REF!</definedName>
    <definedName name="__NCL100" localSheetId="12">#REF!</definedName>
    <definedName name="__NCL100">#REF!</definedName>
    <definedName name="__NCL200" localSheetId="12">#REF!</definedName>
    <definedName name="__NCL200">#REF!</definedName>
    <definedName name="__NCL250" localSheetId="12">#REF!</definedName>
    <definedName name="__NCL250">#REF!</definedName>
    <definedName name="__NET2" localSheetId="12">#REF!</definedName>
    <definedName name="__NET2">#REF!</definedName>
    <definedName name="__nin190" localSheetId="12">#REF!</definedName>
    <definedName name="__nin190">#REF!</definedName>
    <definedName name="__PA3" hidden="1">{"'Sheet1'!$L$16"}</definedName>
    <definedName name="__sc1" localSheetId="12">#REF!</definedName>
    <definedName name="__sc1">#REF!</definedName>
    <definedName name="__SC2" localSheetId="12">#REF!</definedName>
    <definedName name="__SC2">#REF!</definedName>
    <definedName name="__sc3" localSheetId="12">#REF!</definedName>
    <definedName name="__sc3">#REF!</definedName>
    <definedName name="__SN3" localSheetId="12">#REF!</definedName>
    <definedName name="__SN3">#REF!</definedName>
    <definedName name="__TK155" localSheetId="12">#REF!</definedName>
    <definedName name="__TK155">#REF!</definedName>
    <definedName name="__TK422" localSheetId="12">#REF!</definedName>
    <definedName name="__TK422">#REF!</definedName>
    <definedName name="__TL1" localSheetId="12">#REF!</definedName>
    <definedName name="__TL1">#REF!</definedName>
    <definedName name="__TL2" localSheetId="12">#REF!</definedName>
    <definedName name="__TL2">#REF!</definedName>
    <definedName name="__TL3" localSheetId="12">#REF!</definedName>
    <definedName name="__TL3">#REF!</definedName>
    <definedName name="__TLA120" localSheetId="12">#REF!</definedName>
    <definedName name="__TLA120">#REF!</definedName>
    <definedName name="__TLA35" localSheetId="12">#REF!</definedName>
    <definedName name="__TLA35">#REF!</definedName>
    <definedName name="__TLA50" localSheetId="12">#REF!</definedName>
    <definedName name="__TLA50">#REF!</definedName>
    <definedName name="__TLA70" localSheetId="12">#REF!</definedName>
    <definedName name="__TLA70">#REF!</definedName>
    <definedName name="__TLA95" localSheetId="12">#REF!</definedName>
    <definedName name="__TLA95">#REF!</definedName>
    <definedName name="__tz593" localSheetId="12">#REF!</definedName>
    <definedName name="__tz593">#REF!</definedName>
    <definedName name="__VL100" localSheetId="12">#REF!</definedName>
    <definedName name="__VL100">#REF!</definedName>
    <definedName name="__VL250" localSheetId="12">#REF!</definedName>
    <definedName name="__VL250">#REF!</definedName>
    <definedName name="_1" localSheetId="3">#REF!</definedName>
    <definedName name="_1000A01">#N/A</definedName>
    <definedName name="_1BA2500" localSheetId="12">#REF!</definedName>
    <definedName name="_1BA2500">#REF!</definedName>
    <definedName name="_1BA3250" localSheetId="12">#REF!</definedName>
    <definedName name="_1BA3250">#REF!</definedName>
    <definedName name="_1BA400P" localSheetId="12">#REF!</definedName>
    <definedName name="_1BA400P">#REF!</definedName>
    <definedName name="_1CAP001" localSheetId="12">#REF!</definedName>
    <definedName name="_1CAP001">#REF!</definedName>
    <definedName name="_1DAU002" localSheetId="12">#REF!</definedName>
    <definedName name="_1DAU002">#REF!</definedName>
    <definedName name="_1DDAY03" localSheetId="12">#REF!</definedName>
    <definedName name="_1DDAY03">#REF!</definedName>
    <definedName name="_1DDTT01" localSheetId="12">#REF!</definedName>
    <definedName name="_1DDTT01">#REF!</definedName>
    <definedName name="_1FCO101" localSheetId="12">#REF!</definedName>
    <definedName name="_1FCO101">#REF!</definedName>
    <definedName name="_1GIA101" localSheetId="12">#REF!</definedName>
    <definedName name="_1GIA101">#REF!</definedName>
    <definedName name="_1LA1001" localSheetId="12">#REF!</definedName>
    <definedName name="_1LA1001">#REF!</definedName>
    <definedName name="_1MCCBO2" localSheetId="12">#REF!</definedName>
    <definedName name="_1MCCBO2">#REF!</definedName>
    <definedName name="_1PKCAP1" localSheetId="12">#REF!</definedName>
    <definedName name="_1PKCAP1">#REF!</definedName>
    <definedName name="_1PKTT01" localSheetId="12">#REF!</definedName>
    <definedName name="_1PKTT01">#REF!</definedName>
    <definedName name="_1TCD101" localSheetId="12">#REF!</definedName>
    <definedName name="_1TCD101">#REF!</definedName>
    <definedName name="_1TCD201" localSheetId="12">#REF!</definedName>
    <definedName name="_1TCD201">#REF!</definedName>
    <definedName name="_1TD2001" localSheetId="12">#REF!</definedName>
    <definedName name="_1TD2001">#REF!</definedName>
    <definedName name="_1TIHT01" localSheetId="12">#REF!</definedName>
    <definedName name="_1TIHT01">#REF!</definedName>
    <definedName name="_1TRU121" localSheetId="12">#REF!</definedName>
    <definedName name="_1TRU121">#REF!</definedName>
    <definedName name="_2" localSheetId="3">#REF!</definedName>
    <definedName name="_2BLA100" localSheetId="12">#REF!</definedName>
    <definedName name="_2BLA100">#REF!</definedName>
    <definedName name="_2DAL201" localSheetId="12">#REF!</definedName>
    <definedName name="_2DAL201">#REF!</definedName>
    <definedName name="_3BLXMD" localSheetId="12">#REF!</definedName>
    <definedName name="_3BLXMD">#REF!</definedName>
    <definedName name="_3TU0609" localSheetId="12">#REF!</definedName>
    <definedName name="_3TU0609">#REF!</definedName>
    <definedName name="_4CNT240" localSheetId="12">#REF!</definedName>
    <definedName name="_4CNT240">#REF!</definedName>
    <definedName name="_4CTL240" localSheetId="12">#REF!</definedName>
    <definedName name="_4CTL240">#REF!</definedName>
    <definedName name="_4FCO100" localSheetId="12">#REF!</definedName>
    <definedName name="_4FCO100">#REF!</definedName>
    <definedName name="_4HDCTT4" localSheetId="12">#REF!</definedName>
    <definedName name="_4HDCTT4">#REF!</definedName>
    <definedName name="_4HNCTT4" localSheetId="12">#REF!</definedName>
    <definedName name="_4HNCTT4">#REF!</definedName>
    <definedName name="_4LBCO01" localSheetId="12">#REF!</definedName>
    <definedName name="_4LBCO01">#REF!</definedName>
    <definedName name="_a1" localSheetId="0" hidden="1">{"'Sheet1'!$L$16"}</definedName>
    <definedName name="_boi1" localSheetId="12">#REF!</definedName>
    <definedName name="_boi1">#REF!</definedName>
    <definedName name="_boi2" localSheetId="12">#REF!</definedName>
    <definedName name="_boi2">#REF!</definedName>
    <definedName name="_C_Lphi_4ab" localSheetId="12">#REF!</definedName>
    <definedName name="_C_Lphi_4ab">#REF!</definedName>
    <definedName name="_CON1" localSheetId="12">#REF!</definedName>
    <definedName name="_CON1">#REF!</definedName>
    <definedName name="_CON2" localSheetId="12">#REF!</definedName>
    <definedName name="_CON2">#REF!</definedName>
    <definedName name="_CPhi_Bhiem" localSheetId="12">#REF!</definedName>
    <definedName name="_CPhi_Bhiem">#REF!</definedName>
    <definedName name="_CPhi_BQLDA" localSheetId="12">#REF!</definedName>
    <definedName name="_CPhi_BQLDA">#REF!</definedName>
    <definedName name="_CPhi_DBaoGT" localSheetId="12">#REF!</definedName>
    <definedName name="_CPhi_DBaoGT">#REF!</definedName>
    <definedName name="_CPhi_Kdinh" localSheetId="12">#REF!</definedName>
    <definedName name="_CPhi_Kdinh">#REF!</definedName>
    <definedName name="_CPhi_Nthu_KThanh" localSheetId="12">#REF!</definedName>
    <definedName name="_CPhi_Nthu_KThanh">#REF!</definedName>
    <definedName name="_CPhi_QToan" localSheetId="12">#REF!</definedName>
    <definedName name="_CPhi_QToan">#REF!</definedName>
    <definedName name="_CPhiTKe_13" localSheetId="12">#REF!</definedName>
    <definedName name="_CPhiTKe_13">#REF!</definedName>
    <definedName name="_ddn400" localSheetId="12">#REF!</definedName>
    <definedName name="_ddn400">#REF!</definedName>
    <definedName name="_ddn600" localSheetId="12">#REF!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 localSheetId="12">#REF!</definedName>
    <definedName name="_hso2">#REF!</definedName>
    <definedName name="_Key1" localSheetId="12" hidden="1">#REF!</definedName>
    <definedName name="_Key1" hidden="1">#REF!</definedName>
    <definedName name="_Key2" localSheetId="12" hidden="1">#REF!</definedName>
    <definedName name="_Key2" hidden="1">#REF!</definedName>
    <definedName name="_kha1" localSheetId="12">#REF!</definedName>
    <definedName name="_kha1">#REF!</definedName>
    <definedName name="_lap1" localSheetId="12">#REF!</definedName>
    <definedName name="_lap1">#REF!</definedName>
    <definedName name="_lap2" localSheetId="12">#REF!</definedName>
    <definedName name="_lap2">#REF!</definedName>
    <definedName name="_MAC12" localSheetId="12">#REF!</definedName>
    <definedName name="_MAC12">#REF!</definedName>
    <definedName name="_MAC46" localSheetId="12">#REF!</definedName>
    <definedName name="_MAC46">#REF!</definedName>
    <definedName name="_NCL100" localSheetId="12">#REF!</definedName>
    <definedName name="_NCL100">#REF!</definedName>
    <definedName name="_NCL200" localSheetId="12">#REF!</definedName>
    <definedName name="_NCL200">#REF!</definedName>
    <definedName name="_NCL250" localSheetId="12">#REF!</definedName>
    <definedName name="_NCL250">#REF!</definedName>
    <definedName name="_NET2" localSheetId="12">#REF!</definedName>
    <definedName name="_NET2">#REF!</definedName>
    <definedName name="_nin190" localSheetId="12">#REF!</definedName>
    <definedName name="_nin190">#REF!</definedName>
    <definedName name="_Order1" hidden="1">255</definedName>
    <definedName name="_Order2" hidden="1">255</definedName>
    <definedName name="_PA3" localSheetId="0" hidden="1">{"'Sheet1'!$L$16"}</definedName>
    <definedName name="_sc1" localSheetId="12">#REF!</definedName>
    <definedName name="_sc1">#REF!</definedName>
    <definedName name="_SC2" localSheetId="12">#REF!</definedName>
    <definedName name="_SC2">#REF!</definedName>
    <definedName name="_sc3" localSheetId="12">#REF!</definedName>
    <definedName name="_sc3">#REF!</definedName>
    <definedName name="_SN3" localSheetId="12">#REF!</definedName>
    <definedName name="_SN3">#REF!</definedName>
    <definedName name="_Sort" localSheetId="3" hidden="1">#REF!</definedName>
    <definedName name="_TK155" localSheetId="12">#REF!</definedName>
    <definedName name="_TK155">#REF!</definedName>
    <definedName name="_TK422" localSheetId="12">#REF!</definedName>
    <definedName name="_TK422">#REF!</definedName>
    <definedName name="_TL1" localSheetId="12">#REF!</definedName>
    <definedName name="_TL1">#REF!</definedName>
    <definedName name="_TL2" localSheetId="12">#REF!</definedName>
    <definedName name="_TL2">#REF!</definedName>
    <definedName name="_TL3" localSheetId="12">#REF!</definedName>
    <definedName name="_TL3">#REF!</definedName>
    <definedName name="_TLA120" localSheetId="12">#REF!</definedName>
    <definedName name="_TLA120">#REF!</definedName>
    <definedName name="_TLA35" localSheetId="12">#REF!</definedName>
    <definedName name="_TLA35">#REF!</definedName>
    <definedName name="_TLA50" localSheetId="12">#REF!</definedName>
    <definedName name="_TLA50">#REF!</definedName>
    <definedName name="_TLA70" localSheetId="12">#REF!</definedName>
    <definedName name="_TLA70">#REF!</definedName>
    <definedName name="_TLA95" localSheetId="12">#REF!</definedName>
    <definedName name="_TLA95">#REF!</definedName>
    <definedName name="_tq2" localSheetId="12">#REF!</definedName>
    <definedName name="_tq2">#REF!</definedName>
    <definedName name="_tz593" localSheetId="12">#REF!</definedName>
    <definedName name="_tz593">#REF!</definedName>
    <definedName name="_VL100" localSheetId="12">#REF!</definedName>
    <definedName name="_VL100">#REF!</definedName>
    <definedName name="_VL250" localSheetId="12">#REF!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 localSheetId="12">#REF!</definedName>
    <definedName name="a1.1">#REF!</definedName>
    <definedName name="A120_" localSheetId="12">#REF!</definedName>
    <definedName name="A120_">#REF!</definedName>
    <definedName name="a277Print_Titles" localSheetId="12">#REF!</definedName>
    <definedName name="a277Print_Titles">#REF!</definedName>
    <definedName name="A35_" localSheetId="12">#REF!</definedName>
    <definedName name="A35_">#REF!</definedName>
    <definedName name="A50_" localSheetId="12">#REF!</definedName>
    <definedName name="A50_">#REF!</definedName>
    <definedName name="A70_" localSheetId="12">#REF!</definedName>
    <definedName name="A70_">#REF!</definedName>
    <definedName name="A95_" localSheetId="12">#REF!</definedName>
    <definedName name="A95_">#REF!</definedName>
    <definedName name="aa" localSheetId="3">#REF!</definedName>
    <definedName name="aaaaaaa" localSheetId="12">#REF!</definedName>
    <definedName name="aaaaaaa">#REF!</definedName>
    <definedName name="AB" localSheetId="12">#REF!</definedName>
    <definedName name="AB">#REF!</definedName>
    <definedName name="AC120_" localSheetId="12">#REF!</definedName>
    <definedName name="AC120_">#REF!</definedName>
    <definedName name="AC35_" localSheetId="12">#REF!</definedName>
    <definedName name="AC35_">#REF!</definedName>
    <definedName name="AC50_" localSheetId="12">#REF!</definedName>
    <definedName name="AC50_">#REF!</definedName>
    <definedName name="AC70_" localSheetId="12">#REF!</definedName>
    <definedName name="AC70_">#REF!</definedName>
    <definedName name="AC95_" localSheetId="12">#REF!</definedName>
    <definedName name="AC95_">#REF!</definedName>
    <definedName name="ACCCC" localSheetId="12">#REF!</definedName>
    <definedName name="ACCCC">#REF!</definedName>
    <definedName name="ADAY" localSheetId="3">#REF!</definedName>
    <definedName name="ADP" localSheetId="3">#REF!</definedName>
    <definedName name="ag15F80" localSheetId="12">#REF!</definedName>
    <definedName name="ag15F80">#REF!</definedName>
    <definedName name="AKHAC" localSheetId="3">#REF!</definedName>
    <definedName name="All_Item" localSheetId="12">#REF!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 localSheetId="12">#REF!</definedName>
    <definedName name="bbkt">#REF!</definedName>
    <definedName name="bbtc" localSheetId="12">#REF!</definedName>
    <definedName name="bbtc">#REF!</definedName>
    <definedName name="BCBo" localSheetId="3" hidden="1">{"'Sheet1'!$L$16"}</definedName>
    <definedName name="BCBo" localSheetId="0" hidden="1">{"'Sheet1'!$L$16"}</definedName>
    <definedName name="BDAY" localSheetId="3">#REF!</definedName>
    <definedName name="bé_giao_th_ng" localSheetId="12">#REF!</definedName>
    <definedName name="bé_giao_th_ng">#REF!</definedName>
    <definedName name="bé_x_y_dùng" localSheetId="12">#REF!</definedName>
    <definedName name="bé_x_y_dùng">#REF!</definedName>
    <definedName name="BOQ" localSheetId="3">#REF!</definedName>
    <definedName name="BTRAM" localSheetId="12">#REF!</definedName>
    <definedName name="BTRAM" localSheetId="3">#REF!</definedName>
    <definedName name="BTRAM">#REF!</definedName>
    <definedName name="BVCISUMMARY" localSheetId="3">#REF!</definedName>
    <definedName name="C_" localSheetId="12">#REF!</definedName>
    <definedName name="C_">#REF!</definedName>
    <definedName name="c_n" localSheetId="12">#REF!</definedName>
    <definedName name="c_n">#REF!</definedName>
    <definedName name="Can_doi" localSheetId="3">#REF!</definedName>
    <definedName name="cap" localSheetId="3">#REF!</definedName>
    <definedName name="cap0.7" localSheetId="3">#REF!</definedName>
    <definedName name="Category_All" localSheetId="12">#REF!</definedName>
    <definedName name="Category_All">#REF!</definedName>
    <definedName name="CATIN">#N/A</definedName>
    <definedName name="CATJYOU">#N/A</definedName>
    <definedName name="CATREC">#N/A</definedName>
    <definedName name="CATSYU">#N/A</definedName>
    <definedName name="CCS" localSheetId="12">#REF!</definedName>
    <definedName name="CCS">#REF!</definedName>
    <definedName name="CDAY" localSheetId="3">#REF!</definedName>
    <definedName name="CDD" localSheetId="12">#REF!</definedName>
    <definedName name="CDD">#REF!</definedName>
    <definedName name="cfk" localSheetId="12">#REF!</definedName>
    <definedName name="cfk">#REF!</definedName>
    <definedName name="chi_tiÕt_vËt_liÖu___nh_n_c_ng___m_y_thi_c_ng" localSheetId="12">#REF!</definedName>
    <definedName name="chi_tiÕt_vËt_liÖu___nh_n_c_ng___m_y_thi_c_ng">#REF!</definedName>
    <definedName name="chungloainhapthan" localSheetId="12">#REF!</definedName>
    <definedName name="chungloainhapthan">#REF!</definedName>
    <definedName name="chungloaiXNT" localSheetId="12">#REF!</definedName>
    <definedName name="chungloaiXNT">#REF!</definedName>
    <definedName name="chungloaixuatthan" localSheetId="12">#REF!</definedName>
    <definedName name="chungloaixuatthan">#REF!</definedName>
    <definedName name="CK" localSheetId="12">#REF!</definedName>
    <definedName name="CK">#REF!</definedName>
    <definedName name="CL" localSheetId="3">#REF!</definedName>
    <definedName name="CLVC3">0.1</definedName>
    <definedName name="CLVCTB" localSheetId="12">#REF!</definedName>
    <definedName name="CLVCTB">#REF!</definedName>
    <definedName name="CLVL" localSheetId="12">#REF!</definedName>
    <definedName name="CLVL">#REF!</definedName>
    <definedName name="Co" localSheetId="12">#REF!</definedName>
    <definedName name="Co">#REF!</definedName>
    <definedName name="co." localSheetId="12">#REF!</definedName>
    <definedName name="co.">#REF!</definedName>
    <definedName name="co.." localSheetId="12">#REF!</definedName>
    <definedName name="co..">#REF!</definedName>
    <definedName name="Cöï_ly_vaän_chuyeãn" localSheetId="12">#REF!</definedName>
    <definedName name="Cöï_ly_vaän_chuyeãn">#REF!</definedName>
    <definedName name="CÖÏ_LY_VAÄN_CHUYEÅN" localSheetId="12">#REF!</definedName>
    <definedName name="CÖÏ_LY_VAÄN_CHUYEÅN">#REF!</definedName>
    <definedName name="COMMON" localSheetId="12">#REF!</definedName>
    <definedName name="COMMON">#REF!</definedName>
    <definedName name="CON_EQP_COS" localSheetId="12">#REF!</definedName>
    <definedName name="CON_EQP_COS">#REF!</definedName>
    <definedName name="CON_EQP_COST" localSheetId="12">#REF!</definedName>
    <definedName name="CON_EQP_COST">#REF!</definedName>
    <definedName name="Cong_HM_DTCT" localSheetId="12">#REF!</definedName>
    <definedName name="Cong_HM_DTCT">#REF!</definedName>
    <definedName name="Cong_M_DTCT" localSheetId="12">#REF!</definedName>
    <definedName name="Cong_M_DTCT">#REF!</definedName>
    <definedName name="Cong_NC_DTCT" localSheetId="12">#REF!</definedName>
    <definedName name="Cong_NC_DTCT">#REF!</definedName>
    <definedName name="Cong_VL_DTCT" localSheetId="12">#REF!</definedName>
    <definedName name="Cong_VL_DTCT">#REF!</definedName>
    <definedName name="CongVattu" localSheetId="3">#REF!</definedName>
    <definedName name="CONST_EQ" localSheetId="12">#REF!</definedName>
    <definedName name="CONST_EQ">#REF!</definedName>
    <definedName name="COVER" localSheetId="3">#REF!</definedName>
    <definedName name="CPC" localSheetId="12">#REF!</definedName>
    <definedName name="CPC">#REF!</definedName>
    <definedName name="CPVC100" localSheetId="12">#REF!</definedName>
    <definedName name="CPVC100">#REF!</definedName>
    <definedName name="CRD" localSheetId="12">#REF!</definedName>
    <definedName name="CRD">#REF!</definedName>
    <definedName name="CRITINST" localSheetId="3">#REF!</definedName>
    <definedName name="CRITPURC" localSheetId="3">#REF!</definedName>
    <definedName name="CRS" localSheetId="12">#REF!</definedName>
    <definedName name="CRS">#REF!</definedName>
    <definedName name="CS" localSheetId="12">#REF!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 localSheetId="12">#REF!</definedName>
    <definedName name="csd3p">#REF!</definedName>
    <definedName name="csddg1p" localSheetId="12">#REF!</definedName>
    <definedName name="csddg1p">#REF!</definedName>
    <definedName name="csddt1p" localSheetId="12">#REF!</definedName>
    <definedName name="csddt1p">#REF!</definedName>
    <definedName name="csht3p" localSheetId="12">#REF!</definedName>
    <definedName name="csht3p">#REF!</definedName>
    <definedName name="CT_50" localSheetId="12">#REF!</definedName>
    <definedName name="CT_50">#REF!</definedName>
    <definedName name="CT_MCX" localSheetId="12">#REF!</definedName>
    <definedName name="CT_MCX">#REF!</definedName>
    <definedName name="CTCT1" localSheetId="0" hidden="1">{"'Sheet1'!$L$16"}</definedName>
    <definedName name="ctdn9697" localSheetId="3">#REF!</definedName>
    <definedName name="ctiep" localSheetId="12">#REF!</definedName>
    <definedName name="ctiep">#REF!</definedName>
    <definedName name="CTRAM" localSheetId="3">#REF!</definedName>
    <definedName name="cu" localSheetId="12">#REF!</definedName>
    <definedName name="cu">#REF!</definedName>
    <definedName name="cu_ly" localSheetId="12">#REF!</definedName>
    <definedName name="cu_ly">#REF!</definedName>
    <definedName name="CuLy" localSheetId="12">#REF!</definedName>
    <definedName name="CuLy">#REF!</definedName>
    <definedName name="CuLy_Q" localSheetId="12">#REF!</definedName>
    <definedName name="CuLy_Q">#REF!</definedName>
    <definedName name="cuoc_vc" localSheetId="12">#REF!</definedName>
    <definedName name="cuoc_vc">#REF!</definedName>
    <definedName name="CuocVC" localSheetId="12">#REF!</definedName>
    <definedName name="CuocVC">#REF!</definedName>
    <definedName name="CURRENCY" localSheetId="12">#REF!</definedName>
    <definedName name="CURRENCY">#REF!</definedName>
    <definedName name="CVC_Q" localSheetId="12">#REF!</definedName>
    <definedName name="CVC_Q">#REF!</definedName>
    <definedName name="cx" localSheetId="12">#REF!</definedName>
    <definedName name="cx">#REF!</definedName>
    <definedName name="d_" localSheetId="12">#REF!</definedName>
    <definedName name="d_">#REF!</definedName>
    <definedName name="D_7101A_B" localSheetId="12">#REF!</definedName>
    <definedName name="D_7101A_B">#REF!</definedName>
    <definedName name="D_n" localSheetId="12">#REF!</definedName>
    <definedName name="D_n">#REF!</definedName>
    <definedName name="da" localSheetId="12">#REF!</definedName>
    <definedName name="da">#REF!</definedName>
    <definedName name="dam_24" localSheetId="12">#REF!</definedName>
    <definedName name="dam_24">#REF!</definedName>
    <definedName name="DamNgang" localSheetId="12">#REF!</definedName>
    <definedName name="DamNgang">#REF!</definedName>
    <definedName name="danhmuc" localSheetId="12">#REF!</definedName>
    <definedName name="danhmuc">#REF!</definedName>
    <definedName name="danhmucN" localSheetId="12">#REF!</definedName>
    <definedName name="danhmucN">#REF!</definedName>
    <definedName name="data" localSheetId="12">#REF!</definedName>
    <definedName name="data">#REF!</definedName>
    <definedName name="DATA_DATA2_List" localSheetId="12">#REF!</definedName>
    <definedName name="DATA_DATA2_List">#REF!</definedName>
    <definedName name="data1" localSheetId="12">#REF!</definedName>
    <definedName name="data1">#REF!</definedName>
    <definedName name="Data11" localSheetId="12">#REF!</definedName>
    <definedName name="Data11">#REF!</definedName>
    <definedName name="Data41" localSheetId="12">#REF!</definedName>
    <definedName name="Data41">#REF!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_xlnm.Database" localSheetId="12">#REF!</definedName>
    <definedName name="_xlnm.Database" localSheetId="3">#REF!</definedName>
    <definedName name="_xlnm.Database">#REF!</definedName>
    <definedName name="DATDAO" localSheetId="3">#REF!</definedName>
    <definedName name="DDAY" localSheetId="3">#REF!</definedName>
    <definedName name="ddddddddddd" localSheetId="12">#REF!</definedName>
    <definedName name="ddddddddddd">#REF!</definedName>
    <definedName name="den_bu" localSheetId="12">#REF!</definedName>
    <definedName name="den_bu">#REF!</definedName>
    <definedName name="df" localSheetId="12">#REF!</definedName>
    <definedName name="df">#REF!</definedName>
    <definedName name="dg" localSheetId="12">#REF!</definedName>
    <definedName name="dg">#REF!</definedName>
    <definedName name="dg_5cau" localSheetId="12">#REF!</definedName>
    <definedName name="dg_5cau">#REF!</definedName>
    <definedName name="DG_M_C_X" localSheetId="12">#REF!</definedName>
    <definedName name="DG_M_C_X">#REF!</definedName>
    <definedName name="dgc" localSheetId="12">#REF!</definedName>
    <definedName name="dgc">#REF!</definedName>
    <definedName name="DGCT_T.Quy_P.Thuy_Q" localSheetId="12">#REF!</definedName>
    <definedName name="DGCT_T.Quy_P.Thuy_Q">#REF!</definedName>
    <definedName name="DGCT_TRAUQUYPHUTHUY_HN" localSheetId="12">#REF!</definedName>
    <definedName name="DGCT_TRAUQUYPHUTHUY_HN">#REF!</definedName>
    <definedName name="dgd" localSheetId="12">#REF!</definedName>
    <definedName name="dgd">#REF!</definedName>
    <definedName name="DGIA" localSheetId="12">#REF!</definedName>
    <definedName name="DGIA">#REF!</definedName>
    <definedName name="DGIA2" localSheetId="12">#REF!</definedName>
    <definedName name="DGIA2">#REF!</definedName>
    <definedName name="DGTH" localSheetId="12">#REF!</definedName>
    <definedName name="DGTH">#REF!</definedName>
    <definedName name="dgvl" localSheetId="12">#REF!</definedName>
    <definedName name="dgvl">#REF!</definedName>
    <definedName name="dien" localSheetId="12">#REF!</definedName>
    <definedName name="dien">#REF!</definedName>
    <definedName name="dienluc" localSheetId="0" hidden="1">{#N/A,#N/A,FALSE,"Chi tiÆt"}</definedName>
    <definedName name="DM" localSheetId="3">#REF!</definedName>
    <definedName name="dmld" localSheetId="12">#REF!</definedName>
    <definedName name="dmld">#REF!</definedName>
    <definedName name="DNNN" localSheetId="3">#REF!</definedName>
    <definedName name="doanh_nghiÖp_tØnh" localSheetId="12">#REF!</definedName>
    <definedName name="doanh_nghiÖp_tØnh">#REF!</definedName>
    <definedName name="dobt" localSheetId="3">#REF!</definedName>
    <definedName name="Document_array" localSheetId="0">{"ÿÿÿÿÿ"}</definedName>
    <definedName name="dongia" localSheetId="12">#REF!</definedName>
    <definedName name="dongia">#REF!</definedName>
    <definedName name="dry.." localSheetId="12">#REF!</definedName>
    <definedName name="dry..">#REF!</definedName>
    <definedName name="ds1pnc" localSheetId="12">#REF!</definedName>
    <definedName name="ds1pnc">#REF!</definedName>
    <definedName name="ds1pvl" localSheetId="12">#REF!</definedName>
    <definedName name="ds1pvl">#REF!</definedName>
    <definedName name="ds3pnc" localSheetId="12">#REF!</definedName>
    <definedName name="ds3pnc">#REF!</definedName>
    <definedName name="ds3pvl" localSheetId="12">#REF!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 localSheetId="12">#REF!</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 localSheetId="12">#REF!</definedName>
    <definedName name="dung">#REF!</definedName>
    <definedName name="dung1" localSheetId="12">#REF!</definedName>
    <definedName name="dung1">#REF!</definedName>
    <definedName name="dungkh" localSheetId="0" hidden="1">{"'Sheet1'!$L$16"}</definedName>
    <definedName name="Ea" localSheetId="12">#REF!</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 localSheetId="12">#REF!</definedName>
    <definedName name="EX">#REF!</definedName>
    <definedName name="EXC" localSheetId="12">#REF!</definedName>
    <definedName name="EXC">#REF!</definedName>
    <definedName name="EXCH" localSheetId="12">#REF!</definedName>
    <definedName name="EXCH">#REF!</definedName>
    <definedName name="_xlnm.Extract" localSheetId="12">#REF!</definedName>
    <definedName name="_xlnm.Extract">#REF!</definedName>
    <definedName name="f82E46" localSheetId="12">#REF!</definedName>
    <definedName name="f82E46">#REF!</definedName>
    <definedName name="f92F56" localSheetId="12">#REF!</definedName>
    <definedName name="f92F56">#REF!</definedName>
    <definedName name="FACTOR" localSheetId="12">#REF!</definedName>
    <definedName name="FACTOR">#REF!</definedName>
    <definedName name="Fax" localSheetId="12">#REF!</definedName>
    <definedName name="Fax">#REF!</definedName>
    <definedName name="Fay" localSheetId="12">#REF!</definedName>
    <definedName name="Fay">#REF!</definedName>
    <definedName name="fc" localSheetId="12">#REF!</definedName>
    <definedName name="fc">#REF!</definedName>
    <definedName name="fc_" localSheetId="12">#REF!</definedName>
    <definedName name="fc_">#REF!</definedName>
    <definedName name="FC5_total" localSheetId="12">#REF!</definedName>
    <definedName name="FC5_total">#REF!</definedName>
    <definedName name="FC6_total" localSheetId="12">#REF!</definedName>
    <definedName name="FC6_total">#REF!</definedName>
    <definedName name="Fdaymong" localSheetId="12">#REF!</definedName>
    <definedName name="Fdaymong">#REF!</definedName>
    <definedName name="Fg" localSheetId="12">#REF!</definedName>
    <definedName name="Fg">#REF!</definedName>
    <definedName name="FS" localSheetId="12">#REF!</definedName>
    <definedName name="FS">#REF!</definedName>
    <definedName name="fy" localSheetId="12">#REF!</definedName>
    <definedName name="fy">#REF!</definedName>
    <definedName name="Fy_" localSheetId="12">#REF!</definedName>
    <definedName name="Fy_">#REF!</definedName>
    <definedName name="g_" localSheetId="12">#REF!</definedName>
    <definedName name="g_">#REF!</definedName>
    <definedName name="gas" localSheetId="12">#REF!</definedName>
    <definedName name="gas">#REF!</definedName>
    <definedName name="gchi" localSheetId="12">#REF!</definedName>
    <definedName name="gchi">#REF!</definedName>
    <definedName name="gd" localSheetId="12">#REF!</definedName>
    <definedName name="gd">#REF!</definedName>
    <definedName name="geff" localSheetId="12">#REF!</definedName>
    <definedName name="geff">#REF!</definedName>
    <definedName name="gia_tien" localSheetId="12">#REF!</definedName>
    <definedName name="gia_tien">#REF!</definedName>
    <definedName name="gia_tien_BTN" localSheetId="12">#REF!</definedName>
    <definedName name="gia_tien_BTN">#REF!</definedName>
    <definedName name="giatrinhap" localSheetId="12">#REF!</definedName>
    <definedName name="giatrinhap">#REF!</definedName>
    <definedName name="GIAVL_TRALY" localSheetId="12">#REF!</definedName>
    <definedName name="GIAVL_TRALY">#REF!</definedName>
    <definedName name="gkGTGT" localSheetId="12">#REF!</definedName>
    <definedName name="gkGTGT">#REF!</definedName>
    <definedName name="gl3p" localSheetId="12">#REF!</definedName>
    <definedName name="gl3p">#REF!</definedName>
    <definedName name="gld" localSheetId="12">#REF!</definedName>
    <definedName name="gld">#REF!</definedName>
    <definedName name="GO.110" localSheetId="12">#REF!</definedName>
    <definedName name="GO.110">#REF!</definedName>
    <definedName name="GO.25" localSheetId="12">#REF!</definedName>
    <definedName name="GO.25">#REF!</definedName>
    <definedName name="GO.39" localSheetId="12">#REF!</definedName>
    <definedName name="GO.39">#REF!</definedName>
    <definedName name="GO.52" localSheetId="12">#REF!</definedName>
    <definedName name="GO.52">#REF!</definedName>
    <definedName name="GO.65" localSheetId="12">#REF!</definedName>
    <definedName name="GO.65">#REF!</definedName>
    <definedName name="GO.81" localSheetId="12">#REF!</definedName>
    <definedName name="GO.81">#REF!</definedName>
    <definedName name="GO.9" localSheetId="12">#REF!</definedName>
    <definedName name="GO.9">#REF!</definedName>
    <definedName name="gs" localSheetId="12">#REF!</definedName>
    <definedName name="gs">#REF!</definedName>
    <definedName name="gse" localSheetId="12">#REF!</definedName>
    <definedName name="gse">#REF!</definedName>
    <definedName name="gtc" localSheetId="12">#REF!</definedName>
    <definedName name="gtc">#REF!</definedName>
    <definedName name="GTRI" localSheetId="12">#REF!</definedName>
    <definedName name="GTRI">#REF!</definedName>
    <definedName name="GTXL" localSheetId="12">#REF!</definedName>
    <definedName name="GTXL">#REF!</definedName>
    <definedName name="GVL_LDT" localSheetId="12">#REF!</definedName>
    <definedName name="GVL_LDT">#REF!</definedName>
    <definedName name="gxm" localSheetId="12">#REF!</definedName>
    <definedName name="gxm">#REF!</definedName>
    <definedName name="h" localSheetId="3" hidden="1">{"'Sheet1'!$L$16"}</definedName>
    <definedName name="h" localSheetId="0" hidden="1">{"'Sheet1'!$L$16"}</definedName>
    <definedName name="h_" localSheetId="12">#REF!</definedName>
    <definedName name="h_">#REF!</definedName>
    <definedName name="h__" localSheetId="12">#REF!</definedName>
    <definedName name="h__">#REF!</definedName>
    <definedName name="h_0" localSheetId="12">#REF!</definedName>
    <definedName name="h_0">#REF!</definedName>
    <definedName name="H_1" localSheetId="12">#REF!</definedName>
    <definedName name="H_1">#REF!</definedName>
    <definedName name="H_2" localSheetId="12">#REF!</definedName>
    <definedName name="H_2">#REF!</definedName>
    <definedName name="H_3" localSheetId="12">#REF!</definedName>
    <definedName name="H_3">#REF!</definedName>
    <definedName name="HAGIANG" localSheetId="12">#REF!</definedName>
    <definedName name="HAGIANG">#REF!</definedName>
    <definedName name="HANG" localSheetId="3" hidden="1">{#N/A,#N/A,FALSE,"Chi tiÆt"}</definedName>
    <definedName name="HANG" localSheetId="0" hidden="1">{#N/A,#N/A,FALSE,"Chi tiÆt"}</definedName>
    <definedName name="HapCKVA" localSheetId="12">#REF!</definedName>
    <definedName name="HapCKVA">#REF!</definedName>
    <definedName name="HapCKvar" localSheetId="12">#REF!</definedName>
    <definedName name="HapCKvar">#REF!</definedName>
    <definedName name="HapCKW" localSheetId="12">#REF!</definedName>
    <definedName name="HapCKW">#REF!</definedName>
    <definedName name="HapIKVA" localSheetId="12">#REF!</definedName>
    <definedName name="HapIKVA">#REF!</definedName>
    <definedName name="HapIKvar" localSheetId="12">#REF!</definedName>
    <definedName name="HapIKvar">#REF!</definedName>
    <definedName name="HapIKW" localSheetId="12">#REF!</definedName>
    <definedName name="HapIKW">#REF!</definedName>
    <definedName name="HapKVA" localSheetId="12">#REF!</definedName>
    <definedName name="HapKVA">#REF!</definedName>
    <definedName name="HapSKVA" localSheetId="12">#REF!</definedName>
    <definedName name="HapSKVA">#REF!</definedName>
    <definedName name="HapSKW" localSheetId="12">#REF!</definedName>
    <definedName name="HapSKW">#REF!</definedName>
    <definedName name="HCM" localSheetId="12">#REF!</definedName>
    <definedName name="HCM">#REF!</definedName>
    <definedName name="Heä_soá_laép_xaø_H">1.7</definedName>
    <definedName name="heä_soá_sình_laày" localSheetId="12">#REF!</definedName>
    <definedName name="heä_soá_sình_laày">#REF!</definedName>
    <definedName name="Hg" localSheetId="12">#REF!</definedName>
    <definedName name="Hg">#REF!</definedName>
    <definedName name="HHUHOI" localSheetId="3">'Boi chi NSDP'!HHUHOI</definedName>
    <definedName name="HHUHOI" localSheetId="0">'chi 2016 xac định lại'!HHUHOI</definedName>
    <definedName name="hien" localSheetId="12">#REF!</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 localSheetId="12">#REF!</definedName>
    <definedName name="Ho">#REF!</definedName>
    <definedName name="HOME_MANP" localSheetId="12">#REF!</definedName>
    <definedName name="HOME_MANP">#REF!</definedName>
    <definedName name="HOMEOFFICE_COST" localSheetId="12">#REF!</definedName>
    <definedName name="HOMEOFFICE_COST">#REF!</definedName>
    <definedName name="HSCT3">0.1</definedName>
    <definedName name="hsdc1" localSheetId="12">#REF!</definedName>
    <definedName name="hsdc1">#REF!</definedName>
    <definedName name="HSDN">2.5</definedName>
    <definedName name="HSGG" localSheetId="12">#REF!</definedName>
    <definedName name="HSGG">#REF!</definedName>
    <definedName name="HSHH" localSheetId="12">#REF!</definedName>
    <definedName name="HSHH">#REF!</definedName>
    <definedName name="HSHHUT" localSheetId="12">#REF!</definedName>
    <definedName name="HSHHUT">#REF!</definedName>
    <definedName name="hsm">1.1289</definedName>
    <definedName name="hsnc_cau2">1.626</definedName>
    <definedName name="hsnc_d">1.6356</definedName>
    <definedName name="hsnc_d2">1.6356</definedName>
    <definedName name="hso" localSheetId="12">#REF!</definedName>
    <definedName name="hso">#REF!</definedName>
    <definedName name="HSSL" localSheetId="12">#REF!</definedName>
    <definedName name="HSSL">#REF!</definedName>
    <definedName name="HSVC1" localSheetId="12">#REF!</definedName>
    <definedName name="HSVC1">#REF!</definedName>
    <definedName name="HSVC2" localSheetId="12">#REF!</definedName>
    <definedName name="HSVC2">#REF!</definedName>
    <definedName name="HSVC3" localSheetId="1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2">#REF!</definedName>
    <definedName name="HTNC">#REF!</definedName>
    <definedName name="HTVL" localSheetId="12">#REF!</definedName>
    <definedName name="HTVL">#REF!</definedName>
    <definedName name="huy" localSheetId="3">#REF!</definedName>
    <definedName name="I" localSheetId="12">#REF!</definedName>
    <definedName name="I">#REF!</definedName>
    <definedName name="I_A" localSheetId="12">#REF!</definedName>
    <definedName name="I_A">#REF!</definedName>
    <definedName name="I_B" localSheetId="12">#REF!</definedName>
    <definedName name="I_B">#REF!</definedName>
    <definedName name="I_c" localSheetId="12">#REF!</definedName>
    <definedName name="I_c">#REF!</definedName>
    <definedName name="IDLAB_COST" localSheetId="12">#REF!</definedName>
    <definedName name="IDLAB_COST">#REF!</definedName>
    <definedName name="II_A" localSheetId="12">#REF!</definedName>
    <definedName name="II_A">#REF!</definedName>
    <definedName name="II_B" localSheetId="12">#REF!</definedName>
    <definedName name="II_B">#REF!</definedName>
    <definedName name="II_c" localSheetId="12">#REF!</definedName>
    <definedName name="II_c">#REF!</definedName>
    <definedName name="III_a" localSheetId="12">#REF!</definedName>
    <definedName name="III_a">#REF!</definedName>
    <definedName name="III_B" localSheetId="12">#REF!</definedName>
    <definedName name="III_B">#REF!</definedName>
    <definedName name="III_c" localSheetId="12">#REF!</definedName>
    <definedName name="III_c">#REF!</definedName>
    <definedName name="IND_LAB" localSheetId="12">#REF!</definedName>
    <definedName name="IND_LAB">#REF!</definedName>
    <definedName name="INDMANP" localSheetId="12">#REF!</definedName>
    <definedName name="INDMANP">#REF!</definedName>
    <definedName name="iÖn_lùc_Qu_ng_ninh" localSheetId="12">#REF!</definedName>
    <definedName name="iÖn_lùc_Qu_ng_ninh">#REF!</definedName>
    <definedName name="J" localSheetId="12">#REF!</definedName>
    <definedName name="J">#REF!</definedName>
    <definedName name="j356C8" localSheetId="12">#REF!</definedName>
    <definedName name="j356C8">#REF!</definedName>
    <definedName name="K" localSheetId="3">#REF!</definedName>
    <definedName name="kcong" localSheetId="12">#REF!</definedName>
    <definedName name="kcong">#REF!</definedName>
    <definedName name="kdien" localSheetId="12">#REF!</definedName>
    <definedName name="kdien">#REF!</definedName>
    <definedName name="kh" localSheetId="12">#REF!</definedName>
    <definedName name="kh">#REF!</definedName>
    <definedName name="kha" localSheetId="12">#REF!</definedName>
    <definedName name="kha">#REF!</definedName>
    <definedName name="Khac" localSheetId="3">#REF!</definedName>
    <definedName name="Khong_can_doi" localSheetId="3">#REF!</definedName>
    <definedName name="kiem" localSheetId="12">#REF!</definedName>
    <definedName name="kiem">#REF!</definedName>
    <definedName name="Kiem_tra_trung_ten" localSheetId="12">#REF!</definedName>
    <definedName name="Kiem_tra_trung_ten">#REF!</definedName>
    <definedName name="kkkkkkkkkkkk" localSheetId="12">#REF!</definedName>
    <definedName name="kkkkkkkkkkkk">#REF!</definedName>
    <definedName name="kkkkkkkkkkkkkkk" localSheetId="12">#REF!</definedName>
    <definedName name="kkkkkkkkkkkkkkk">#REF!</definedName>
    <definedName name="kp1ph" localSheetId="12">#REF!</definedName>
    <definedName name="kp1ph">#REF!</definedName>
    <definedName name="KQ_Truong" localSheetId="3">#REF!</definedName>
    <definedName name="Ks" localSheetId="12">#REF!</definedName>
    <definedName name="Ks">#REF!</definedName>
    <definedName name="KVC" localSheetId="3">#REF!</definedName>
    <definedName name="L" localSheetId="3">#REF!</definedName>
    <definedName name="l_1" localSheetId="12">#REF!</definedName>
    <definedName name="l_1">#REF!</definedName>
    <definedName name="Laivay" localSheetId="12">#REF!</definedName>
    <definedName name="Laivay">#REF!</definedName>
    <definedName name="lan" localSheetId="0" hidden="1">{"'Sheet1'!$L$16"}</definedName>
    <definedName name="Lb" localSheetId="12">#REF!</definedName>
    <definedName name="Lb">#REF!</definedName>
    <definedName name="LC5_total" localSheetId="12">#REF!</definedName>
    <definedName name="LC5_total">#REF!</definedName>
    <definedName name="LC6_total" localSheetId="12">#REF!</definedName>
    <definedName name="LC6_total">#REF!</definedName>
    <definedName name="llllllllll" localSheetId="12">#REF!</definedName>
    <definedName name="llllllllll">#REF!</definedName>
    <definedName name="Lmk" localSheetId="12">#REF!</definedName>
    <definedName name="Lmk">#REF!</definedName>
    <definedName name="LN" localSheetId="12">#REF!</definedName>
    <definedName name="LN">#REF!</definedName>
    <definedName name="LOAI_DUONG" localSheetId="12">#REF!</definedName>
    <definedName name="LOAI_DUONG">#REF!</definedName>
    <definedName name="ltre" localSheetId="12">#REF!</definedName>
    <definedName name="ltre">#REF!</definedName>
    <definedName name="lv.." localSheetId="12">#REF!</definedName>
    <definedName name="lv..">#REF!</definedName>
    <definedName name="lVC" localSheetId="3">#REF!</definedName>
    <definedName name="lvr.." localSheetId="12">#REF!</definedName>
    <definedName name="lvr..">#REF!</definedName>
    <definedName name="M12ba3p" localSheetId="12">#REF!</definedName>
    <definedName name="M12ba3p">#REF!</definedName>
    <definedName name="M12bb1p" localSheetId="12">#REF!</definedName>
    <definedName name="M12bb1p">#REF!</definedName>
    <definedName name="M12cbnc" localSheetId="12">#REF!</definedName>
    <definedName name="M12cbnc">#REF!</definedName>
    <definedName name="M12cbvl" localSheetId="12">#REF!</definedName>
    <definedName name="M12cbvl">#REF!</definedName>
    <definedName name="M14bb1p" localSheetId="12">#REF!</definedName>
    <definedName name="M14bb1p">#REF!</definedName>
    <definedName name="m8aanc" localSheetId="12">#REF!</definedName>
    <definedName name="m8aanc">#REF!</definedName>
    <definedName name="m8aavl" localSheetId="12">#REF!</definedName>
    <definedName name="m8aavl">#REF!</definedName>
    <definedName name="Ma3pnc" localSheetId="12">#REF!</definedName>
    <definedName name="Ma3pnc">#REF!</definedName>
    <definedName name="Ma3pvl" localSheetId="12">#REF!</definedName>
    <definedName name="Ma3pvl">#REF!</definedName>
    <definedName name="Maa3pnc" localSheetId="12">#REF!</definedName>
    <definedName name="Maa3pnc">#REF!</definedName>
    <definedName name="Maa3pvl" localSheetId="12">#REF!</definedName>
    <definedName name="Maa3pvl">#REF!</definedName>
    <definedName name="mahang" localSheetId="12">#REF!</definedName>
    <definedName name="mahang">#REF!</definedName>
    <definedName name="MaHaRangNam" localSheetId="12">#REF!</definedName>
    <definedName name="MaHaRangNam">#REF!</definedName>
    <definedName name="MaHaRangTuan" localSheetId="12">#REF!</definedName>
    <definedName name="MaHaRangTuan">#REF!</definedName>
    <definedName name="MAJ_CON_EQP" localSheetId="12">#REF!</definedName>
    <definedName name="MAJ_CON_EQP">#REF!</definedName>
    <definedName name="MaMay_Q" localSheetId="12">#REF!</definedName>
    <definedName name="MaMay_Q">#REF!</definedName>
    <definedName name="mangay" localSheetId="12">#REF!</definedName>
    <definedName name="mangay">#REF!</definedName>
    <definedName name="mathang" localSheetId="12">#REF!</definedName>
    <definedName name="mathang">#REF!</definedName>
    <definedName name="MaThanhToanNB" localSheetId="12">#REF!</definedName>
    <definedName name="MaThanhToanNB">#REF!</definedName>
    <definedName name="MaTuan" localSheetId="12">#REF!</definedName>
    <definedName name="MaTuan">#REF!</definedName>
    <definedName name="Mba1p" localSheetId="12">#REF!</definedName>
    <definedName name="Mba1p">#REF!</definedName>
    <definedName name="Mba3p" localSheetId="12">#REF!</definedName>
    <definedName name="Mba3p">#REF!</definedName>
    <definedName name="Mbb3p" localSheetId="12">#REF!</definedName>
    <definedName name="Mbb3p">#REF!</definedName>
    <definedName name="Mbn1p" localSheetId="12">#REF!</definedName>
    <definedName name="Mbn1p">#REF!</definedName>
    <definedName name="mc" localSheetId="12">#REF!</definedName>
    <definedName name="mc">#REF!</definedName>
    <definedName name="me" localSheetId="12">#REF!</definedName>
    <definedName name="me">#REF!</definedName>
    <definedName name="MG_A" localSheetId="3">#REF!</definedName>
    <definedName name="Mn" localSheetId="12">#REF!</definedName>
    <definedName name="Mn">#REF!</definedName>
    <definedName name="MTMAC12" localSheetId="12">#REF!</definedName>
    <definedName name="MTMAC12">#REF!</definedName>
    <definedName name="mtram" localSheetId="12">#REF!</definedName>
    <definedName name="mtram">#REF!</definedName>
    <definedName name="Mu" localSheetId="12">#REF!</definedName>
    <definedName name="Mu">#REF!</definedName>
    <definedName name="Mu_" localSheetId="12">#REF!</definedName>
    <definedName name="Mu_">#REF!</definedName>
    <definedName name="n" localSheetId="12">#REF!</definedName>
    <definedName name="n">#REF!</definedName>
    <definedName name="n1pig" localSheetId="12">#REF!</definedName>
    <definedName name="n1pig">#REF!</definedName>
    <definedName name="n1pind" localSheetId="12">#REF!</definedName>
    <definedName name="n1pind">#REF!</definedName>
    <definedName name="n1ping" localSheetId="12">#REF!</definedName>
    <definedName name="n1ping">#REF!</definedName>
    <definedName name="n1pint" localSheetId="12">#REF!</definedName>
    <definedName name="n1pint">#REF!</definedName>
    <definedName name="nc1p" localSheetId="12">#REF!</definedName>
    <definedName name="nc1p">#REF!</definedName>
    <definedName name="nc3p" localSheetId="12">#REF!</definedName>
    <definedName name="nc3p">#REF!</definedName>
    <definedName name="NCBD100" localSheetId="12">#REF!</definedName>
    <definedName name="NCBD100">#REF!</definedName>
    <definedName name="NCBD200" localSheetId="12">#REF!</definedName>
    <definedName name="NCBD200">#REF!</definedName>
    <definedName name="NCBD250" localSheetId="12">#REF!</definedName>
    <definedName name="NCBD250">#REF!</definedName>
    <definedName name="NCcap0.7" localSheetId="3">#REF!</definedName>
    <definedName name="NCcap1" localSheetId="3">#REF!</definedName>
    <definedName name="nctram" localSheetId="12">#REF!</definedName>
    <definedName name="nctram">#REF!</definedName>
    <definedName name="NCVC100" localSheetId="12">#REF!</definedName>
    <definedName name="NCVC100">#REF!</definedName>
    <definedName name="NCVC200" localSheetId="12">#REF!</definedName>
    <definedName name="NCVC200">#REF!</definedName>
    <definedName name="NCVC250" localSheetId="12">#REF!</definedName>
    <definedName name="NCVC250">#REF!</definedName>
    <definedName name="NCVC3P" localSheetId="12">#REF!</definedName>
    <definedName name="NCVC3P">#REF!</definedName>
    <definedName name="NET" localSheetId="12">#REF!</definedName>
    <definedName name="NET">#REF!</definedName>
    <definedName name="NET_1" localSheetId="12">#REF!</definedName>
    <definedName name="NET_1">#REF!</definedName>
    <definedName name="NET_ANA" localSheetId="12">#REF!</definedName>
    <definedName name="NET_ANA">#REF!</definedName>
    <definedName name="NET_ANA_1" localSheetId="12">#REF!</definedName>
    <definedName name="NET_ANA_1">#REF!</definedName>
    <definedName name="NET_ANA_2" localSheetId="12">#REF!</definedName>
    <definedName name="NET_ANA_2">#REF!</definedName>
    <definedName name="Ngay" localSheetId="12">#REF!</definedName>
    <definedName name="Ngay">#REF!</definedName>
    <definedName name="nght" localSheetId="12">#REF!</definedName>
    <definedName name="nght">#REF!</definedName>
    <definedName name="NH" localSheetId="12">#REF!</definedName>
    <definedName name="NH">#REF!</definedName>
    <definedName name="NHAÂN_COÂNG" localSheetId="3">'Boi chi NSDP'!BTRAM</definedName>
    <definedName name="NHAÂN_COÂNG" localSheetId="0">BTRAM</definedName>
    <definedName name="nhapthan" localSheetId="12">#REF!</definedName>
    <definedName name="nhapthan">#REF!</definedName>
    <definedName name="nhn" localSheetId="12">#REF!</definedName>
    <definedName name="nhn">#REF!</definedName>
    <definedName name="NHot" localSheetId="12">#REF!</definedName>
    <definedName name="NHot">#REF!</definedName>
    <definedName name="nig" localSheetId="12">#REF!</definedName>
    <definedName name="nig">#REF!</definedName>
    <definedName name="nig1p" localSheetId="12">#REF!</definedName>
    <definedName name="nig1p">#REF!</definedName>
    <definedName name="nig3p" localSheetId="12">#REF!</definedName>
    <definedName name="nig3p">#REF!</definedName>
    <definedName name="nignc1p" localSheetId="12">#REF!</definedName>
    <definedName name="nignc1p">#REF!</definedName>
    <definedName name="nigvl1p" localSheetId="12">#REF!</definedName>
    <definedName name="nigvl1p">#REF!</definedName>
    <definedName name="nin" localSheetId="12">#REF!</definedName>
    <definedName name="nin">#REF!</definedName>
    <definedName name="nin14nc3p" localSheetId="12">#REF!</definedName>
    <definedName name="nin14nc3p">#REF!</definedName>
    <definedName name="nin14vl3p" localSheetId="12">#REF!</definedName>
    <definedName name="nin14vl3p">#REF!</definedName>
    <definedName name="nin1903p" localSheetId="12">#REF!</definedName>
    <definedName name="nin1903p">#REF!</definedName>
    <definedName name="nin190nc3p" localSheetId="12">#REF!</definedName>
    <definedName name="nin190nc3p">#REF!</definedName>
    <definedName name="nin190vl3p" localSheetId="12">#REF!</definedName>
    <definedName name="nin190vl3p">#REF!</definedName>
    <definedName name="nin2903p" localSheetId="12">#REF!</definedName>
    <definedName name="nin2903p">#REF!</definedName>
    <definedName name="nin290nc3p" localSheetId="12">#REF!</definedName>
    <definedName name="nin290nc3p">#REF!</definedName>
    <definedName name="nin290vl3p" localSheetId="12">#REF!</definedName>
    <definedName name="nin290vl3p">#REF!</definedName>
    <definedName name="nin3p" localSheetId="12">#REF!</definedName>
    <definedName name="nin3p">#REF!</definedName>
    <definedName name="nind" localSheetId="12">#REF!</definedName>
    <definedName name="nind">#REF!</definedName>
    <definedName name="nind1p" localSheetId="12">#REF!</definedName>
    <definedName name="nind1p">#REF!</definedName>
    <definedName name="nind3p" localSheetId="12">#REF!</definedName>
    <definedName name="nind3p">#REF!</definedName>
    <definedName name="nindnc1p" localSheetId="12">#REF!</definedName>
    <definedName name="nindnc1p">#REF!</definedName>
    <definedName name="nindnc3p" localSheetId="12">#REF!</definedName>
    <definedName name="nindnc3p">#REF!</definedName>
    <definedName name="nindvl1p" localSheetId="12">#REF!</definedName>
    <definedName name="nindvl1p">#REF!</definedName>
    <definedName name="nindvl3p" localSheetId="12">#REF!</definedName>
    <definedName name="nindvl3p">#REF!</definedName>
    <definedName name="ning1p" localSheetId="12">#REF!</definedName>
    <definedName name="ning1p">#REF!</definedName>
    <definedName name="ningnc1p" localSheetId="12">#REF!</definedName>
    <definedName name="ningnc1p">#REF!</definedName>
    <definedName name="ningvl1p" localSheetId="12">#REF!</definedName>
    <definedName name="ningvl1p">#REF!</definedName>
    <definedName name="ninnc3p" localSheetId="12">#REF!</definedName>
    <definedName name="ninnc3p">#REF!</definedName>
    <definedName name="nint1p" localSheetId="12">#REF!</definedName>
    <definedName name="nint1p">#REF!</definedName>
    <definedName name="nintnc1p" localSheetId="12">#REF!</definedName>
    <definedName name="nintnc1p">#REF!</definedName>
    <definedName name="nintvl1p" localSheetId="12">#REF!</definedName>
    <definedName name="nintvl1p">#REF!</definedName>
    <definedName name="ninvl3p" localSheetId="12">#REF!</definedName>
    <definedName name="ninvl3p">#REF!</definedName>
    <definedName name="nl" localSheetId="12">#REF!</definedName>
    <definedName name="nl">#REF!</definedName>
    <definedName name="nl1p" localSheetId="12">#REF!</definedName>
    <definedName name="nl1p">#REF!</definedName>
    <definedName name="nl3p" localSheetId="12">#REF!</definedName>
    <definedName name="nl3p">#REF!</definedName>
    <definedName name="nlnc3p" localSheetId="12">#REF!</definedName>
    <definedName name="nlnc3p">#REF!</definedName>
    <definedName name="nlnc3pha" localSheetId="12">#REF!</definedName>
    <definedName name="nlnc3pha">#REF!</definedName>
    <definedName name="NLTK1p" localSheetId="12">#REF!</definedName>
    <definedName name="NLTK1p">#REF!</definedName>
    <definedName name="nlvl3p" localSheetId="12">#REF!</definedName>
    <definedName name="nlvl3p">#REF!</definedName>
    <definedName name="Nms" localSheetId="12">#REF!</definedName>
    <definedName name="Nms">#REF!</definedName>
    <definedName name="nn" localSheetId="12">#REF!</definedName>
    <definedName name="nn">#REF!</definedName>
    <definedName name="nn1p" localSheetId="12">#REF!</definedName>
    <definedName name="nn1p">#REF!</definedName>
    <definedName name="nn3p" localSheetId="12">#REF!</definedName>
    <definedName name="nn3p">#REF!</definedName>
    <definedName name="nnnc3p" localSheetId="12">#REF!</definedName>
    <definedName name="nnnc3p">#REF!</definedName>
    <definedName name="nnvl3p" localSheetId="12">#REF!</definedName>
    <definedName name="nnvl3p">#REF!</definedName>
    <definedName name="No" localSheetId="12">#REF!</definedName>
    <definedName name="No">#REF!</definedName>
    <definedName name="Nq" localSheetId="12">#REF!</definedName>
    <definedName name="Nq">#REF!</definedName>
    <definedName name="NQD" localSheetId="3">#REF!</definedName>
    <definedName name="NQQH" localSheetId="1">#REF!</definedName>
    <definedName name="NSNN" localSheetId="1">#REF!</definedName>
    <definedName name="oxy" localSheetId="12">#REF!</definedName>
    <definedName name="oxy">#REF!</definedName>
    <definedName name="PA" localSheetId="12">#REF!</definedName>
    <definedName name="PA">#REF!</definedName>
    <definedName name="PA3.1" localSheetId="0" hidden="1">{"'Sheet1'!$L$16"}</definedName>
    <definedName name="Pd" localSheetId="12">#REF!</definedName>
    <definedName name="Pd">#REF!</definedName>
    <definedName name="pgia" localSheetId="12">#REF!</definedName>
    <definedName name="pgia">#REF!</definedName>
    <definedName name="Phamcap" localSheetId="12">#REF!</definedName>
    <definedName name="Phamcap">#REF!</definedName>
    <definedName name="Phan_cap" localSheetId="3">#REF!</definedName>
    <definedName name="phi_inertial" localSheetId="12">#REF!</definedName>
    <definedName name="phi_inertial">#REF!</definedName>
    <definedName name="Phi_le_phi" localSheetId="3">#REF!</definedName>
    <definedName name="phu_luc_vua" localSheetId="12">#REF!</definedName>
    <definedName name="phu_luc_vua">#REF!</definedName>
    <definedName name="PileSize" localSheetId="12">#REF!</definedName>
    <definedName name="PileSize">#REF!</definedName>
    <definedName name="PileType" localSheetId="12">#REF!</definedName>
    <definedName name="PileType">#REF!</definedName>
    <definedName name="pm.." localSheetId="12">#REF!</definedName>
    <definedName name="pm..">#REF!</definedName>
    <definedName name="PPPPPPPPPPP" localSheetId="12">#REF!</definedName>
    <definedName name="PPPPPPPPPPP">#REF!</definedName>
    <definedName name="pppppppppppp" localSheetId="12">#REF!</definedName>
    <definedName name="pppppppppppp">#REF!</definedName>
    <definedName name="PRICE" localSheetId="12">#REF!</definedName>
    <definedName name="PRICE">#REF!</definedName>
    <definedName name="PRICE1" localSheetId="12">#REF!</definedName>
    <definedName name="PRICE1">#REF!</definedName>
    <definedName name="print" localSheetId="12">#REF!</definedName>
    <definedName name="print">#REF!</definedName>
    <definedName name="_xlnm.Print_Area" localSheetId="21">'10 sua'!$A$1:$H$24</definedName>
    <definedName name="_xlnm.Print_Area" localSheetId="20">'Bieu 10'!$A$1:$G$24</definedName>
    <definedName name="_xlnm.Print_Area" localSheetId="16">'Bieu 17'!$A$1:$F$74</definedName>
    <definedName name="_xlnm.Print_Area" localSheetId="17">'Bieu 37'!$A$1:$T$94</definedName>
    <definedName name="_xlnm.Print_Area" localSheetId="18">'Bieu 41'!$A$1:$U$29</definedName>
    <definedName name="_xlnm.Print_Area" localSheetId="9">'Biểu 49'!$A$1:$E$78</definedName>
    <definedName name="_xlnm.Print_Area" localSheetId="15">'Biểu 56'!$A$1:$F$27</definedName>
    <definedName name="_xlnm.Print_Area" localSheetId="19">'Bieu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21">'10 sua'!$4:$8</definedName>
    <definedName name="_xlnm.Print_Titles" localSheetId="23">'2018-bao tam'!$A:$B,'2018-bao tam'!$3:$7</definedName>
    <definedName name="_xlnm.Print_Titles" localSheetId="16">'Bieu 17'!$5:$7</definedName>
    <definedName name="_xlnm.Print_Titles" localSheetId="17">'Bieu 37'!$4:$6</definedName>
    <definedName name="_xlnm.Print_Titles" localSheetId="18">'Bieu 41'!$6:$9</definedName>
    <definedName name="_xlnm.Print_Titles" localSheetId="6">'Biểu 46'!$6:$8</definedName>
    <definedName name="_xlnm.Print_Titles" localSheetId="7">'Biểu 47'!$5:$8</definedName>
    <definedName name="_xlnm.Print_Titles" localSheetId="8">'Biểu 48'!$6:$7</definedName>
    <definedName name="_xlnm.Print_Titles" localSheetId="9">'Biểu 49'!$6:$8</definedName>
    <definedName name="_xlnm.Print_Titles" localSheetId="10">'Biểu 50'!$6:$7</definedName>
    <definedName name="_xlnm.Print_Titles" localSheetId="11">'Biểu 52'!$4:$7</definedName>
    <definedName name="_xlnm.Print_Titles" localSheetId="12">'Biểu 53'!$5:$7</definedName>
    <definedName name="_xlnm.Print_Titles" localSheetId="15">'Biểu 56'!$7:$10</definedName>
    <definedName name="_xlnm.Print_Titles" localSheetId="19">'Bieu 9'!$4:$8</definedName>
    <definedName name="_xlnm.Print_Titles" localSheetId="3">'Boi chi NSDP'!$6:$8</definedName>
    <definedName name="_xlnm.Print_Titles" localSheetId="22">'DT2018 (goc)'!$A:$B,'DT2018 (goc)'!$5:$8</definedName>
    <definedName name="_xlnm.Print_Titles" localSheetId="24">'ngay 27-11'!$A:$B,'ngay 27-11'!$3:$7</definedName>
    <definedName name="_xlnm.Print_Titles" localSheetId="5">'Quang Nam'!$6:$9</definedName>
    <definedName name="_xlnm.Print_Titles" localSheetId="1">'Vong II'!$2:$9</definedName>
    <definedName name="_xlnm.Print_Titles">#N/A</definedName>
    <definedName name="PRINT_TITLES_MI" localSheetId="12">#REF!</definedName>
    <definedName name="PRINT_TITLES_MI">#REF!</definedName>
    <definedName name="PRINTA" localSheetId="12">#REF!</definedName>
    <definedName name="PRINTA">#REF!</definedName>
    <definedName name="PRINTB" localSheetId="12">#REF!</definedName>
    <definedName name="PRINTB">#REF!</definedName>
    <definedName name="PRINTC" localSheetId="12">#REF!</definedName>
    <definedName name="PRINTC">#REF!</definedName>
    <definedName name="prjName" localSheetId="12">#REF!</definedName>
    <definedName name="prjName">#REF!</definedName>
    <definedName name="prjNo" localSheetId="12">#REF!</definedName>
    <definedName name="prjNo">#REF!</definedName>
    <definedName name="PROPOSAL" localSheetId="3">#REF!</definedName>
    <definedName name="pt" localSheetId="12">#REF!</definedName>
    <definedName name="pt">#REF!</definedName>
    <definedName name="PT_Duong" localSheetId="12">#REF!</definedName>
    <definedName name="PT_Duong">#REF!</definedName>
    <definedName name="ptdg" localSheetId="12">#REF!</definedName>
    <definedName name="ptdg">#REF!</definedName>
    <definedName name="PTDG_cau" localSheetId="12">#REF!</definedName>
    <definedName name="PTDG_cau">#REF!</definedName>
    <definedName name="ptdg_cong" localSheetId="12">#REF!</definedName>
    <definedName name="ptdg_cong">#REF!</definedName>
    <definedName name="PTDG_DCV" localSheetId="12">#REF!</definedName>
    <definedName name="PTDG_DCV">#REF!</definedName>
    <definedName name="ptdg_duong" localSheetId="12">#REF!</definedName>
    <definedName name="ptdg_duong">#REF!</definedName>
    <definedName name="Pu" localSheetId="12">#REF!</definedName>
    <definedName name="Pu">#REF!</definedName>
    <definedName name="pw" localSheetId="12">#REF!</definedName>
    <definedName name="pw">#REF!</definedName>
    <definedName name="Qc" localSheetId="12">#REF!</definedName>
    <definedName name="Qc">#REF!</definedName>
    <definedName name="qu" localSheetId="12">#REF!</definedName>
    <definedName name="qu">#REF!</definedName>
    <definedName name="qua" localSheetId="12">#REF!</definedName>
    <definedName name="qua">#REF!</definedName>
    <definedName name="R_mong" localSheetId="12">#REF!</definedName>
    <definedName name="R_mong">#REF!</definedName>
    <definedName name="Ra_" localSheetId="12">#REF!</definedName>
    <definedName name="Ra_">#REF!</definedName>
    <definedName name="ra11p" localSheetId="12">#REF!</definedName>
    <definedName name="ra11p">#REF!</definedName>
    <definedName name="ra13p" localSheetId="12">#REF!</definedName>
    <definedName name="ra13p">#REF!</definedName>
    <definedName name="rain.." localSheetId="12">#REF!</definedName>
    <definedName name="rain..">#REF!</definedName>
    <definedName name="Rc_" localSheetId="12">#REF!</definedName>
    <definedName name="Rc_">#REF!</definedName>
    <definedName name="RECOUT">#N/A</definedName>
    <definedName name="RFP003A" localSheetId="12">#REF!</definedName>
    <definedName name="RFP003A">#REF!</definedName>
    <definedName name="RFP003B" localSheetId="12">#REF!</definedName>
    <definedName name="RFP003B">#REF!</definedName>
    <definedName name="RFP003C" localSheetId="12">#REF!</definedName>
    <definedName name="RFP003C">#REF!</definedName>
    <definedName name="RFP003D" localSheetId="12">#REF!</definedName>
    <definedName name="RFP003D">#REF!</definedName>
    <definedName name="RFP003E" localSheetId="12">#REF!</definedName>
    <definedName name="RFP003E">#REF!</definedName>
    <definedName name="RFP003F" localSheetId="12">#REF!</definedName>
    <definedName name="RFP003F">#REF!</definedName>
    <definedName name="RGHGSD" localSheetId="3" hidden="1">{"'Sheet1'!$L$16"}</definedName>
    <definedName name="RGHGSD" localSheetId="0" hidden="1">{"'Sheet1'!$L$16"}</definedName>
    <definedName name="Rrpo" localSheetId="12">#REF!</definedName>
    <definedName name="Rrpo">#REF!</definedName>
    <definedName name="rrrrrrrrrrrr" localSheetId="12">#REF!</definedName>
    <definedName name="rrrrrrrrrrrr">#REF!</definedName>
    <definedName name="s" localSheetId="12">#REF!</definedName>
    <definedName name="s">#REF!</definedName>
    <definedName name="s." localSheetId="12">#REF!</definedName>
    <definedName name="s.">#REF!</definedName>
    <definedName name="sanluongnhap" localSheetId="12">#REF!</definedName>
    <definedName name="sanluongnhap">#REF!</definedName>
    <definedName name="SCH" localSheetId="12">#REF!</definedName>
    <definedName name="SCH">#REF!</definedName>
    <definedName name="SCT" localSheetId="12">#REF!</definedName>
    <definedName name="SCT">#REF!</definedName>
    <definedName name="SDMONG" localSheetId="12">#REF!</definedName>
    <definedName name="SDMONG">#REF!</definedName>
    <definedName name="së_giao_th_ng" localSheetId="12">#REF!</definedName>
    <definedName name="së_giao_th_ng">#REF!</definedName>
    <definedName name="së_n_ng_nghiÖp_v__pt_n_ng_th_n" localSheetId="12">#REF!</definedName>
    <definedName name="së_n_ng_nghiÖp_v__pt_n_ng_th_n">#REF!</definedName>
    <definedName name="së_thuû_s_n" localSheetId="12">#REF!</definedName>
    <definedName name="së_thuû_s_n">#REF!</definedName>
    <definedName name="së_x_y_dùng" localSheetId="12">#REF!</definedName>
    <definedName name="së_x_y_dùng">#REF!</definedName>
    <definedName name="Sheet1" localSheetId="12">#REF!</definedName>
    <definedName name="Sheet1">#REF!</definedName>
    <definedName name="SIZE" localSheetId="12">#REF!</definedName>
    <definedName name="SIZE">#REF!</definedName>
    <definedName name="SL" localSheetId="12">#REF!</definedName>
    <definedName name="SL">#REF!</definedName>
    <definedName name="SL_CRD" localSheetId="12">#REF!</definedName>
    <definedName name="SL_CRD">#REF!</definedName>
    <definedName name="SL_CRS" localSheetId="12">#REF!</definedName>
    <definedName name="SL_CRS">#REF!</definedName>
    <definedName name="SL_CS" localSheetId="12">#REF!</definedName>
    <definedName name="SL_CS">#REF!</definedName>
    <definedName name="SL_DD" localSheetId="12">#REF!</definedName>
    <definedName name="SL_DD">#REF!</definedName>
    <definedName name="smax" localSheetId="12">#REF!</definedName>
    <definedName name="smax">#REF!</definedName>
    <definedName name="smax1" localSheetId="12">#REF!</definedName>
    <definedName name="smax1">#REF!</definedName>
    <definedName name="sn" localSheetId="12">#REF!</definedName>
    <definedName name="sn">#REF!</definedName>
    <definedName name="soc3p" localSheetId="12">#REF!</definedName>
    <definedName name="soc3p">#REF!</definedName>
    <definedName name="SoilType" localSheetId="12">#REF!</definedName>
    <definedName name="SoilType">#REF!</definedName>
    <definedName name="soluongnhap" localSheetId="12">#REF!</definedName>
    <definedName name="soluongnhap">#REF!</definedName>
    <definedName name="SPEC" localSheetId="3">#REF!</definedName>
    <definedName name="SPECSUMMARY" localSheetId="3">#REF!</definedName>
    <definedName name="ssssssssssssssssssss" localSheetId="12">#REF!</definedName>
    <definedName name="ssssssssssssssssssss">#REF!</definedName>
    <definedName name="ST" localSheetId="12">#REF!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 localSheetId="12">#REF!,#REF!</definedName>
    <definedName name="sum">#REF!,#REF!</definedName>
    <definedName name="SUMMARY" localSheetId="12">#REF!</definedName>
    <definedName name="SUMMARY">#REF!</definedName>
    <definedName name="t." localSheetId="12">#REF!</definedName>
    <definedName name="t.">#REF!</definedName>
    <definedName name="t.." localSheetId="12">#REF!</definedName>
    <definedName name="t..">#REF!</definedName>
    <definedName name="T.TBA" localSheetId="12">#REF!</definedName>
    <definedName name="T.TBA">#REF!</definedName>
    <definedName name="T0.4" localSheetId="12">#REF!</definedName>
    <definedName name="T0.4">#REF!</definedName>
    <definedName name="t101p" localSheetId="12">#REF!</definedName>
    <definedName name="t101p">#REF!</definedName>
    <definedName name="t103p" localSheetId="12">#REF!</definedName>
    <definedName name="t103p">#REF!</definedName>
    <definedName name="t10nc1p" localSheetId="12">#REF!</definedName>
    <definedName name="t10nc1p">#REF!</definedName>
    <definedName name="t10vl1p" localSheetId="12">#REF!</definedName>
    <definedName name="t10vl1p">#REF!</definedName>
    <definedName name="t121p" localSheetId="12">#REF!</definedName>
    <definedName name="t121p">#REF!</definedName>
    <definedName name="t123p" localSheetId="12">#REF!</definedName>
    <definedName name="t123p">#REF!</definedName>
    <definedName name="t141p" localSheetId="12">#REF!</definedName>
    <definedName name="t141p">#REF!</definedName>
    <definedName name="t143p" localSheetId="12">#REF!</definedName>
    <definedName name="t143p">#REF!</definedName>
    <definedName name="t14nc3p" localSheetId="12">#REF!</definedName>
    <definedName name="t14nc3p">#REF!</definedName>
    <definedName name="t14vl3p" localSheetId="12">#REF!</definedName>
    <definedName name="t14vl3p">#REF!</definedName>
    <definedName name="tadao" localSheetId="12">#REF!</definedName>
    <definedName name="tadao">#REF!</definedName>
    <definedName name="Tæng_Cty_c__khÝ_NL_v__má" localSheetId="12">#REF!</definedName>
    <definedName name="Tæng_Cty_c__khÝ_NL_v__má">#REF!</definedName>
    <definedName name="TaxTV">10%</definedName>
    <definedName name="TaxXL">5%</definedName>
    <definedName name="TBA" localSheetId="3">#REF!</definedName>
    <definedName name="tbtram" localSheetId="12">#REF!</definedName>
    <definedName name="tbtram">#REF!</definedName>
    <definedName name="TC" localSheetId="12">#REF!</definedName>
    <definedName name="TC">#REF!</definedName>
    <definedName name="TC_NHANH1" localSheetId="12">#REF!</definedName>
    <definedName name="TC_NHANH1">#REF!</definedName>
    <definedName name="td1p" localSheetId="12">#REF!</definedName>
    <definedName name="td1p">#REF!</definedName>
    <definedName name="td3p" localSheetId="12">#REF!</definedName>
    <definedName name="td3p">#REF!</definedName>
    <definedName name="tdnc1p" localSheetId="12">#REF!</definedName>
    <definedName name="tdnc1p">#REF!</definedName>
    <definedName name="tdo" localSheetId="12">#REF!</definedName>
    <definedName name="tdo">#REF!</definedName>
    <definedName name="tdtr2cnc" localSheetId="12">#REF!</definedName>
    <definedName name="tdtr2cnc">#REF!</definedName>
    <definedName name="tdtr2cvl" localSheetId="12">#REF!</definedName>
    <definedName name="tdtr2cvl">#REF!</definedName>
    <definedName name="tdvl1p" localSheetId="12">#REF!</definedName>
    <definedName name="tdvl1p">#REF!</definedName>
    <definedName name="ten" localSheetId="12">#REF!</definedName>
    <definedName name="ten">#REF!</definedName>
    <definedName name="test" localSheetId="12">#REF!</definedName>
    <definedName name="test">#REF!</definedName>
    <definedName name="TH.BM" localSheetId="12">#REF!</definedName>
    <definedName name="TH.BM">#REF!</definedName>
    <definedName name="TH.DVKD" localSheetId="12">#REF!</definedName>
    <definedName name="TH.DVKD">#REF!</definedName>
    <definedName name="TH.HB" localSheetId="12">#REF!</definedName>
    <definedName name="TH.HB">#REF!</definedName>
    <definedName name="TH.HR" localSheetId="12">#REF!</definedName>
    <definedName name="TH.HR">#REF!</definedName>
    <definedName name="TH.KT" localSheetId="12">#REF!</definedName>
    <definedName name="TH.KT">#REF!</definedName>
    <definedName name="TH.NK" localSheetId="12">#REF!</definedName>
    <definedName name="TH.NK">#REF!</definedName>
    <definedName name="TH.SL" localSheetId="12">#REF!</definedName>
    <definedName name="TH.SL">#REF!</definedName>
    <definedName name="TH.TBDM" localSheetId="12">#REF!</definedName>
    <definedName name="TH.TBDM">#REF!</definedName>
    <definedName name="TH.TC" localSheetId="12">#REF!</definedName>
    <definedName name="TH.TC">#REF!</definedName>
    <definedName name="thanhtien" localSheetId="3">#REF!</definedName>
    <definedName name="THGO1pnc" localSheetId="12">#REF!</definedName>
    <definedName name="THGO1pnc">#REF!</definedName>
    <definedName name="thht" localSheetId="12">#REF!</definedName>
    <definedName name="thht">#REF!</definedName>
    <definedName name="THI" localSheetId="12">#REF!</definedName>
    <definedName name="THI">#REF!</definedName>
    <definedName name="thinh" localSheetId="12">#REF!</definedName>
    <definedName name="thinh">#REF!</definedName>
    <definedName name="thkp3" localSheetId="12">#REF!</definedName>
    <definedName name="thkp3">#REF!</definedName>
    <definedName name="thtt" localSheetId="12">#REF!</definedName>
    <definedName name="thtt">#REF!</definedName>
    <definedName name="Tien" localSheetId="12">#REF!</definedName>
    <definedName name="Tien">#REF!</definedName>
    <definedName name="TienThanhToan" localSheetId="12">#REF!</definedName>
    <definedName name="TienThanhToan">#REF!</definedName>
    <definedName name="TienThanhToanNB" localSheetId="12">#REF!</definedName>
    <definedName name="TienThanhToanNB">#REF!</definedName>
    <definedName name="Tim_cong" localSheetId="12">#REF!</definedName>
    <definedName name="Tim_cong">#REF!</definedName>
    <definedName name="tim_xuat_hien" localSheetId="12">#REF!</definedName>
    <definedName name="tim_xuat_hien">#REF!</definedName>
    <definedName name="TITAN" localSheetId="12">#REF!</definedName>
    <definedName name="TITAN">#REF!</definedName>
    <definedName name="TLAC120" localSheetId="12">#REF!</definedName>
    <definedName name="TLAC120">#REF!</definedName>
    <definedName name="TLAC35" localSheetId="12">#REF!</definedName>
    <definedName name="TLAC35">#REF!</definedName>
    <definedName name="TLAC50" localSheetId="12">#REF!</definedName>
    <definedName name="TLAC50">#REF!</definedName>
    <definedName name="TLAC70" localSheetId="12">#REF!</definedName>
    <definedName name="TLAC70">#REF!</definedName>
    <definedName name="TLAC95" localSheetId="12">#REF!</definedName>
    <definedName name="TLAC95">#REF!</definedName>
    <definedName name="Tle" localSheetId="12">#REF!</definedName>
    <definedName name="Tle">#REF!</definedName>
    <definedName name="ton" localSheetId="12">#REF!</definedName>
    <definedName name="ton">#REF!</definedName>
    <definedName name="Tong_co" localSheetId="12">#REF!</definedName>
    <definedName name="Tong_co">#REF!</definedName>
    <definedName name="Tong_no" localSheetId="12">#REF!</definedName>
    <definedName name="Tong_no">#REF!</definedName>
    <definedName name="TOTAL" localSheetId="12">#REF!</definedName>
    <definedName name="TOTAL">#REF!</definedName>
    <definedName name="TPLRP" localSheetId="12">#REF!</definedName>
    <definedName name="TPLRP">#REF!</definedName>
    <definedName name="Tra_DM_su_dung" localSheetId="12">#REF!</definedName>
    <definedName name="Tra_DM_su_dung">#REF!</definedName>
    <definedName name="Tra_don_gia_KS" localSheetId="12">#REF!</definedName>
    <definedName name="Tra_don_gia_KS">#REF!</definedName>
    <definedName name="Tra_DTCT" localSheetId="12">#REF!</definedName>
    <definedName name="Tra_DTCT">#REF!</definedName>
    <definedName name="Tra_gtxl_cong" localSheetId="12">#REF!</definedName>
    <definedName name="Tra_gtxl_cong">#REF!</definedName>
    <definedName name="Tra_tim_hang_mucPT_trung" localSheetId="12">#REF!</definedName>
    <definedName name="Tra_tim_hang_mucPT_trung">#REF!</definedName>
    <definedName name="Tra_TL" localSheetId="12">#REF!</definedName>
    <definedName name="Tra_TL">#REF!</definedName>
    <definedName name="Tra_ty_le2" localSheetId="12">#REF!</definedName>
    <definedName name="Tra_ty_le2">#REF!</definedName>
    <definedName name="Tra_ty_le3" localSheetId="12">#REF!</definedName>
    <definedName name="Tra_ty_le3">#REF!</definedName>
    <definedName name="Tra_ty_le4" localSheetId="12">#REF!</definedName>
    <definedName name="Tra_ty_le4">#REF!</definedName>
    <definedName name="Tra_ty_le5" localSheetId="12">#REF!</definedName>
    <definedName name="Tra_ty_le5">#REF!</definedName>
    <definedName name="TRA_VAT_LIEU" localSheetId="12">#REF!</definedName>
    <definedName name="TRA_VAT_LIEU">#REF!</definedName>
    <definedName name="TRA_VL" localSheetId="12">#REF!</definedName>
    <definedName name="TRA_VL">#REF!</definedName>
    <definedName name="TRADE2" localSheetId="12">#REF!</definedName>
    <definedName name="TRADE2">#REF!</definedName>
    <definedName name="TRAvH" localSheetId="12">#REF!</definedName>
    <definedName name="TRAvH">#REF!</definedName>
    <definedName name="TRAVL" localSheetId="12">#REF!</definedName>
    <definedName name="TRAVL">#REF!</definedName>
    <definedName name="trigianhapthan" localSheetId="12">#REF!</definedName>
    <definedName name="trigianhapthan">#REF!</definedName>
    <definedName name="trigiaxuatthan" localSheetId="12">#REF!</definedName>
    <definedName name="trigiaxuatthan">#REF!</definedName>
    <definedName name="TT_1P" localSheetId="12">#REF!</definedName>
    <definedName name="TT_1P">#REF!</definedName>
    <definedName name="TT_3p" localSheetId="12">#REF!</definedName>
    <definedName name="TT_3p">#REF!</definedName>
    <definedName name="ttao" localSheetId="12">#REF!</definedName>
    <definedName name="ttao">#REF!</definedName>
    <definedName name="ttbt" localSheetId="3">#REF!</definedName>
    <definedName name="tthi" localSheetId="12">#REF!</definedName>
    <definedName name="tthi">#REF!</definedName>
    <definedName name="ttinh" localSheetId="12">#REF!</definedName>
    <definedName name="ttinh">#REF!</definedName>
    <definedName name="ttronmk" localSheetId="12">#REF!</definedName>
    <definedName name="ttronmk">#REF!</definedName>
    <definedName name="ttttttttttttttttt" localSheetId="12">#REF!</definedName>
    <definedName name="ttttttttttttttttt">#REF!</definedName>
    <definedName name="tv75nc" localSheetId="12">#REF!</definedName>
    <definedName name="tv75nc">#REF!</definedName>
    <definedName name="tv75vl" localSheetId="12">#REF!</definedName>
    <definedName name="tv75vl">#REF!</definedName>
    <definedName name="TW" localSheetId="3">#REF!</definedName>
    <definedName name="ty_le" localSheetId="12">#REF!</definedName>
    <definedName name="ty_le">#REF!</definedName>
    <definedName name="Ty_Le_1" localSheetId="12">#REF!</definedName>
    <definedName name="Ty_Le_1">#REF!</definedName>
    <definedName name="ty_le_BTN" localSheetId="12">#REF!</definedName>
    <definedName name="ty_le_BTN">#REF!</definedName>
    <definedName name="Ty_le1" localSheetId="12">#REF!</definedName>
    <definedName name="Ty_le1">#REF!</definedName>
    <definedName name="UP" localSheetId="12">#REF!,#REF!,#REF!,#REF!,#REF!,#REF!,#REF!,#REF!,#REF!,#REF!,#REF!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 localSheetId="12">#REF!</definedName>
    <definedName name="VC">#REF!</definedName>
    <definedName name="vccot" localSheetId="3">#REF!</definedName>
    <definedName name="VCHT" localSheetId="12">#REF!</definedName>
    <definedName name="VCHT">#REF!</definedName>
    <definedName name="vctb" localSheetId="3">#REF!</definedName>
    <definedName name="vd3p" localSheetId="12">#REF!</definedName>
    <definedName name="vd3p">#REF!</definedName>
    <definedName name="vl1p" localSheetId="12">#REF!</definedName>
    <definedName name="vl1p">#REF!</definedName>
    <definedName name="vl3p" localSheetId="12">#REF!</definedName>
    <definedName name="vl3p">#REF!</definedName>
    <definedName name="VLBS">#N/A</definedName>
    <definedName name="Vlcap0.7" localSheetId="3">#REF!</definedName>
    <definedName name="VLcap1" localSheetId="3">#REF!</definedName>
    <definedName name="vldn400" localSheetId="12">#REF!</definedName>
    <definedName name="vldn400">#REF!</definedName>
    <definedName name="vldn600" localSheetId="12">#REF!</definedName>
    <definedName name="vldn600">#REF!</definedName>
    <definedName name="VLM" localSheetId="12">#REF!</definedName>
    <definedName name="VLM">#REF!</definedName>
    <definedName name="vltram" localSheetId="12">#REF!</definedName>
    <definedName name="vltram">#REF!</definedName>
    <definedName name="vr3p" localSheetId="12">#REF!</definedName>
    <definedName name="vr3p">#REF!</definedName>
    <definedName name="Vu" localSheetId="12">#REF!</definedName>
    <definedName name="Vu">#REF!</definedName>
    <definedName name="Vu_" localSheetId="12">#REF!</definedName>
    <definedName name="Vu_">#REF!</definedName>
    <definedName name="Vua" localSheetId="3">#REF!</definedName>
    <definedName name="W" localSheetId="3">#REF!</definedName>
    <definedName name="Wdaymong" localSheetId="12">#REF!</definedName>
    <definedName name="Wdaymong">#REF!</definedName>
    <definedName name="wl" localSheetId="12">#REF!</definedName>
    <definedName name="wl">#REF!</definedName>
    <definedName name="wrn.chi._.tiÆt." localSheetId="3" hidden="1">{#N/A,#N/A,FALSE,"Chi tiÆt"}</definedName>
    <definedName name="wrn.chi._.tiÆt." localSheetId="0" hidden="1">{#N/A,#N/A,FALSE,"Chi tiÆt"}</definedName>
    <definedName name="Ws" localSheetId="12">#REF!</definedName>
    <definedName name="Ws">#REF!</definedName>
    <definedName name="Wss" localSheetId="12">#REF!</definedName>
    <definedName name="Wss">#REF!</definedName>
    <definedName name="Wst" localSheetId="12">#REF!</definedName>
    <definedName name="Wst">#REF!</definedName>
    <definedName name="wt" localSheetId="12">#REF!</definedName>
    <definedName name="wt">#REF!</definedName>
    <definedName name="wwwwwwwwwwwwwwwwwwwwư" localSheetId="12">#REF!</definedName>
    <definedName name="wwwwwwwwwwwwwwwwwwwwư">#REF!</definedName>
    <definedName name="X" localSheetId="3">#REF!</definedName>
    <definedName name="x1pind" localSheetId="12">#REF!</definedName>
    <definedName name="x1pind">#REF!</definedName>
    <definedName name="x1ping" localSheetId="12">#REF!</definedName>
    <definedName name="x1ping">#REF!</definedName>
    <definedName name="x1pint" localSheetId="12">#REF!</definedName>
    <definedName name="x1pint">#REF!</definedName>
    <definedName name="XCCT">0.5</definedName>
    <definedName name="xfco" localSheetId="12">#REF!</definedName>
    <definedName name="xfco">#REF!</definedName>
    <definedName name="xfco3p" localSheetId="12">#REF!</definedName>
    <definedName name="xfco3p">#REF!</definedName>
    <definedName name="xfcotnc" localSheetId="12">#REF!</definedName>
    <definedName name="xfcotnc">#REF!</definedName>
    <definedName name="xfcotvl" localSheetId="12">#REF!</definedName>
    <definedName name="xfcotvl">#REF!</definedName>
    <definedName name="xh" localSheetId="12">#REF!</definedName>
    <definedName name="xh">#REF!</definedName>
    <definedName name="xhn" localSheetId="12">#REF!</definedName>
    <definedName name="xhn">#REF!</definedName>
    <definedName name="xig" localSheetId="12">#REF!</definedName>
    <definedName name="xig">#REF!</definedName>
    <definedName name="xig1" localSheetId="12">#REF!</definedName>
    <definedName name="xig1">#REF!</definedName>
    <definedName name="xig1p" localSheetId="12">#REF!</definedName>
    <definedName name="xig1p">#REF!</definedName>
    <definedName name="xig3p" localSheetId="12">#REF!</definedName>
    <definedName name="xig3p">#REF!</definedName>
    <definedName name="xignc3p" localSheetId="12">#REF!</definedName>
    <definedName name="xignc3p">#REF!</definedName>
    <definedName name="xigvl3p" localSheetId="12">#REF!</definedName>
    <definedName name="xigvl3p">#REF!</definedName>
    <definedName name="xin" localSheetId="12">#REF!</definedName>
    <definedName name="xin">#REF!</definedName>
    <definedName name="xin190" localSheetId="12">#REF!</definedName>
    <definedName name="xin190">#REF!</definedName>
    <definedName name="xin1903p" localSheetId="12">#REF!</definedName>
    <definedName name="xin1903p">#REF!</definedName>
    <definedName name="xin2903p" localSheetId="12">#REF!</definedName>
    <definedName name="xin2903p">#REF!</definedName>
    <definedName name="xin290nc3p" localSheetId="12">#REF!</definedName>
    <definedName name="xin290nc3p">#REF!</definedName>
    <definedName name="xin290vl3p" localSheetId="12">#REF!</definedName>
    <definedName name="xin290vl3p">#REF!</definedName>
    <definedName name="xin3p" localSheetId="12">#REF!</definedName>
    <definedName name="xin3p">#REF!</definedName>
    <definedName name="xind" localSheetId="12">#REF!</definedName>
    <definedName name="xind">#REF!</definedName>
    <definedName name="xind1p" localSheetId="12">#REF!</definedName>
    <definedName name="xind1p">#REF!</definedName>
    <definedName name="xind3p" localSheetId="12">#REF!</definedName>
    <definedName name="xind3p">#REF!</definedName>
    <definedName name="xindnc1p" localSheetId="12">#REF!</definedName>
    <definedName name="xindnc1p">#REF!</definedName>
    <definedName name="xindvl1p" localSheetId="12">#REF!</definedName>
    <definedName name="xindvl1p">#REF!</definedName>
    <definedName name="xing1p" localSheetId="12">#REF!</definedName>
    <definedName name="xing1p">#REF!</definedName>
    <definedName name="xingnc1p" localSheetId="12">#REF!</definedName>
    <definedName name="xingnc1p">#REF!</definedName>
    <definedName name="xingvl1p" localSheetId="12">#REF!</definedName>
    <definedName name="xingvl1p">#REF!</definedName>
    <definedName name="xinnc3p" localSheetId="12">#REF!</definedName>
    <definedName name="xinnc3p">#REF!</definedName>
    <definedName name="xint1p" localSheetId="12">#REF!</definedName>
    <definedName name="xint1p">#REF!</definedName>
    <definedName name="xinvl3p" localSheetId="12">#REF!</definedName>
    <definedName name="xinvl3p">#REF!</definedName>
    <definedName name="xit" localSheetId="12">#REF!</definedName>
    <definedName name="xit">#REF!</definedName>
    <definedName name="xit1" localSheetId="12">#REF!</definedName>
    <definedName name="xit1">#REF!</definedName>
    <definedName name="xit1p" localSheetId="12">#REF!</definedName>
    <definedName name="xit1p">#REF!</definedName>
    <definedName name="xit2nc3p" localSheetId="12">#REF!</definedName>
    <definedName name="xit2nc3p">#REF!</definedName>
    <definedName name="xit2vl3p" localSheetId="12">#REF!</definedName>
    <definedName name="xit2vl3p">#REF!</definedName>
    <definedName name="xit3p" localSheetId="12">#REF!</definedName>
    <definedName name="xit3p">#REF!</definedName>
    <definedName name="xitnc3p" localSheetId="12">#REF!</definedName>
    <definedName name="xitnc3p">#REF!</definedName>
    <definedName name="xitvl3p" localSheetId="12">#REF!</definedName>
    <definedName name="xitvl3p">#REF!</definedName>
    <definedName name="xl" localSheetId="12">#REF!</definedName>
    <definedName name="xl">#REF!</definedName>
    <definedName name="xlc" localSheetId="12">#REF!</definedName>
    <definedName name="xlc">#REF!</definedName>
    <definedName name="xlk" localSheetId="12">#REF!</definedName>
    <definedName name="xlk">#REF!</definedName>
    <definedName name="xn" localSheetId="12">#REF!</definedName>
    <definedName name="xn">#REF!</definedName>
    <definedName name="xuatthan" localSheetId="12">#REF!</definedName>
    <definedName name="xuatthan">#REF!</definedName>
    <definedName name="y" localSheetId="12">#REF!</definedName>
    <definedName name="y">#REF!</definedName>
    <definedName name="yyyyyyyyyyyyyyyy" localSheetId="12">#REF!</definedName>
    <definedName name="yyyyyyyyyyyyyyyy">#REF!</definedName>
    <definedName name="z" localSheetId="12">#REF!</definedName>
    <definedName name="z">#REF!</definedName>
    <definedName name="zl" localSheetId="12">#REF!</definedName>
    <definedName name="zl">#REF!</definedName>
    <definedName name="Zw" localSheetId="12">#REF!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37" i="42" l="1"/>
  <c r="C31" i="42"/>
  <c r="K28" i="42"/>
  <c r="J28" i="42"/>
  <c r="C28" i="42"/>
  <c r="K27" i="42"/>
  <c r="K8" i="42" s="1"/>
  <c r="J27" i="42"/>
  <c r="C27" i="42"/>
  <c r="C26" i="42"/>
  <c r="J25" i="42"/>
  <c r="C25" i="42"/>
  <c r="C24" i="42"/>
  <c r="L23" i="42"/>
  <c r="L8" i="42" s="1"/>
  <c r="J23" i="42"/>
  <c r="C23" i="42"/>
  <c r="M22" i="42"/>
  <c r="M8" i="42" s="1"/>
  <c r="C22" i="42"/>
  <c r="G18" i="42"/>
  <c r="G8" i="42" s="1"/>
  <c r="C18" i="42"/>
  <c r="F16" i="42"/>
  <c r="C14" i="42"/>
  <c r="K13" i="42"/>
  <c r="J13" i="42"/>
  <c r="D13" i="42"/>
  <c r="D8" i="42" s="1"/>
  <c r="C13" i="42"/>
  <c r="C12" i="42"/>
  <c r="C10" i="42"/>
  <c r="C8" i="42" s="1"/>
  <c r="N8" i="42"/>
  <c r="I8" i="42"/>
  <c r="H8" i="42"/>
  <c r="F8" i="42"/>
  <c r="E8" i="42"/>
  <c r="S95" i="41"/>
  <c r="S83" i="41" s="1"/>
  <c r="R95" i="41"/>
  <c r="R83" i="41" s="1"/>
  <c r="M95" i="41"/>
  <c r="M83" i="41" s="1"/>
  <c r="G95" i="41"/>
  <c r="H95" i="41" s="1"/>
  <c r="D94" i="41"/>
  <c r="D93" i="41"/>
  <c r="D92" i="41"/>
  <c r="D91" i="41"/>
  <c r="D90" i="41"/>
  <c r="D89" i="41"/>
  <c r="D88" i="41"/>
  <c r="D87" i="41"/>
  <c r="D86" i="41"/>
  <c r="K85" i="41"/>
  <c r="K83" i="41" s="1"/>
  <c r="H85" i="41"/>
  <c r="D84" i="41"/>
  <c r="T83" i="41"/>
  <c r="Q83" i="41"/>
  <c r="P83" i="41"/>
  <c r="O83" i="41"/>
  <c r="N83" i="41"/>
  <c r="L83" i="41"/>
  <c r="J83" i="41"/>
  <c r="I83" i="41"/>
  <c r="F83" i="41"/>
  <c r="E83" i="41"/>
  <c r="C83" i="41"/>
  <c r="H82" i="41"/>
  <c r="D82" i="41"/>
  <c r="H81" i="41"/>
  <c r="D81" i="41" s="1"/>
  <c r="H80" i="41"/>
  <c r="D80" i="41" s="1"/>
  <c r="H79" i="41"/>
  <c r="D79" i="41"/>
  <c r="H78" i="41"/>
  <c r="E78" i="41"/>
  <c r="E74" i="41" s="1"/>
  <c r="H77" i="41"/>
  <c r="H76" i="41"/>
  <c r="H75" i="41"/>
  <c r="T74" i="41"/>
  <c r="S74" i="41"/>
  <c r="R74" i="41"/>
  <c r="Q74" i="41"/>
  <c r="P74" i="41"/>
  <c r="O74" i="41"/>
  <c r="N74" i="41"/>
  <c r="M74" i="41"/>
  <c r="L74" i="41"/>
  <c r="K74" i="41"/>
  <c r="J74" i="41"/>
  <c r="I74" i="41"/>
  <c r="G74" i="41"/>
  <c r="F74" i="41"/>
  <c r="H73" i="41"/>
  <c r="H72" i="41"/>
  <c r="H71" i="41"/>
  <c r="H70" i="41"/>
  <c r="H69" i="41"/>
  <c r="D69" i="41" s="1"/>
  <c r="H68" i="41"/>
  <c r="H67" i="41"/>
  <c r="T66" i="41"/>
  <c r="S66" i="41"/>
  <c r="R66" i="41"/>
  <c r="Q66" i="41"/>
  <c r="P66" i="41"/>
  <c r="O66" i="41"/>
  <c r="N66" i="41"/>
  <c r="M66" i="41"/>
  <c r="L66" i="41"/>
  <c r="K66" i="41"/>
  <c r="J66" i="41"/>
  <c r="I66" i="41"/>
  <c r="G66" i="41"/>
  <c r="F66" i="41"/>
  <c r="E66" i="41"/>
  <c r="H65" i="41"/>
  <c r="L64" i="41"/>
  <c r="L60" i="41" s="1"/>
  <c r="H64" i="41"/>
  <c r="H63" i="41"/>
  <c r="H62" i="41"/>
  <c r="H61" i="41"/>
  <c r="T60" i="41"/>
  <c r="S60" i="41"/>
  <c r="R60" i="41"/>
  <c r="Q60" i="41"/>
  <c r="P60" i="41"/>
  <c r="O60" i="41"/>
  <c r="N60" i="41"/>
  <c r="M60" i="41"/>
  <c r="K60" i="41"/>
  <c r="J60" i="41"/>
  <c r="I60" i="41"/>
  <c r="G60" i="41"/>
  <c r="F60" i="41"/>
  <c r="E60" i="41"/>
  <c r="H59" i="41"/>
  <c r="D59" i="41" s="1"/>
  <c r="K58" i="41"/>
  <c r="K56" i="41" s="1"/>
  <c r="H58" i="41"/>
  <c r="H57" i="41"/>
  <c r="D57" i="41" s="1"/>
  <c r="H56" i="41"/>
  <c r="H55" i="41"/>
  <c r="D55" i="41" s="1"/>
  <c r="O54" i="41"/>
  <c r="O53" i="41" s="1"/>
  <c r="O45" i="41" s="1"/>
  <c r="O9" i="41" s="1"/>
  <c r="H54" i="41"/>
  <c r="T53" i="41"/>
  <c r="S53" i="41"/>
  <c r="S45" i="41" s="1"/>
  <c r="S9" i="41" s="1"/>
  <c r="R53" i="41"/>
  <c r="Q53" i="41"/>
  <c r="P53" i="41"/>
  <c r="N53" i="41"/>
  <c r="M53" i="41"/>
  <c r="M45" i="41" s="1"/>
  <c r="M9" i="41" s="1"/>
  <c r="L53" i="41"/>
  <c r="K53" i="41"/>
  <c r="J53" i="41"/>
  <c r="I53" i="41"/>
  <c r="G53" i="41"/>
  <c r="F53" i="41"/>
  <c r="H53" i="41" s="1"/>
  <c r="E53" i="41"/>
  <c r="H52" i="41"/>
  <c r="D52" i="41" s="1"/>
  <c r="H51" i="41"/>
  <c r="D51" i="41" s="1"/>
  <c r="H50" i="41"/>
  <c r="D50" i="41" s="1"/>
  <c r="H49" i="41"/>
  <c r="D49" i="41" s="1"/>
  <c r="H48" i="41"/>
  <c r="D48" i="41" s="1"/>
  <c r="H47" i="41"/>
  <c r="D47" i="41" s="1"/>
  <c r="G46" i="41"/>
  <c r="F46" i="41"/>
  <c r="H44" i="41"/>
  <c r="D44" i="41" s="1"/>
  <c r="H43" i="41"/>
  <c r="D43" i="41" s="1"/>
  <c r="H42" i="41"/>
  <c r="D42" i="41" s="1"/>
  <c r="H41" i="41"/>
  <c r="D41" i="41" s="1"/>
  <c r="H40" i="41"/>
  <c r="D40" i="41" s="1"/>
  <c r="H39" i="41"/>
  <c r="D39" i="41" s="1"/>
  <c r="H38" i="41"/>
  <c r="D38" i="41" s="1"/>
  <c r="H37" i="41"/>
  <c r="D37" i="41" s="1"/>
  <c r="H36" i="41"/>
  <c r="D36" i="41" s="1"/>
  <c r="H35" i="41"/>
  <c r="D35" i="41" s="1"/>
  <c r="H34" i="41"/>
  <c r="D34" i="41" s="1"/>
  <c r="C34" i="41"/>
  <c r="H33" i="41"/>
  <c r="D33" i="41" s="1"/>
  <c r="H32" i="41"/>
  <c r="D32" i="41" s="1"/>
  <c r="H31" i="41"/>
  <c r="D31" i="41" s="1"/>
  <c r="C31" i="41"/>
  <c r="H30" i="41"/>
  <c r="D30" i="41" s="1"/>
  <c r="C30" i="41"/>
  <c r="H29" i="41"/>
  <c r="D29" i="41"/>
  <c r="C29" i="41"/>
  <c r="H28" i="41"/>
  <c r="D28" i="41" s="1"/>
  <c r="C28" i="41"/>
  <c r="H27" i="41"/>
  <c r="D27" i="41" s="1"/>
  <c r="C27" i="41"/>
  <c r="H26" i="41"/>
  <c r="D26" i="41" s="1"/>
  <c r="H25" i="41"/>
  <c r="D25" i="41" s="1"/>
  <c r="C25" i="41"/>
  <c r="H24" i="41"/>
  <c r="D24" i="41" s="1"/>
  <c r="C24" i="41"/>
  <c r="H23" i="41"/>
  <c r="D23" i="41" s="1"/>
  <c r="H22" i="41"/>
  <c r="D22" i="41" s="1"/>
  <c r="H21" i="41"/>
  <c r="D21" i="41" s="1"/>
  <c r="C21" i="41"/>
  <c r="H20" i="41"/>
  <c r="D20" i="41" s="1"/>
  <c r="I19" i="41"/>
  <c r="H19" i="41"/>
  <c r="D19" i="41" s="1"/>
  <c r="C19" i="41"/>
  <c r="H18" i="41"/>
  <c r="D18" i="41" s="1"/>
  <c r="C18" i="41"/>
  <c r="H17" i="41"/>
  <c r="D17" i="41" s="1"/>
  <c r="C17" i="41"/>
  <c r="H16" i="41"/>
  <c r="D16" i="41" s="1"/>
  <c r="C16" i="41"/>
  <c r="L15" i="41"/>
  <c r="D15" i="41" s="1"/>
  <c r="H15" i="41"/>
  <c r="C15" i="41"/>
  <c r="H14" i="41"/>
  <c r="D14" i="41" s="1"/>
  <c r="C14" i="41"/>
  <c r="H13" i="41"/>
  <c r="D13" i="41"/>
  <c r="H12" i="41"/>
  <c r="D12" i="41" s="1"/>
  <c r="H11" i="41"/>
  <c r="D11" i="41" s="1"/>
  <c r="D53" i="41" l="1"/>
  <c r="J8" i="42"/>
  <c r="D54" i="41"/>
  <c r="H46" i="41"/>
  <c r="D46" i="41" s="1"/>
  <c r="K45" i="41"/>
  <c r="K9" i="41" s="1"/>
  <c r="K8" i="41" s="1"/>
  <c r="G83" i="41"/>
  <c r="D56" i="41"/>
  <c r="J45" i="41"/>
  <c r="J9" i="41" s="1"/>
  <c r="N45" i="41"/>
  <c r="N9" i="41" s="1"/>
  <c r="R45" i="41"/>
  <c r="R9" i="41" s="1"/>
  <c r="R8" i="41" s="1"/>
  <c r="D58" i="41"/>
  <c r="G45" i="41"/>
  <c r="G9" i="41" s="1"/>
  <c r="G8" i="41" s="1"/>
  <c r="I45" i="41"/>
  <c r="I9" i="41" s="1"/>
  <c r="Q45" i="41"/>
  <c r="Q9" i="41" s="1"/>
  <c r="Q8" i="41" s="1"/>
  <c r="O8" i="41"/>
  <c r="J8" i="41"/>
  <c r="N8" i="41"/>
  <c r="I8" i="41"/>
  <c r="M8" i="41"/>
  <c r="H60" i="41"/>
  <c r="D60" i="41" s="1"/>
  <c r="H74" i="41"/>
  <c r="D74" i="41" s="1"/>
  <c r="L45" i="41"/>
  <c r="L9" i="41" s="1"/>
  <c r="L8" i="41" s="1"/>
  <c r="P45" i="41"/>
  <c r="P9" i="41" s="1"/>
  <c r="P8" i="41" s="1"/>
  <c r="T45" i="41"/>
  <c r="T9" i="41" s="1"/>
  <c r="T8" i="41" s="1"/>
  <c r="H66" i="41"/>
  <c r="S8" i="41"/>
  <c r="C9" i="41"/>
  <c r="C8" i="41" s="1"/>
  <c r="D95" i="41"/>
  <c r="E45" i="41"/>
  <c r="E9" i="41" s="1"/>
  <c r="E8" i="41" s="1"/>
  <c r="D66" i="41"/>
  <c r="H83" i="41"/>
  <c r="F45" i="41"/>
  <c r="D85" i="41"/>
  <c r="D83" i="41" l="1"/>
  <c r="H45" i="41"/>
  <c r="F9" i="41"/>
  <c r="F8" i="41" s="1"/>
  <c r="D45" i="41" l="1"/>
  <c r="D9" i="41" s="1"/>
  <c r="D8" i="41" s="1"/>
  <c r="H9" i="41"/>
  <c r="H8" i="41" s="1"/>
  <c r="K8" i="39" l="1"/>
  <c r="J8" i="39"/>
  <c r="I8" i="39"/>
  <c r="H8" i="39"/>
  <c r="G8" i="39"/>
  <c r="F8" i="39"/>
  <c r="E8" i="39"/>
  <c r="D8" i="39"/>
  <c r="C8" i="39"/>
  <c r="B81" i="38"/>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75" i="25"/>
  <c r="C74" i="25"/>
  <c r="C73" i="25"/>
  <c r="C72" i="25"/>
  <c r="C71" i="25"/>
  <c r="C70" i="25"/>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C11" i="31"/>
  <c r="C28" i="31"/>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F8" i="29"/>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C31" i="31"/>
  <c r="D24" i="25"/>
  <c r="C24" i="25" s="1"/>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C43" i="26"/>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15" i="24"/>
  <c r="C9" i="24" s="1"/>
  <c r="C25" i="23" l="1"/>
  <c r="C22" i="33"/>
  <c r="C22" i="32"/>
  <c r="C19" i="32" s="1"/>
  <c r="C11" i="32" s="1"/>
  <c r="C10" i="3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4" i="2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C47" i="26"/>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C31" i="26" s="1"/>
  <c r="E103" i="36"/>
  <c r="D39" i="25"/>
  <c r="C40" i="26" s="1"/>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30" i="26"/>
  <c r="C29" i="25"/>
  <c r="D24" i="33"/>
  <c r="C45" i="26"/>
  <c r="C44" i="25"/>
  <c r="G9" i="36"/>
  <c r="F10" i="36"/>
  <c r="E37" i="25"/>
  <c r="M10" i="36"/>
  <c r="D24" i="23"/>
  <c r="D46" i="23"/>
  <c r="C69" i="25"/>
  <c r="C27" i="26"/>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2" i="26"/>
  <c r="C41" i="25"/>
  <c r="C38" i="26"/>
  <c r="D36" i="25"/>
  <c r="C37" i="26" s="1"/>
  <c r="D31" i="23"/>
  <c r="E31" i="23" s="1"/>
  <c r="D33" i="25"/>
  <c r="D23" i="25"/>
  <c r="C23" i="25" s="1"/>
  <c r="C38" i="25"/>
  <c r="C39" i="26"/>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C12" i="26"/>
  <c r="C11" i="26" s="1"/>
  <c r="D35" i="23"/>
  <c r="D36" i="23" s="1"/>
  <c r="E36" i="23" s="1"/>
  <c r="M9" i="36"/>
  <c r="E51" i="36"/>
  <c r="E50" i="36" s="1"/>
  <c r="F46" i="23"/>
  <c r="C27" i="24"/>
  <c r="E46" i="23"/>
  <c r="E10" i="36"/>
  <c r="F9" i="36"/>
  <c r="C37" i="25"/>
  <c r="F22" i="23"/>
  <c r="E22" i="23"/>
  <c r="M50" i="36"/>
  <c r="N32" i="36"/>
  <c r="R8" i="36"/>
  <c r="D18" i="32"/>
  <c r="D156" i="36"/>
  <c r="D11" i="23"/>
  <c r="D10" i="23" s="1"/>
  <c r="C23" i="24" s="1"/>
  <c r="E33" i="23"/>
  <c r="F39" i="23"/>
  <c r="D109" i="36"/>
  <c r="D34" i="23"/>
  <c r="F34" i="23" s="1"/>
  <c r="C35" i="25"/>
  <c r="C36" i="26"/>
  <c r="F42" i="23"/>
  <c r="D31" i="25"/>
  <c r="C32" i="26" s="1"/>
  <c r="F38" i="23"/>
  <c r="E47" i="25"/>
  <c r="C55" i="25"/>
  <c r="C47" i="25" s="1"/>
  <c r="F16" i="23"/>
  <c r="E16" i="23"/>
  <c r="C36" i="25"/>
  <c r="C34" i="26"/>
  <c r="C33" i="25"/>
  <c r="F31" i="23"/>
  <c r="C12" i="25"/>
  <c r="C40" i="25"/>
  <c r="C41" i="26"/>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C33" i="26" s="1"/>
  <c r="D30" i="23" l="1"/>
  <c r="D72" i="36"/>
  <c r="C32" i="25"/>
  <c r="E100" i="36"/>
  <c r="L93" i="36"/>
  <c r="F30" i="23" l="1"/>
  <c r="E30" i="23"/>
  <c r="F93" i="36"/>
  <c r="E93" i="36" s="1"/>
  <c r="L32" i="36"/>
  <c r="D34" i="25" l="1"/>
  <c r="C35" i="26" s="1"/>
  <c r="C28" i="26" s="1"/>
  <c r="F32" i="36"/>
  <c r="D93" i="36"/>
  <c r="D32" i="23"/>
  <c r="D25" i="23" s="1"/>
  <c r="D9" i="23" s="1"/>
  <c r="E32" i="36" l="1"/>
  <c r="E8" i="36" s="1"/>
  <c r="C34" i="25"/>
  <c r="D27" i="25"/>
  <c r="E25" i="23"/>
  <c r="E32" i="23"/>
  <c r="F32" i="23"/>
  <c r="F19" i="32" l="1"/>
  <c r="G19" i="32" s="1"/>
  <c r="G11" i="32" s="1"/>
  <c r="G30" i="32" s="1"/>
  <c r="C27" i="25"/>
  <c r="D19" i="32"/>
  <c r="F25" i="23"/>
  <c r="C24" i="24"/>
  <c r="G19" i="33" l="1"/>
  <c r="D11" i="32"/>
  <c r="F19" i="33"/>
  <c r="D19" i="33"/>
  <c r="D11" i="33" s="1"/>
  <c r="I20" i="32"/>
  <c r="E19" i="32"/>
  <c r="P8" i="36"/>
  <c r="N8" i="36"/>
  <c r="O8" i="36"/>
  <c r="E45" i="25"/>
  <c r="E10" i="25" s="1"/>
  <c r="E9" i="25" s="1"/>
  <c r="C36" i="31" s="1"/>
  <c r="Q8" i="36"/>
  <c r="T194" i="36"/>
  <c r="W194" i="36"/>
  <c r="G24" i="33" l="1"/>
  <c r="G11" i="33" s="1"/>
  <c r="J7" i="33" s="1"/>
  <c r="J7" i="32"/>
  <c r="L31" i="32"/>
  <c r="J30" i="32"/>
  <c r="E11" i="32"/>
  <c r="U194" i="36"/>
  <c r="X194" i="36"/>
  <c r="T8" i="36"/>
  <c r="W8" i="36"/>
  <c r="H19" i="33"/>
  <c r="M8" i="36"/>
  <c r="E47" i="23"/>
  <c r="C28" i="24"/>
  <c r="C22" i="24" s="1"/>
  <c r="L46" i="23"/>
  <c r="F47" i="23"/>
  <c r="G32" i="32" l="1"/>
  <c r="G11" i="25"/>
  <c r="X8" i="36"/>
  <c r="U8" i="36"/>
  <c r="C35" i="31"/>
  <c r="D8" i="23"/>
  <c r="F9" i="23"/>
  <c r="E9" i="23"/>
  <c r="L8" i="36"/>
  <c r="F8" i="36" s="1"/>
  <c r="C21" i="24"/>
  <c r="E8" i="23" l="1"/>
  <c r="F8" i="23"/>
  <c r="J7" i="23"/>
  <c r="J9" i="23" s="1"/>
  <c r="H8" i="23"/>
  <c r="H10" i="23" s="1"/>
  <c r="D45" i="25"/>
  <c r="D10" i="25" l="1"/>
  <c r="D9" i="25" s="1"/>
  <c r="F11" i="25" s="1"/>
  <c r="D8" i="36"/>
  <c r="D7" i="36"/>
  <c r="C46" i="26"/>
  <c r="C10" i="26" s="1"/>
  <c r="C45" i="25"/>
  <c r="D10" i="26" l="1"/>
  <c r="C8" i="26"/>
  <c r="C10" i="25"/>
  <c r="C9" i="25" s="1"/>
  <c r="C20" i="31" l="1"/>
  <c r="G9" i="25"/>
  <c r="E17" i="30" l="1"/>
  <c r="D27" i="32" s="1"/>
  <c r="D30" i="32" s="1"/>
  <c r="D32" i="32" s="1"/>
  <c r="F17" i="34" l="1"/>
  <c r="E17" i="34" s="1"/>
  <c r="Z10" i="29" l="1"/>
  <c r="Y10" i="29"/>
  <c r="X10" i="29"/>
  <c r="W10" i="29"/>
  <c r="V10" i="29"/>
  <c r="U10" i="29"/>
  <c r="T10" i="29"/>
  <c r="R10" i="29"/>
  <c r="Q10" i="29"/>
  <c r="P10" i="29"/>
  <c r="N10" i="29"/>
  <c r="M10" i="29"/>
  <c r="L10" i="29"/>
  <c r="AO18" i="28"/>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K10" i="29"/>
  <c r="O10" i="29"/>
  <c r="S10" i="29"/>
  <c r="AA10" i="29"/>
  <c r="X17" i="28"/>
  <c r="AB17" i="28"/>
  <c r="R15" i="28" s="1"/>
  <c r="AF17" i="28"/>
  <c r="R19" i="28" s="1"/>
  <c r="AJ17" i="28"/>
  <c r="R23" i="28" s="1"/>
  <c r="AN17" i="28"/>
  <c r="R27" i="28" s="1"/>
  <c r="Z18" i="28"/>
  <c r="M13" i="28" s="1"/>
  <c r="AI18" i="28"/>
  <c r="M22" i="28" s="1"/>
  <c r="AE18" i="28"/>
  <c r="M18" i="28" s="1"/>
  <c r="J10" i="29"/>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I10" i="29"/>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J11" i="29"/>
  <c r="J9" i="29" s="1"/>
  <c r="M11" i="29"/>
  <c r="M9" i="29" s="1"/>
  <c r="H15" i="28"/>
  <c r="H14" i="28"/>
  <c r="P11" i="29"/>
  <c r="P9" i="29" s="1"/>
  <c r="H13" i="28"/>
  <c r="R11" i="29"/>
  <c r="R9" i="29" s="1"/>
  <c r="R28" i="28"/>
  <c r="W17" i="28"/>
  <c r="AA11" i="29"/>
  <c r="AA9" i="29" s="1"/>
  <c r="Q11" i="29"/>
  <c r="Q9" i="29" s="1"/>
  <c r="N11" i="29"/>
  <c r="N9" i="29" s="1"/>
  <c r="W11" i="29"/>
  <c r="W9" i="29" s="1"/>
  <c r="S11" i="29"/>
  <c r="S9" i="29" s="1"/>
  <c r="Y11" i="29"/>
  <c r="Y9" i="29" s="1"/>
  <c r="O11" i="29"/>
  <c r="O9" i="29" s="1"/>
  <c r="H18" i="28"/>
  <c r="H27" i="28"/>
  <c r="H17" i="28"/>
  <c r="H21" i="28"/>
  <c r="H26" i="28"/>
  <c r="H12" i="28"/>
  <c r="H16" i="28"/>
  <c r="H20" i="28"/>
  <c r="H19" i="28"/>
  <c r="E15" i="28" l="1"/>
  <c r="E20" i="28"/>
  <c r="E12" i="28"/>
  <c r="E14" i="28"/>
  <c r="E18" i="28"/>
  <c r="E16" i="28"/>
  <c r="E26" i="28"/>
  <c r="E22" i="28"/>
  <c r="E19" i="28"/>
  <c r="E17" i="28"/>
  <c r="L11" i="29"/>
  <c r="L9" i="29" s="1"/>
  <c r="Z11" i="29"/>
  <c r="Z9" i="29" s="1"/>
  <c r="E27" i="28"/>
  <c r="E21" i="28"/>
  <c r="D9" i="29"/>
  <c r="U11" i="29"/>
  <c r="U9" i="29" s="1"/>
  <c r="D20" i="29" s="1"/>
  <c r="X11" i="29"/>
  <c r="X9" i="29" s="1"/>
  <c r="D23" i="29" s="1"/>
  <c r="T11" i="29"/>
  <c r="T9" i="29" s="1"/>
  <c r="E13" i="28"/>
  <c r="E25" i="28"/>
  <c r="Q28" i="28"/>
  <c r="R10" i="28"/>
  <c r="K11" i="29"/>
  <c r="K9" i="29" s="1"/>
  <c r="D10" i="29" s="1"/>
  <c r="D15" i="29"/>
  <c r="D26" i="29"/>
  <c r="D24" i="29"/>
  <c r="D18" i="29"/>
  <c r="D22" i="29"/>
  <c r="D12" i="29"/>
  <c r="D14" i="29"/>
  <c r="D16" i="29"/>
  <c r="D13" i="29"/>
  <c r="D17" i="29"/>
  <c r="Q10" i="28" l="1"/>
  <c r="D11" i="29"/>
  <c r="D25" i="29"/>
  <c r="D19" i="29"/>
  <c r="W11" i="28"/>
  <c r="I11" i="28"/>
  <c r="H24" i="28"/>
  <c r="H11" i="28"/>
  <c r="H28" i="28"/>
  <c r="H23" i="28"/>
  <c r="W10" i="28"/>
  <c r="I10" i="28" l="1"/>
  <c r="E28" i="28"/>
  <c r="E24" i="28"/>
  <c r="E11" i="28"/>
  <c r="H10" i="28"/>
  <c r="E23" i="28"/>
  <c r="V11" i="29"/>
  <c r="E10" i="28" l="1"/>
  <c r="V9" i="29"/>
  <c r="I11" i="29"/>
  <c r="D21" i="29" l="1"/>
  <c r="I9" i="29"/>
  <c r="D8" i="29" l="1"/>
  <c r="F11" i="32" l="1"/>
  <c r="I7" i="32" l="1"/>
  <c r="F30" i="32"/>
  <c r="K31" i="32" l="1"/>
  <c r="F32" i="32"/>
  <c r="H24" i="33" l="1"/>
  <c r="F11" i="33"/>
  <c r="H11" i="33" l="1"/>
  <c r="I7" i="33"/>
  <c r="V8" i="29" l="1"/>
  <c r="K8" i="29"/>
  <c r="O8" i="29" l="1"/>
  <c r="U8" i="29"/>
  <c r="S8" i="29"/>
  <c r="V7" i="29"/>
  <c r="E21" i="29"/>
  <c r="K7" i="29"/>
  <c r="E10" i="29"/>
  <c r="M8" i="29"/>
  <c r="R8" i="29" l="1"/>
  <c r="L8" i="29"/>
  <c r="S7" i="29"/>
  <c r="E18" i="29"/>
  <c r="C10" i="29"/>
  <c r="N8" i="29"/>
  <c r="E12" i="29"/>
  <c r="M7" i="29"/>
  <c r="Q8" i="29"/>
  <c r="C21" i="29"/>
  <c r="X8" i="29"/>
  <c r="Y8" i="29"/>
  <c r="P8" i="29"/>
  <c r="U7" i="29"/>
  <c r="E20" i="29"/>
  <c r="AI15" i="28"/>
  <c r="O22" i="28" s="1"/>
  <c r="E14" i="29"/>
  <c r="O7" i="29"/>
  <c r="Z8" i="29" l="1"/>
  <c r="R7" i="29"/>
  <c r="E17" i="29"/>
  <c r="T8" i="29"/>
  <c r="C14" i="29"/>
  <c r="P7" i="29"/>
  <c r="E15" i="29"/>
  <c r="AI14" i="28"/>
  <c r="L22" i="28" s="1"/>
  <c r="C18" i="29"/>
  <c r="AA8" i="29"/>
  <c r="X7" i="29"/>
  <c r="E23" i="29"/>
  <c r="C12" i="29"/>
  <c r="W8" i="29"/>
  <c r="N7" i="29"/>
  <c r="E13" i="29"/>
  <c r="AC14" i="28"/>
  <c r="L16" i="28" s="1"/>
  <c r="C20" i="29"/>
  <c r="Y7" i="29"/>
  <c r="E24" i="29"/>
  <c r="AE15" i="28"/>
  <c r="O18" i="28" s="1"/>
  <c r="E16" i="29"/>
  <c r="Q7" i="29"/>
  <c r="L7" i="29"/>
  <c r="E11" i="29"/>
  <c r="AF15" i="28"/>
  <c r="O19" i="28" s="1"/>
  <c r="T7" i="29" l="1"/>
  <c r="E19" i="29"/>
  <c r="Z7" i="29"/>
  <c r="E25" i="29"/>
  <c r="C17" i="29"/>
  <c r="C11" i="29"/>
  <c r="C16" i="29"/>
  <c r="AI13" i="28"/>
  <c r="AG15" i="28"/>
  <c r="O20" i="28" s="1"/>
  <c r="Z15" i="28"/>
  <c r="O13" i="28" s="1"/>
  <c r="C23" i="29"/>
  <c r="AA14" i="28"/>
  <c r="L14" i="28" s="1"/>
  <c r="AM15" i="28"/>
  <c r="O26" i="28" s="1"/>
  <c r="AC13" i="28"/>
  <c r="AG14" i="28"/>
  <c r="L20" i="28" s="1"/>
  <c r="C13" i="29"/>
  <c r="AJ14" i="28"/>
  <c r="L23" i="28" s="1"/>
  <c r="C24" i="29"/>
  <c r="J8" i="29"/>
  <c r="AH15" i="28"/>
  <c r="O21" i="28" s="1"/>
  <c r="AJ15" i="28"/>
  <c r="O23" i="28" s="1"/>
  <c r="AB15" i="28"/>
  <c r="O15" i="28" s="1"/>
  <c r="AI20" i="28"/>
  <c r="W7" i="29"/>
  <c r="E22" i="29"/>
  <c r="AA7" i="29"/>
  <c r="E26" i="29"/>
  <c r="AF14" i="28"/>
  <c r="L19" i="28" s="1"/>
  <c r="C15" i="29"/>
  <c r="C19" i="29" l="1"/>
  <c r="AD15" i="28"/>
  <c r="O17" i="28" s="1"/>
  <c r="C25" i="29"/>
  <c r="C26" i="29"/>
  <c r="AG13" i="28"/>
  <c r="AE14" i="28"/>
  <c r="L18" i="28" s="1"/>
  <c r="K16" i="28"/>
  <c r="AO15" i="28"/>
  <c r="O28" i="28" s="1"/>
  <c r="AJ13" i="28"/>
  <c r="AG20" i="28"/>
  <c r="AF13" i="28"/>
  <c r="AI19" i="28"/>
  <c r="AI21" i="28" s="1"/>
  <c r="K22" i="28"/>
  <c r="C22" i="29"/>
  <c r="AD14" i="28"/>
  <c r="L17" i="28" s="1"/>
  <c r="AB14" i="28"/>
  <c r="L15" i="28" s="1"/>
  <c r="I8" i="29"/>
  <c r="I7" i="29" s="1"/>
  <c r="J7" i="29"/>
  <c r="E9" i="29"/>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9" i="29"/>
  <c r="E8" i="29"/>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C8" i="29"/>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<sst xmlns="http://schemas.openxmlformats.org/spreadsheetml/2006/main" count="3813" uniqueCount="1050">
  <si>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</si>
  <si>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</si>
  <si>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</si>
  <si>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</si>
  <si>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</si>
  <si>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</si>
  <si>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</si>
  <si>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</si>
  <si>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</si>
  <si>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</si>
  <si>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</si>
  <si>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</si>
  <si>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</si>
  <si>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</si>
  <si>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</si>
  <si>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</si>
  <si>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</si>
  <si>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</si>
  <si>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</si>
  <si>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</si>
  <si>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</si>
  <si>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</si>
  <si>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</si>
  <si>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</si>
  <si>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</si>
  <si>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</si>
  <si>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</si>
  <si>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</si>
  <si>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</si>
  <si>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</si>
  <si>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</si>
  <si>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</si>
  <si>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</si>
  <si>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</si>
  <si>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</si>
  <si>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</si>
  <si>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</si>
  <si>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</si>
  <si>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</si>
  <si>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</si>
  <si>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</si>
  <si>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</si>
  <si>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</si>
  <si>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</si>
  <si>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</si>
  <si>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</si>
  <si>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</si>
  <si>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</si>
  <si>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</si>
  <si>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</si>
  <si>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</si>
  <si>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</si>
  <si>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</si>
  <si>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</si>
  <si>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</si>
  <si>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</si>
  <si>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</si>
  <si>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</si>
  <si>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</si>
  <si>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</si>
  <si>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</si>
  <si>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</si>
  <si>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</si>
  <si>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</si>
  <si>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</si>
  <si>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</si>
  <si>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</si>
  <si>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</si>
  <si>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</si>
  <si>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</si>
  <si>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</si>
  <si>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</si>
  <si>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</si>
  <si>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</si>
  <si>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</si>
  <si>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</si>
  <si>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</si>
  <si>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</si>
  <si>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</si>
  <si>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</si>
  <si>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</si>
  <si>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</si>
  <si>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</si>
  <si>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</si>
  <si>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</si>
  <si>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</si>
  <si>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</si>
  <si>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</si>
  <si>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</si>
  <si>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</si>
  <si>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</si>
  <si>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</si>
  <si>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</si>
  <si>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</si>
  <si>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</si>
  <si>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</si>
  <si>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</si>
  <si>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</si>
  <si>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</si>
  <si>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</si>
  <si>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</si>
  <si>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</si>
  <si>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</si>
  <si>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</si>
  <si>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</si>
  <si>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</si>
  <si>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</si>
  <si>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</si>
  <si>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</si>
  <si>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</si>
  <si>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</si>
  <si>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</si>
  <si>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</si>
  <si>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</si>
  <si>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</si>
  <si>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</si>
  <si>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</si>
  <si>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</si>
  <si>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</si>
  <si>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</si>
  <si>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</si>
  <si>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</si>
  <si>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</si>
  <si>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</si>
  <si>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</si>
  <si>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</si>
  <si>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</si>
  <si>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</si>
  <si>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</si>
  <si>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</si>
  <si>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</si>
  <si>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</si>
  <si>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</si>
  <si>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</si>
  <si>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</si>
  <si>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</si>
  <si>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</si>
  <si>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</si>
  <si>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</si>
  <si>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</si>
  <si>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</si>
  <si>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</si>
  <si>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</si>
  <si>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</si>
  <si>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</si>
  <si>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</si>
  <si>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</si>
  <si>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</si>
  <si>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</si>
  <si>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</si>
  <si>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</si>
  <si>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</si>
  <si>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</si>
  <si>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</si>
  <si>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</si>
  <si>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</si>
  <si>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</si>
  <si>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</si>
  <si>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</si>
  <si>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</si>
  <si>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</si>
  <si>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</si>
  <si>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</si>
  <si>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</si>
  <si>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</si>
  <si>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</si>
  <si>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</si>
  <si>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</si>
  <si>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</si>
  <si>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</si>
  <si>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</si>
  <si>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</si>
  <si>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</si>
  <si>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</si>
  <si>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</si>
  <si>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</si>
  <si>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</si>
  <si>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</si>
  <si>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</si>
  <si>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</si>
  <si>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</si>
  <si>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</si>
  <si>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</si>
  <si>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</si>
  <si>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</si>
  <si>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</si>
  <si>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</si>
  <si>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</si>
  <si>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</si>
  <si>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</si>
  <si>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</si>
  <si>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</si>
  <si>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</si>
  <si>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</si>
  <si>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</si>
  <si>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</si>
  <si>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</si>
  <si>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</si>
  <si>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</si>
  <si>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</si>
  <si>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</si>
  <si>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</si>
  <si>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</si>
  <si>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</si>
  <si>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</si>
  <si>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</si>
  <si>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</si>
  <si>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</si>
  <si>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</si>
  <si>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</si>
  <si>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</si>
  <si>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</si>
  <si>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</si>
  <si>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</si>
  <si>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</si>
  <si>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</si>
  <si>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</si>
  <si>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</si>
  <si>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</si>
  <si>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</si>
  <si>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</si>
  <si>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</si>
  <si>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</si>
  <si>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</si>
  <si>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</si>
  <si>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</si>
  <si>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</si>
  <si>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</si>
  <si>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</si>
  <si>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</si>
  <si>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</si>
  <si>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</si>
  <si>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</si>
  <si>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</si>
  <si>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</si>
  <si>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</si>
  <si>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</si>
  <si>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</si>
  <si>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</si>
  <si>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</si>
  <si>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</si>
  <si>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</si>
  <si>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</si>
  <si>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</si>
  <si>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</si>
  <si>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</si>
  <si>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</si>
  <si>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</si>
  <si>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</si>
  <si>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</si>
  <si>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</si>
  <si>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</si>
  <si>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</si>
  <si>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</si>
  <si>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</si>
  <si>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</si>
  <si>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</si>
  <si>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</si>
  <si>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</si>
  <si>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</si>
  <si>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</si>
  <si>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</si>
  <si>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</si>
  <si>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</si>
  <si>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</si>
  <si>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</si>
  <si>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</si>
  <si>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</si>
  <si>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</si>
  <si>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</si>
  <si>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</si>
  <si>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</si>
  <si>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</si>
  <si>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</si>
  <si>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</si>
  <si>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</si>
  <si>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</si>
  <si>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</si>
  <si>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</si>
  <si>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</si>
  <si>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</si>
  <si>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</si>
  <si>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</si>
  <si>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</si>
  <si>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</si>
  <si>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</si>
  <si>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</si>
  <si>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</si>
  <si>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</si>
  <si>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</si>
  <si>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</si>
  <si>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</si>
  <si>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</si>
  <si>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</si>
  <si>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</si>
  <si>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</si>
  <si>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</si>
  <si>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</si>
  <si>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</si>
  <si>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</si>
  <si>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</si>
  <si>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</si>
  <si>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</si>
  <si>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</si>
  <si>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</si>
  <si>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</si>
  <si>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</si>
  <si>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</si>
  <si>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</si>
  <si>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</si>
  <si>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</si>
  <si>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</si>
  <si>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</si>
  <si>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</si>
  <si>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</si>
  <si>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</si>
  <si>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</si>
  <si>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</si>
  <si>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</si>
  <si>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</si>
  <si>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</si>
  <si>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</si>
  <si>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</si>
  <si>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</si>
  <si>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</si>
  <si>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</si>
  <si>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</si>
  <si>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</si>
  <si>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</si>
  <si>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</si>
  <si>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</si>
  <si>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</si>
  <si>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</si>
  <si>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</si>
  <si>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</si>
  <si>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</si>
  <si>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</si>
  <si>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</si>
  <si>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</si>
  <si>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</si>
  <si>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</si>
  <si>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</si>
  <si>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</si>
  <si>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</si>
  <si>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</si>
  <si>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</si>
  <si>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</si>
  <si>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</si>
  <si>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</si>
  <si>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</si>
  <si>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</si>
  <si>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</si>
  <si>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</si>
  <si>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</si>
  <si>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</si>
  <si>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</si>
  <si>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</si>
  <si>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</si>
  <si>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</si>
  <si>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</si>
  <si>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</si>
  <si>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</si>
  <si>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</si>
  <si>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</si>
  <si>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</si>
  <si>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</si>
  <si>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</si>
  <si>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</si>
  <si>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</si>
  <si>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</si>
  <si>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</si>
  <si>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</si>
  <si>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</si>
  <si>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</si>
  <si>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</si>
  <si>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</si>
  <si>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</si>
  <si>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</si>
  <si>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</si>
  <si>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</si>
  <si>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</si>
  <si>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</si>
  <si>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</si>
  <si>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</si>
  <si>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</si>
  <si>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</si>
  <si>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</si>
  <si>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</si>
  <si>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</si>
  <si>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</si>
  <si>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</si>
  <si>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</si>
  <si>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</si>
  <si>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</si>
  <si>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</si>
  <si>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</si>
  <si>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</si>
  <si>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</si>
  <si>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</si>
  <si>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</si>
  <si>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</si>
  <si>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</si>
  <si>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</si>
  <si>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</si>
  <si>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</si>
  <si>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</si>
  <si>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</si>
  <si>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</si>
  <si>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</si>
  <si>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</si>
  <si>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</si>
  <si>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</si>
  <si>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</si>
  <si>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</si>
  <si>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</si>
  <si>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</si>
  <si>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</si>
  <si>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</si>
  <si>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</si>
  <si>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</si>
  <si>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</si>
  <si>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</si>
  <si>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</si>
  <si>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</si>
  <si>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</si>
  <si>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</si>
  <si>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</si>
  <si>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</si>
  <si>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</si>
  <si>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</si>
  <si>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</si>
  <si>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</si>
  <si>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</si>
  <si>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</si>
  <si>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</si>
  <si>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</si>
  <si>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</si>
  <si>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</si>
  <si>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</si>
  <si>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</si>
  <si>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</si>
  <si>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</si>
  <si>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</si>
  <si>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</si>
  <si>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</si>
  <si>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</si>
  <si>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</si>
  <si>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</si>
  <si>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</si>
  <si>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</si>
  <si>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</si>
  <si>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</si>
  <si>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</si>
  <si>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</si>
  <si>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</si>
  <si>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</si>
  <si>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</si>
  <si>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</si>
  <si>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</si>
  <si>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</si>
  <si>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</si>
  <si>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</si>
  <si>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</si>
  <si>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</si>
  <si>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</si>
  <si>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</si>
  <si>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</si>
  <si>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</si>
  <si>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</si>
  <si>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</si>
  <si>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</si>
  <si>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</si>
  <si>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</si>
  <si>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</si>
  <si>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</si>
  <si>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</si>
  <si>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</si>
  <si>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</si>
  <si>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</si>
  <si>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</si>
  <si>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</si>
  <si>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</si>
  <si>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</si>
  <si>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</si>
  <si>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</si>
  <si>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</si>
  <si>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</si>
  <si>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</si>
  <si>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</si>
  <si>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</si>
  <si>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</si>
  <si>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</si>
  <si>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</si>
  <si>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</si>
  <si>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</si>
  <si>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</si>
  <si>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</si>
  <si>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</si>
  <si>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</si>
  <si>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</si>
  <si>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</si>
  <si>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</si>
  <si>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</si>
  <si>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</si>
  <si>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</si>
  <si>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</si>
  <si>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</si>
  <si>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</si>
  <si>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</si>
  <si>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</si>
  <si>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</si>
  <si>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</si>
  <si>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</si>
  <si>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</si>
  <si>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</si>
  <si>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</si>
  <si>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</si>
  <si>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</si>
  <si>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</si>
  <si>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</si>
  <si>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</si>
  <si>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</si>
  <si>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</si>
  <si>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</si>
  <si>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</si>
  <si>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</si>
  <si>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</si>
  <si>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</si>
  <si>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</si>
  <si>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</si>
  <si>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</si>
  <si>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</si>
  <si>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</si>
  <si>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</si>
  <si>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</si>
  <si>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</si>
  <si>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</si>
  <si>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</si>
  <si>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</si>
  <si>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</si>
  <si>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</si>
  <si>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</si>
  <si>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</si>
  <si>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</si>
  <si>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</si>
  <si>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</si>
  <si>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</si>
  <si>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</si>
  <si>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</si>
  <si>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</si>
  <si>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</si>
  <si>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</si>
  <si>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</si>
  <si>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</si>
  <si>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</si>
  <si>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</si>
  <si>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</si>
  <si>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</si>
  <si>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</si>
  <si>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</si>
  <si>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</si>
  <si>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</si>
  <si>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</si>
  <si>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</si>
  <si>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</si>
  <si>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</si>
  <si>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</si>
  <si>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</si>
  <si>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</si>
  <si>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</si>
  <si>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</si>
  <si>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</si>
  <si>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</si>
  <si>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</si>
  <si>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</si>
  <si>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</si>
  <si>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</si>
  <si>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</si>
  <si>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</si>
  <si>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</si>
  <si>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</si>
  <si>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</si>
  <si>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</si>
  <si>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</si>
  <si>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</si>
  <si>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</si>
  <si>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</si>
  <si>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</si>
  <si>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</si>
  <si>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</si>
  <si>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</si>
  <si>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</si>
  <si>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(3) Đối với các chỉ tiêu thu NSĐP, so sánh dự toán năm kế hoạch với ước thực hiện năm hiện hành. Đối với các chỉ tiêu chi NSĐP, so sánh dự toán năm kế hoạch với dự toán năm hiện hành.</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</si>
  <si>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</si>
  <si>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</si>
  <si>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</si>
  <si>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</si>
  <si>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</si>
  <si>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</si>
  <si>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</si>
  <si>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</si>
  <si>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</si>
  <si>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</si>
  <si>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</si>
  <si>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</si>
  <si>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</si>
  <si>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</si>
  <si>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</si>
  <si>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r>
      <t>Ghi chú:</t>
    </r>
    <r>
      <rPr>
        <i/>
        <sz val="13"/>
        <color rgb="FF000000"/>
        <rFont val="Times New Roman"/>
        <family val="1"/>
      </rPr>
      <t xml:space="preserve"> (1) Ngân sách xã không có nhiệm vụ chi bổ sung cân đối cho ngân sách cấp dưới.</t>
    </r>
  </si>
  <si>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</si>
  <si>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</si>
  <si>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</si>
  <si>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</si>
  <si>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</si>
  <si>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</si>
  <si>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</si>
  <si>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</si>
  <si>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</si>
  <si>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</si>
  <si>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</si>
  <si>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</si>
  <si>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</si>
  <si>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</si>
  <si>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</si>
  <si>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</si>
  <si>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</si>
  <si>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</si>
  <si>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</si>
  <si>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</si>
  <si>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</si>
  <si>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</si>
  <si>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</si>
  <si>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</si>
  <si>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</si>
  <si>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</si>
  <si>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</si>
  <si>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</si>
  <si>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</si>
  <si>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</si>
  <si>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</si>
  <si>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CÂN ĐỐI NGÂN SÁCH ĐỊA PHƯƠNG NĂM 2018</t>
  </si>
  <si>
    <t>Ước thực hiện năm 2017</t>
  </si>
  <si>
    <t>CÂN ĐỐI NGUỒN THU, CHI DỰ TOÁN NGÂN SÁCH CẤP TỈNH VÀ NGÂN SÁCH HUYỆN NĂM 2018</t>
  </si>
  <si>
    <t>DỰ TOÁN CHI NGÂN SÁCH CẤP TỈNH THEO LĨNH VỰC NĂM 2018</t>
  </si>
  <si>
    <t>DỰ TOÁN CHI NGÂN SÁCH ĐỊA PHƯƠNG TỪNG HUYỆN NĂM 2018</t>
  </si>
  <si>
    <t>DỰ TOÁN BỔ SUNG CÓ MỤC TIÊU TỪ NGÂN SÁCH CẤP TỈNH CHO NGÂN SÁCH TỪNG HUYỆN NĂM 2018</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</si>
  <si>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</si>
  <si>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</si>
  <si>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</si>
  <si>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</si>
  <si>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</si>
  <si>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</si>
  <si>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</si>
  <si>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</si>
  <si>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</si>
  <si>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</si>
  <si>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</si>
  <si>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</si>
  <si>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</si>
  <si>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</si>
  <si>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</si>
  <si>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</si>
  <si>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</si>
  <si>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</si>
  <si>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</si>
  <si>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</si>
  <si>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</si>
  <si>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</si>
  <si>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</si>
  <si>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</si>
  <si>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</si>
  <si>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</si>
  <si>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</si>
  <si>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</si>
  <si>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</si>
  <si>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</si>
  <si>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</si>
  <si>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</si>
  <si>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</si>
  <si>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</si>
  <si>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</si>
  <si>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</si>
  <si>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</si>
  <si>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</si>
  <si>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</si>
  <si>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</si>
  <si>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</si>
  <si>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</si>
  <si>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</si>
  <si>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</si>
  <si>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</si>
  <si>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</si>
  <si>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</si>
  <si>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</si>
  <si>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</si>
  <si>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</si>
  <si>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</si>
  <si>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</si>
  <si>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</si>
  <si>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</si>
  <si>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</si>
  <si>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</si>
  <si>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</si>
  <si>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</si>
  <si>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</si>
  <si>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</si>
  <si>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</si>
  <si>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</si>
  <si>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</si>
  <si>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</si>
  <si>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</si>
  <si>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</si>
  <si>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</si>
  <si>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</si>
  <si>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</si>
  <si>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</si>
  <si>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</si>
  <si>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</si>
  <si>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</si>
  <si>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</si>
  <si>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</si>
  <si>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</si>
  <si>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</si>
  <si>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</si>
  <si>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</si>
  <si>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</si>
  <si>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</si>
  <si>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</si>
  <si>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</si>
  <si>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</si>
  <si>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</si>
  <si>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</si>
  <si>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</si>
  <si>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</si>
  <si>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</si>
  <si>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</si>
  <si>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</si>
  <si>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</si>
  <si>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</si>
  <si>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</si>
  <si>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</si>
  <si>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</si>
  <si>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</si>
  <si>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</si>
  <si>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</si>
  <si>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</si>
  <si>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</si>
  <si>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</si>
  <si>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</si>
  <si>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</si>
  <si>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</si>
  <si>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</si>
  <si>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</si>
  <si>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</si>
  <si>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</si>
  <si>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</si>
  <si>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NSTT</t>
  </si>
  <si>
    <t>Khác</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</si>
  <si>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</si>
  <si>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</si>
  <si>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</si>
  <si>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</si>
  <si>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</si>
  <si>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</si>
  <si>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</si>
  <si>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</si>
  <si>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</si>
  <si>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</si>
  <si>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</si>
  <si>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</si>
  <si>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</si>
  <si>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</si>
  <si>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</si>
  <si>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</si>
  <si>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</si>
  <si>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</si>
  <si>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</si>
  <si>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BỔ SUNG CÂN ĐỐI CHO NGÂN SÁCH CẤP DƯỚI </t>
  </si>
  <si>
    <t xml:space="preserve">Chi đầu tư phát triển  </t>
  </si>
  <si>
    <t xml:space="preserve">Tên đơn vị </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</si>
  <si>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</si>
  <si>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</si>
  <si>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</si>
  <si>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</si>
  <si>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</si>
  <si>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</si>
  <si>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</si>
  <si>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</si>
  <si>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</si>
  <si>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</si>
  <si>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</si>
  <si>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</si>
  <si>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</si>
  <si>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</si>
  <si>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</si>
  <si>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</si>
  <si>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</si>
  <si>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</si>
  <si>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</si>
  <si>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</si>
  <si>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</si>
  <si>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</si>
  <si>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</si>
  <si>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</si>
  <si>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</si>
  <si>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</si>
  <si>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</si>
  <si>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</si>
  <si>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</si>
  <si>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</si>
  <si>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</si>
  <si>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</si>
  <si>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</si>
  <si>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</si>
  <si>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</si>
  <si>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</si>
  <si>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</si>
  <si>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</si>
  <si>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</si>
  <si>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</si>
  <si>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</si>
  <si>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</si>
  <si>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</si>
  <si>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</si>
  <si>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</si>
  <si>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</si>
  <si>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</si>
  <si>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</si>
  <si>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</si>
  <si>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</si>
  <si>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</si>
  <si>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</si>
  <si>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</si>
  <si>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</si>
  <si>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</si>
  <si>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</si>
  <si>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</si>
  <si>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</si>
  <si>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</si>
  <si>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</si>
  <si>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</si>
  <si>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</si>
  <si>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</si>
  <si>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</si>
  <si>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</si>
  <si>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</si>
  <si>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</si>
  <si>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</si>
  <si>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</si>
  <si>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</si>
  <si>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</si>
  <si>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</si>
  <si>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</si>
  <si>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</si>
  <si>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</si>
  <si>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</si>
  <si>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</si>
  <si>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</si>
  <si>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</si>
  <si>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</si>
  <si>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</si>
  <si>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</si>
  <si>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</si>
  <si>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</si>
  <si>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</si>
  <si>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</si>
  <si>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</si>
  <si>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</si>
  <si>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</si>
  <si>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</si>
  <si>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</si>
  <si>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</si>
  <si>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</si>
  <si>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</si>
  <si>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</si>
  <si>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</si>
  <si>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</si>
  <si>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</si>
  <si>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</si>
  <si>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</si>
  <si>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</si>
  <si>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</si>
  <si>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</si>
  <si>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</si>
  <si>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</si>
  <si>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</si>
  <si>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</si>
  <si>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</si>
  <si>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</si>
  <si>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</si>
  <si>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</si>
  <si>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</si>
  <si>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</si>
  <si>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</si>
  <si>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</si>
  <si>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</si>
  <si>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</si>
  <si>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</si>
  <si>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</si>
  <si>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</si>
  <si>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Biểu số 46/CK-NSNN</t>
  </si>
  <si>
    <t>UBND TỈNH QUẢNG NAM</t>
  </si>
  <si>
    <t>Biểu số 47/CK-NSNN</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</si>
  <si>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</si>
  <si>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</si>
  <si>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</si>
  <si>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</si>
  <si>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</si>
  <si>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</si>
  <si>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</si>
  <si>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</si>
  <si>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</si>
  <si>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</si>
  <si>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</si>
  <si>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</si>
  <si>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</si>
  <si>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</si>
  <si>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</si>
  <si>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</si>
  <si>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</si>
  <si>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</si>
  <si>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</si>
  <si>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</si>
  <si>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</si>
  <si>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</si>
  <si>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</si>
  <si>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</si>
  <si>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</si>
  <si>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</si>
  <si>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</si>
  <si>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</si>
  <si>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</si>
  <si>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</si>
  <si>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</si>
  <si>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</si>
  <si>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</si>
  <si>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</si>
  <si>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</si>
  <si>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</si>
  <si>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</si>
  <si>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</si>
  <si>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</si>
  <si>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</si>
  <si>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</si>
  <si>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</si>
  <si>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</si>
  <si>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</si>
  <si>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</si>
  <si>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</si>
  <si>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</si>
  <si>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</si>
  <si>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</si>
  <si>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</si>
  <si>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</si>
  <si>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</si>
  <si>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</si>
  <si>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</si>
  <si>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</si>
  <si>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</si>
  <si>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</si>
  <si>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</si>
  <si>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</si>
  <si>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</si>
  <si>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</si>
  <si>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</si>
  <si>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</si>
  <si>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Biểu số 49/CK-NSNN</t>
  </si>
  <si>
    <t>Biểu 50/CK-NSNN</t>
  </si>
  <si>
    <t>Biểu số 56/CK-NSNN</t>
  </si>
  <si>
    <t>Số
 TT</t>
  </si>
  <si>
    <t>Huyện, thành phố
 thuộc tỉnh</t>
  </si>
  <si>
    <t>Thuế giá trị gia tăng</t>
  </si>
  <si>
    <t>Thuế thu nhập doanh nghiệp</t>
  </si>
  <si>
    <t>Thuế tiêu thụ đặc biệt hàng sản xuất trong nước</t>
  </si>
  <si>
    <t>Thuế thu nhập cá nhân</t>
  </si>
  <si>
    <t>Thuế bảo vệ môi trường hàng sản xuất trong nước</t>
  </si>
  <si>
    <t>Thu cấp quyền khai thác khoáng sản do trung ương cấp giấy phép</t>
  </si>
  <si>
    <t>01</t>
  </si>
  <si>
    <t>Biểu số 54/CK-NSNN</t>
  </si>
  <si>
    <t>TỶ LỆ PHẦN TRĂM (%) CÁC KHOẢN THU PHÂN CHIA</t>
  </si>
  <si>
    <t>GIỮA NGÂN SÁCH CÁC CẤP CHÍNH QUYỀN ĐỊA PHƯƠNG NĂM 2018</t>
  </si>
  <si>
    <t>ĐVT: %</t>
  </si>
  <si>
    <t>Chi tiết theo sắc thuế:</t>
  </si>
  <si>
    <t>Địa phương</t>
  </si>
  <si>
    <t>Tổng thu NSNN trên địa bàn</t>
  </si>
  <si>
    <t>Thu ngân sách địa phương được cân đối chi</t>
  </si>
  <si>
    <t>Số bổ sung cân đối từ ngân sách cấp trên</t>
  </si>
  <si>
    <t>Tổng chi cân đối NSĐP</t>
  </si>
  <si>
    <t>Thu NSĐP hưởng theo tỷ lệ %</t>
  </si>
  <si>
    <t>2=3+4</t>
  </si>
  <si>
    <t>6=2-5</t>
  </si>
  <si>
    <t>9=6+7+8</t>
  </si>
  <si>
    <t>TỔNG CỘNG:</t>
  </si>
  <si>
    <t xml:space="preserve">Số bổ sung mục tiêu từ ngân sách cấp trên </t>
  </si>
  <si>
    <t>Thu nộp ngân sách cấp trên (nguồn tăng thu mới)</t>
  </si>
  <si>
    <t>Biểu số 55/CK-NSNN</t>
  </si>
  <si>
    <t>DỰ TOÁN THU, SỐ BỔ SUNG VÀ DỰ TOÁN CHI CÂN ĐỐI NGÂN SÁCH TỪNG HUYỆN NĂM 2018</t>
  </si>
  <si>
    <t>Biểu số 53/CK-NSNN</t>
  </si>
  <si>
    <t>(Kèm theo Quyết định số      /QĐ-UBND ngày     /12/2017 của UBND tỉnh Quảng Nam)</t>
  </si>
  <si>
    <t>(Kèm theo Quyết định số      /QĐ-UBND ngày   /12/2017 của UBND tỉnh Quảng Nam)</t>
  </si>
  <si>
    <t>(Kèm theo Quyết định số     /QĐ-UBND ngày    /12/2017 của UBND tỉnh Quảng Nam)</t>
  </si>
  <si>
    <t>(Kèm theo Quyết định số     /QĐ-UBND ngày    /12/2017 UBND tỉnh Quảng Nam)</t>
  </si>
  <si>
    <t>(Kèm theo Quyết định số      /QĐ-UBND ngày    /12/2017 của UBND tỉnh Quảng Nam)</t>
  </si>
  <si>
    <t>(Kèm theo Quyết định số              /QĐ-UBND ngày      /12/2017 của UBND tỉnh Quảng Nam)</t>
  </si>
  <si>
    <t>(Kèm theo Quyết định số :        /QĐ-UBND ngày     /12/2017  của Ủy ban nhân dân tỉnh Quảng Nam)</t>
  </si>
  <si>
    <t xml:space="preserve">(Kèm theo Quyết định số       /QĐ-UBND ngày     /12/2017 của UBND tỉnh Quảng Nam) </t>
  </si>
  <si>
    <t>Hỗ trợ khác (có chi tiết kèm theo)</t>
  </si>
  <si>
    <t>UBND TỈNH QUẢNG NAM</t>
  </si>
  <si>
    <t>Biểu số 52/CK-NSNN</t>
  </si>
  <si>
    <t>DỰ TOÁN CHI ĐẦU TƯ PHÁT TRIỂN CỦA NGÂN SÁCH CẤP TỈNH CHO TỪNG CƠ QUAN, TỔ CHỨC THEO LĨNH VỰC NĂM 2018</t>
  </si>
  <si>
    <t>Đơn vị: Triệu đồng</t>
  </si>
  <si>
    <t>Tên đơn vị</t>
  </si>
  <si>
    <t>Tổng số</t>
  </si>
  <si>
    <t>Trong đó:</t>
  </si>
  <si>
    <t>Chi Giáo dục - Đào tạo và Dạy nghề</t>
  </si>
  <si>
    <t>Chi khoa học và công nghệ</t>
  </si>
  <si>
    <t>Chi y tế, dân số và gia đình</t>
  </si>
  <si>
    <t>Chi văn hóa Thông tin</t>
  </si>
  <si>
    <t>Chi phát thanh, truyền hình, thông tấn</t>
  </si>
  <si>
    <t>Chi thể dục thể thao</t>
  </si>
  <si>
    <t>Chi các hoạt động kinh tế</t>
  </si>
  <si>
    <t>Trong đó</t>
  </si>
  <si>
    <t>Chi hoạt động của cơ quan quản lý nhà nước, Đảng, đoàn thể</t>
  </si>
  <si>
    <t xml:space="preserve">Chi bảo đảm xã hội </t>
  </si>
  <si>
    <t>Chi giao thông</t>
  </si>
  <si>
    <t>Chi nông nghiệp, lâm nghiệp, thủy lợi, thủy sản</t>
  </si>
  <si>
    <t>TỔNG SỐ</t>
  </si>
  <si>
    <t>BCH Bộ đội biên phòng tỉnh</t>
  </si>
  <si>
    <t>BQL dự án ĐTXD tỉnh</t>
  </si>
  <si>
    <t>Bệnh viện Phạm Ngọc Thạch</t>
  </si>
  <si>
    <t>Sở VH-TT&amp;DL</t>
  </si>
  <si>
    <t>Ban Dân tộc tỉnh</t>
  </si>
  <si>
    <t>Đài PTTH tỉnh</t>
  </si>
  <si>
    <t>Sở Tài nguyên Môi trường</t>
  </si>
  <si>
    <t>Sở NN&amp;PTNT</t>
  </si>
  <si>
    <t>Cty TNHH MTV KTTL Quảng Nam</t>
  </si>
  <si>
    <t>BQL dự án ĐTXD các CT NN&amp;PTNT</t>
  </si>
  <si>
    <t>BQL khu KTM Chu Lai</t>
  </si>
  <si>
    <t>BQL dự án ĐTXD các CTGT tỉnh</t>
  </si>
  <si>
    <t>Ban đại diện Hội CCB tỉnh</t>
  </si>
  <si>
    <t>Chi cục phòng chống TNXH tỉnh</t>
  </si>
  <si>
    <t>Sở LĐ-TB&amp;XH</t>
  </si>
  <si>
    <t>UBMTTQ Việt Nam tỉnh</t>
  </si>
  <si>
    <t>Ban Tuyên giáo Tỉnh ủy</t>
  </si>
  <si>
    <t>Chi cục Dân số và Kế hoạch hóa gia đình</t>
  </si>
  <si>
    <t>Trường Chính trị</t>
  </si>
  <si>
    <t>Viện Kiểm sát nhân dân tỉnh</t>
  </si>
  <si>
    <t>Trường CĐ nghề</t>
  </si>
  <si>
    <t>Ban QL dự án giảm nghèo khu vực Tây Nguyên Quảng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</si>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</sst>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 numFmtId="262" formatCode="0_);\(0\)"/>
  </numFmts>
  <fonts count="297">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b/>
      <sz val="11"/>
      <color theme="1"/>
      <name val=".VnArial Narrow"/>
      <family val="2"/>
    </font>
    <font>
      <b/>
      <sz val="10"/>
      <color theme="1"/>
      <name val="Times New Roman"/>
      <family val="1"/>
    </font>
    <font>
      <sz val="10"/>
      <color theme="1"/>
      <name val=".VnArial Narrow"/>
      <family val="2"/>
    </font>
    <font>
      <b/>
      <sz val="10"/>
      <color theme="1"/>
      <name val=".VnArial Narrow"/>
      <family val="2"/>
    </font>
    <font>
      <sz val="10"/>
      <color rgb="FFFF0000"/>
      <name val=".VnArial Narrow"/>
      <family val="2"/>
    </font>
    <font>
      <i/>
      <sz val="11"/>
      <color theme="1"/>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
      <b/>
      <sz val="14"/>
      <color theme="1"/>
      <name val="Times New Roman"/>
      <family val="1"/>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s>
  <cellStyleXfs count="1035">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2" fillId="0" borderId="0"/>
    <xf numFmtId="0" fontId="1" fillId="0" borderId="0"/>
    <xf numFmtId="0" fontId="100" fillId="0" borderId="0"/>
  </cellStyleXfs>
  <cellXfs count="11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42" fillId="0" borderId="73" xfId="0" applyFont="1" applyBorder="1" applyAlignment="1">
      <alignment horizontal="center" vertical="center" wrapText="1"/>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75" xfId="0" applyFont="1" applyBorder="1" applyAlignment="1">
      <alignment horizontal="center" wrapText="1"/>
    </xf>
    <xf numFmtId="0" fontId="242" fillId="0" borderId="74" xfId="0" applyFont="1" applyBorder="1" applyAlignment="1">
      <alignment horizontal="center" wrapText="1"/>
    </xf>
    <xf numFmtId="0" fontId="242" fillId="0" borderId="60" xfId="0" applyFont="1" applyBorder="1" applyAlignment="1">
      <alignment horizontal="center" wrapText="1"/>
    </xf>
    <xf numFmtId="0" fontId="242" fillId="0" borderId="60" xfId="0" applyFont="1" applyBorder="1" applyAlignment="1">
      <alignment wrapText="1"/>
    </xf>
    <xf numFmtId="0" fontId="242" fillId="0" borderId="61" xfId="0" applyFont="1" applyBorder="1" applyAlignment="1">
      <alignment horizontal="center" wrapText="1"/>
    </xf>
    <xf numFmtId="0" fontId="242" fillId="0" borderId="61" xfId="0" applyFont="1" applyBorder="1" applyAlignment="1">
      <alignment wrapText="1"/>
    </xf>
    <xf numFmtId="0" fontId="255" fillId="0" borderId="61" xfId="0" applyFont="1" applyBorder="1" applyAlignment="1">
      <alignment wrapText="1"/>
    </xf>
    <xf numFmtId="0" fontId="255" fillId="0" borderId="61" xfId="0" applyFont="1" applyBorder="1" applyAlignment="1">
      <alignment horizontal="center" wrapText="1"/>
    </xf>
    <xf numFmtId="0" fontId="242" fillId="0" borderId="62" xfId="0" applyFont="1" applyBorder="1" applyAlignment="1">
      <alignment horizontal="center" wrapText="1"/>
    </xf>
    <xf numFmtId="0" fontId="242" fillId="0" borderId="62" xfId="0" applyFont="1" applyBorder="1" applyAlignment="1">
      <alignment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5" fillId="0" borderId="0" xfId="0" applyFont="1" applyAlignment="1">
      <alignment vertical="center"/>
    </xf>
    <xf numFmtId="0" fontId="255" fillId="0" borderId="0" xfId="0" applyFont="1"/>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170" fontId="249" fillId="0" borderId="61" xfId="455" applyNumberFormat="1" applyFont="1" applyBorder="1" applyAlignment="1">
      <alignment horizontal="center" wrapText="1"/>
    </xf>
    <xf numFmtId="170" fontId="252" fillId="0" borderId="60" xfId="455" applyNumberFormat="1" applyFont="1" applyBorder="1" applyAlignment="1">
      <alignment horizontal="center" wrapText="1"/>
    </xf>
    <xf numFmtId="170" fontId="252" fillId="0" borderId="61" xfId="455" applyNumberFormat="1" applyFont="1" applyBorder="1" applyAlignment="1">
      <alignment horizontal="center" wrapText="1"/>
    </xf>
    <xf numFmtId="170" fontId="252" fillId="0" borderId="62" xfId="455" applyNumberFormat="1" applyFont="1" applyBorder="1" applyAlignment="1">
      <alignment horizont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0" fontId="283" fillId="0" borderId="0" xfId="0" applyFont="1" applyAlignment="1">
      <alignment vertical="center"/>
    </xf>
    <xf numFmtId="170" fontId="282" fillId="0" borderId="0" xfId="0" applyNumberFormat="1" applyFont="1" applyAlignment="1">
      <alignment vertical="center"/>
    </xf>
    <xf numFmtId="170" fontId="284" fillId="0" borderId="0" xfId="455" applyNumberFormat="1" applyFont="1" applyAlignment="1">
      <alignment vertical="center"/>
    </xf>
    <xf numFmtId="170" fontId="285" fillId="0" borderId="0" xfId="455" applyNumberFormat="1" applyFont="1" applyAlignment="1">
      <alignment vertical="center"/>
    </xf>
    <xf numFmtId="0" fontId="240" fillId="0" borderId="0" xfId="0" applyFont="1" applyFill="1" applyAlignment="1">
      <alignment vertical="center"/>
    </xf>
    <xf numFmtId="170" fontId="284" fillId="0" borderId="0" xfId="0" applyNumberFormat="1" applyFont="1" applyAlignment="1">
      <alignment vertical="center"/>
    </xf>
    <xf numFmtId="0" fontId="240" fillId="0" borderId="0" xfId="0" quotePrefix="1" applyFont="1" applyAlignment="1">
      <alignment vertical="center"/>
    </xf>
    <xf numFmtId="170" fontId="286" fillId="0" borderId="0" xfId="455" applyNumberFormat="1" applyFont="1" applyAlignment="1">
      <alignment vertical="center"/>
    </xf>
    <xf numFmtId="170" fontId="257" fillId="0" borderId="0" xfId="0" applyNumberFormat="1" applyFont="1" applyAlignment="1">
      <alignment vertical="center"/>
    </xf>
    <xf numFmtId="170" fontId="287" fillId="0" borderId="0" xfId="455" applyNumberFormat="1" applyFont="1" applyAlignment="1">
      <alignment vertical="center"/>
    </xf>
    <xf numFmtId="0" fontId="255" fillId="0" borderId="0" xfId="0" applyFont="1" applyAlignment="1"/>
    <xf numFmtId="0" fontId="247"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9" fillId="0" borderId="0" xfId="0" applyNumberFormat="1" applyFont="1" applyAlignment="1">
      <alignment vertical="center" wrapText="1"/>
    </xf>
    <xf numFmtId="3" fontId="289"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90"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90"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90"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91"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2"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9"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3"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4" fillId="0" borderId="14" xfId="0" applyNumberFormat="1" applyFont="1" applyBorder="1" applyAlignment="1">
      <alignment vertical="center" wrapText="1"/>
    </xf>
    <xf numFmtId="3" fontId="294" fillId="0" borderId="0" xfId="0" applyNumberFormat="1" applyFont="1" applyAlignment="1">
      <alignment horizontal="center" vertical="center" wrapText="1"/>
    </xf>
    <xf numFmtId="3" fontId="294" fillId="0" borderId="0" xfId="0" applyNumberFormat="1" applyFont="1" applyAlignment="1">
      <alignment vertical="center" wrapText="1"/>
    </xf>
    <xf numFmtId="3" fontId="295"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right" vertic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42" fillId="0" borderId="0" xfId="0" applyFont="1" applyAlignment="1">
      <alignment vertical="center"/>
    </xf>
    <xf numFmtId="0" fontId="288" fillId="0" borderId="0" xfId="0" applyFont="1" applyAlignment="1">
      <alignment horizontal="left" vertical="center"/>
    </xf>
    <xf numFmtId="0" fontId="242" fillId="0" borderId="0" xfId="0" applyFont="1" applyAlignment="1">
      <alignment horizontal="left" vertical="center"/>
    </xf>
    <xf numFmtId="0" fontId="15" fillId="0" borderId="0" xfId="0" applyFont="1" applyAlignment="1">
      <alignment horizontal="right" vertical="top" wrapText="1"/>
    </xf>
    <xf numFmtId="0" fontId="106" fillId="0" borderId="0" xfId="0" applyFont="1"/>
    <xf numFmtId="0" fontId="106" fillId="0" borderId="0" xfId="0" applyFont="1" applyAlignment="1">
      <alignment horizontal="center" vertical="center"/>
    </xf>
    <xf numFmtId="0" fontId="106" fillId="0" borderId="0" xfId="0" applyFont="1" applyAlignment="1"/>
    <xf numFmtId="0" fontId="14" fillId="0" borderId="13" xfId="0" applyFont="1" applyBorder="1" applyAlignment="1">
      <alignment horizontal="center" vertical="center" wrapText="1"/>
    </xf>
    <xf numFmtId="0" fontId="14" fillId="0" borderId="13" xfId="0" applyFont="1" applyBorder="1" applyAlignment="1">
      <alignment vertical="center" wrapText="1"/>
    </xf>
    <xf numFmtId="49" fontId="14" fillId="0" borderId="14" xfId="0" applyNumberFormat="1" applyFont="1" applyBorder="1" applyAlignment="1">
      <alignment horizontal="center" vertical="center" wrapText="1"/>
    </xf>
    <xf numFmtId="0" fontId="14" fillId="0" borderId="56" xfId="0" applyFont="1" applyBorder="1" applyAlignment="1">
      <alignment horizontal="center" vertical="center" wrapText="1"/>
    </xf>
    <xf numFmtId="0" fontId="14" fillId="0" borderId="56" xfId="0" applyFont="1" applyBorder="1" applyAlignment="1">
      <alignment vertical="center" wrapText="1"/>
    </xf>
    <xf numFmtId="0" fontId="14" fillId="0" borderId="0" xfId="0" applyFont="1"/>
    <xf numFmtId="0" fontId="293" fillId="0" borderId="1" xfId="0" applyFont="1" applyBorder="1" applyAlignment="1">
      <alignment horizontal="center" vertical="center" wrapText="1"/>
    </xf>
    <xf numFmtId="3" fontId="15" fillId="0" borderId="1" xfId="0" applyNumberFormat="1" applyFont="1" applyBorder="1"/>
    <xf numFmtId="0" fontId="14" fillId="0" borderId="8" xfId="1031" applyFont="1" applyFill="1" applyBorder="1" applyAlignment="1">
      <alignment horizontal="left" vertical="center" wrapText="1"/>
    </xf>
    <xf numFmtId="0" fontId="14" fillId="0" borderId="14" xfId="1031" applyFont="1" applyFill="1" applyBorder="1" applyAlignment="1">
      <alignment horizontal="left" vertical="center" wrapText="1"/>
    </xf>
    <xf numFmtId="0" fontId="14" fillId="0" borderId="56" xfId="1031" applyFont="1" applyFill="1" applyBorder="1" applyAlignment="1">
      <alignment horizontal="left" vertical="center" wrapText="1"/>
    </xf>
    <xf numFmtId="0" fontId="25" fillId="0" borderId="0" xfId="0" applyFont="1" applyAlignment="1"/>
    <xf numFmtId="0" fontId="14" fillId="0" borderId="8" xfId="0" applyFont="1" applyBorder="1" applyAlignment="1">
      <alignment vertical="center" wrapText="1"/>
    </xf>
    <xf numFmtId="0" fontId="243" fillId="0" borderId="81" xfId="0" applyFont="1" applyBorder="1" applyAlignment="1">
      <alignment wrapText="1"/>
    </xf>
    <xf numFmtId="3" fontId="290" fillId="29" borderId="14" xfId="0" applyNumberFormat="1" applyFont="1" applyFill="1" applyBorder="1" applyAlignment="1">
      <alignment vertical="center" wrapText="1"/>
    </xf>
    <xf numFmtId="3" fontId="18" fillId="29" borderId="14" xfId="0" applyNumberFormat="1" applyFont="1" applyFill="1" applyBorder="1" applyAlignment="1">
      <alignment vertical="center" wrapText="1"/>
    </xf>
    <xf numFmtId="261" fontId="41" fillId="0" borderId="19" xfId="0" applyNumberFormat="1" applyFont="1" applyBorder="1" applyAlignment="1">
      <alignment vertical="center" wrapText="1"/>
    </xf>
    <xf numFmtId="170" fontId="41" fillId="0" borderId="19" xfId="0" applyNumberFormat="1" applyFont="1" applyBorder="1" applyAlignment="1">
      <alignment vertical="center" wrapText="1"/>
    </xf>
    <xf numFmtId="0" fontId="247" fillId="0" borderId="61" xfId="0" applyFont="1" applyBorder="1" applyAlignment="1">
      <alignment horizontal="center" vertical="center" wrapText="1"/>
    </xf>
    <xf numFmtId="3" fontId="15" fillId="0" borderId="0" xfId="1032" applyNumberFormat="1" applyFont="1" applyFill="1" applyAlignment="1">
      <alignment horizontal="right" vertical="center" wrapText="1"/>
    </xf>
    <xf numFmtId="1"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262" fontId="14" fillId="0" borderId="68" xfId="1032" applyNumberFormat="1" applyFont="1" applyFill="1" applyBorder="1" applyAlignment="1">
      <alignment horizontal="center" vertical="center" wrapText="1"/>
    </xf>
    <xf numFmtId="1" fontId="14" fillId="0" borderId="68" xfId="1032" applyNumberFormat="1" applyFont="1" applyFill="1" applyBorder="1" applyAlignment="1">
      <alignment horizontal="left" vertical="center" wrapText="1"/>
    </xf>
    <xf numFmtId="3" fontId="14" fillId="0" borderId="68" xfId="1032" applyNumberFormat="1" applyFont="1" applyFill="1" applyBorder="1" applyAlignment="1">
      <alignment horizontal="right" vertical="center" wrapText="1"/>
    </xf>
    <xf numFmtId="1" fontId="14" fillId="0" borderId="68" xfId="1032" applyNumberFormat="1" applyFont="1" applyFill="1" applyBorder="1" applyAlignment="1">
      <alignment horizontal="center" vertical="center" wrapText="1"/>
    </xf>
    <xf numFmtId="3" fontId="14" fillId="0" borderId="68" xfId="1032" applyNumberFormat="1" applyFont="1" applyFill="1" applyBorder="1" applyAlignment="1">
      <alignment horizontal="center" vertical="center" wrapText="1"/>
    </xf>
    <xf numFmtId="3" fontId="15" fillId="0" borderId="1" xfId="1032" applyNumberFormat="1" applyFont="1" applyFill="1" applyBorder="1" applyAlignment="1">
      <alignment horizontal="center" vertical="center" wrapText="1"/>
    </xf>
    <xf numFmtId="262"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right" vertical="center" wrapText="1"/>
    </xf>
    <xf numFmtId="3" fontId="222" fillId="0" borderId="23" xfId="1032" applyNumberFormat="1" applyFont="1" applyFill="1" applyBorder="1" applyAlignment="1">
      <alignment horizontal="left" vertical="center" wrapText="1"/>
    </xf>
    <xf numFmtId="262" fontId="14" fillId="0" borderId="13" xfId="1032" applyNumberFormat="1" applyFont="1" applyFill="1" applyBorder="1" applyAlignment="1">
      <alignment horizontal="center" vertical="center" wrapText="1"/>
    </xf>
    <xf numFmtId="1" fontId="14" fillId="0" borderId="13" xfId="1032" applyNumberFormat="1" applyFont="1" applyFill="1" applyBorder="1" applyAlignment="1">
      <alignment horizontal="left" vertical="center" wrapText="1"/>
    </xf>
    <xf numFmtId="3" fontId="14" fillId="0" borderId="13" xfId="1032" applyNumberFormat="1" applyFont="1" applyFill="1" applyBorder="1" applyAlignment="1">
      <alignment horizontal="right" vertical="center" wrapText="1"/>
    </xf>
    <xf numFmtId="1" fontId="14" fillId="0" borderId="13" xfId="1032" applyNumberFormat="1" applyFont="1" applyFill="1" applyBorder="1" applyAlignment="1">
      <alignment horizontal="right" vertical="center" wrapText="1"/>
    </xf>
    <xf numFmtId="262" fontId="14" fillId="0" borderId="14" xfId="1032" applyNumberFormat="1" applyFont="1" applyFill="1" applyBorder="1" applyAlignment="1">
      <alignment horizontal="center" vertical="center" wrapText="1"/>
    </xf>
    <xf numFmtId="1" fontId="14" fillId="0" borderId="14" xfId="1032" applyNumberFormat="1" applyFont="1" applyFill="1" applyBorder="1" applyAlignment="1">
      <alignment horizontal="left" vertical="center" wrapText="1"/>
    </xf>
    <xf numFmtId="3" fontId="14" fillId="0" borderId="14" xfId="1032" applyNumberFormat="1" applyFont="1" applyFill="1" applyBorder="1" applyAlignment="1">
      <alignment horizontal="right" vertical="center" wrapText="1"/>
    </xf>
    <xf numFmtId="1" fontId="14" fillId="0" borderId="14" xfId="1032" applyNumberFormat="1" applyFont="1" applyFill="1" applyBorder="1" applyAlignment="1">
      <alignment horizontal="right" vertical="center" wrapText="1"/>
    </xf>
    <xf numFmtId="0" fontId="14" fillId="0" borderId="14" xfId="1033" applyFont="1" applyFill="1" applyBorder="1" applyAlignment="1">
      <alignment horizontal="left" vertical="center" wrapText="1"/>
    </xf>
    <xf numFmtId="3" fontId="14" fillId="0" borderId="14" xfId="1033" applyNumberFormat="1" applyFont="1" applyFill="1" applyBorder="1" applyAlignment="1">
      <alignment horizontal="right" vertical="center" wrapText="1"/>
    </xf>
    <xf numFmtId="0" fontId="14" fillId="0" borderId="14" xfId="1033" applyFont="1" applyFill="1" applyBorder="1" applyAlignment="1">
      <alignment horizontal="right" vertical="center" wrapText="1"/>
    </xf>
    <xf numFmtId="3" fontId="14" fillId="0" borderId="14" xfId="1033" applyNumberFormat="1" applyFont="1" applyFill="1" applyBorder="1" applyAlignment="1">
      <alignment horizontal="left" vertical="center" wrapText="1"/>
    </xf>
    <xf numFmtId="0" fontId="14" fillId="0" borderId="14" xfId="1034" applyFont="1" applyFill="1" applyBorder="1" applyAlignment="1">
      <alignment horizontal="left" vertical="center" wrapText="1"/>
    </xf>
    <xf numFmtId="3" fontId="14" fillId="0" borderId="14" xfId="1034" applyNumberFormat="1" applyFont="1" applyFill="1" applyBorder="1" applyAlignment="1">
      <alignment horizontal="right" vertical="center" wrapText="1"/>
    </xf>
    <xf numFmtId="0" fontId="14" fillId="0" borderId="14" xfId="1034" applyFont="1" applyFill="1" applyBorder="1" applyAlignment="1">
      <alignment horizontal="right" vertical="center" wrapText="1"/>
    </xf>
    <xf numFmtId="1" fontId="14" fillId="29" borderId="14" xfId="1032" applyNumberFormat="1" applyFont="1" applyFill="1" applyBorder="1" applyAlignment="1">
      <alignment horizontal="left" vertical="center" wrapText="1"/>
    </xf>
    <xf numFmtId="3" fontId="14" fillId="29" borderId="14" xfId="1032" applyNumberFormat="1" applyFont="1" applyFill="1" applyBorder="1" applyAlignment="1">
      <alignment horizontal="right" vertical="center" wrapText="1"/>
    </xf>
    <xf numFmtId="1" fontId="14" fillId="29" borderId="14" xfId="1032" applyNumberFormat="1" applyFont="1" applyFill="1" applyBorder="1" applyAlignment="1">
      <alignment horizontal="right" vertical="center" wrapText="1"/>
    </xf>
    <xf numFmtId="262" fontId="14" fillId="0" borderId="56" xfId="1032" applyNumberFormat="1" applyFont="1" applyFill="1" applyBorder="1" applyAlignment="1">
      <alignment horizontal="center" vertical="center" wrapText="1"/>
    </xf>
    <xf numFmtId="1" fontId="14" fillId="0" borderId="56" xfId="1032" applyNumberFormat="1" applyFont="1" applyFill="1" applyBorder="1" applyAlignment="1">
      <alignment horizontal="left" vertical="center" wrapText="1"/>
    </xf>
    <xf numFmtId="3" fontId="14" fillId="0" borderId="56" xfId="1032" applyNumberFormat="1" applyFont="1" applyFill="1" applyBorder="1" applyAlignment="1">
      <alignment horizontal="right" vertical="center" wrapText="1"/>
    </xf>
    <xf numFmtId="1" fontId="14" fillId="0" borderId="56" xfId="1032" applyNumberFormat="1" applyFont="1" applyFill="1" applyBorder="1" applyAlignment="1">
      <alignment horizontal="right" vertical="center" wrapText="1"/>
    </xf>
    <xf numFmtId="262" fontId="15" fillId="0" borderId="1" xfId="1032" applyNumberFormat="1" applyFont="1" applyFill="1" applyBorder="1" applyAlignment="1">
      <alignment horizontal="center"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8" fillId="0" borderId="0" xfId="0" applyFont="1" applyAlignment="1">
      <alignment horizontal="center"/>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8"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0" fontId="288" fillId="0" borderId="0" xfId="0" applyFont="1" applyAlignment="1">
      <alignment horizontal="left" vertical="center"/>
    </xf>
    <xf numFmtId="0" fontId="296" fillId="0" borderId="0" xfId="0" applyFont="1" applyAlignment="1">
      <alignment horizontal="left"/>
    </xf>
    <xf numFmtId="0" fontId="243" fillId="0" borderId="0" xfId="0" applyFont="1" applyAlignment="1">
      <alignment horizontal="left" wrapText="1"/>
    </xf>
    <xf numFmtId="0" fontId="288" fillId="0" borderId="0" xfId="0" applyFont="1" applyAlignment="1">
      <alignment horizontal="center" wrapText="1"/>
    </xf>
    <xf numFmtId="0" fontId="243" fillId="0" borderId="11" xfId="0" applyFont="1" applyBorder="1" applyAlignment="1">
      <alignment horizontal="right"/>
    </xf>
    <xf numFmtId="0" fontId="244" fillId="0" borderId="15" xfId="0" applyFont="1" applyBorder="1" applyAlignment="1">
      <alignment horizontal="left" wrapText="1"/>
    </xf>
    <xf numFmtId="3" fontId="15" fillId="0" borderId="20" xfId="1032" applyNumberFormat="1" applyFont="1" applyFill="1" applyBorder="1" applyAlignment="1">
      <alignment horizontal="center" vertical="center" wrapText="1"/>
    </xf>
    <xf numFmtId="3" fontId="15" fillId="0" borderId="48" xfId="1032" applyNumberFormat="1" applyFont="1" applyFill="1" applyBorder="1" applyAlignment="1">
      <alignment horizontal="center" vertical="center" wrapText="1"/>
    </xf>
    <xf numFmtId="262"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1" fontId="15" fillId="0" borderId="0" xfId="1032" applyNumberFormat="1" applyFont="1" applyFill="1" applyAlignment="1">
      <alignment horizontal="center" vertical="center" wrapText="1"/>
    </xf>
    <xf numFmtId="3" fontId="222" fillId="0" borderId="68" xfId="1032" applyNumberFormat="1" applyFont="1" applyFill="1" applyBorder="1" applyAlignment="1">
      <alignment horizontal="center" vertical="center" wrapText="1"/>
    </xf>
    <xf numFmtId="262" fontId="15" fillId="0" borderId="1"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7" xfId="1032" applyNumberFormat="1" applyFont="1" applyFill="1" applyBorder="1" applyAlignment="1">
      <alignment horizontal="center" vertical="center" wrapText="1"/>
    </xf>
    <xf numFmtId="3" fontId="15" fillId="0" borderId="5" xfId="1032" applyNumberFormat="1" applyFont="1" applyFill="1" applyBorder="1" applyAlignment="1">
      <alignment horizontal="center" vertical="center" wrapText="1"/>
    </xf>
    <xf numFmtId="3" fontId="15" fillId="0" borderId="10" xfId="1032" applyNumberFormat="1" applyFont="1" applyFill="1" applyBorder="1" applyAlignment="1">
      <alignment horizontal="center" vertical="center" wrapText="1"/>
    </xf>
    <xf numFmtId="3" fontId="25" fillId="0" borderId="0" xfId="0" applyNumberFormat="1" applyFont="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22" fillId="0" borderId="68" xfId="0" applyFont="1" applyBorder="1" applyAlignment="1">
      <alignment horizontal="center"/>
    </xf>
    <xf numFmtId="0" fontId="25" fillId="0" borderId="0" xfId="0" applyFont="1" applyAlignment="1">
      <alignment horizontal="center" vertical="center"/>
    </xf>
    <xf numFmtId="0" fontId="222" fillId="0" borderId="0" xfId="0" applyFont="1" applyAlignment="1">
      <alignment horizontal="center"/>
    </xf>
    <xf numFmtId="0" fontId="25" fillId="0" borderId="0" xfId="0" applyFont="1" applyAlignment="1">
      <alignment horizontal="left" vertical="top" wrapText="1"/>
    </xf>
    <xf numFmtId="0" fontId="15" fillId="0" borderId="0" xfId="0" applyFont="1" applyAlignment="1">
      <alignment horizontal="right" vertical="top"/>
    </xf>
    <xf numFmtId="0" fontId="15" fillId="0" borderId="1" xfId="0" applyFont="1" applyBorder="1" applyAlignment="1">
      <alignment horizontal="center" vertical="center"/>
    </xf>
    <xf numFmtId="0" fontId="194" fillId="0" borderId="23" xfId="0" applyFont="1" applyBorder="1" applyAlignment="1">
      <alignment horizontal="center" vertical="center" wrapText="1"/>
    </xf>
    <xf numFmtId="0" fontId="194" fillId="0" borderId="7" xfId="0" applyFont="1" applyBorder="1" applyAlignment="1">
      <alignment horizontal="center" vertical="center" wrapText="1"/>
    </xf>
    <xf numFmtId="0" fontId="194" fillId="0" borderId="5"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Alignment="1">
      <alignment horizontal="right" vertical="center" wrapText="1"/>
    </xf>
    <xf numFmtId="0" fontId="25" fillId="0" borderId="0" xfId="0" applyFont="1" applyAlignment="1">
      <alignment horizontal="center" vertical="center" wrapText="1"/>
    </xf>
    <xf numFmtId="0" fontId="209" fillId="0" borderId="0" xfId="0" applyFont="1" applyAlignment="1">
      <alignment horizontal="center" vertical="center" wrapText="1"/>
    </xf>
    <xf numFmtId="0" fontId="48" fillId="0" borderId="1"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5" xfId="0" applyFont="1" applyBorder="1" applyAlignment="1">
      <alignment horizontal="center" vertical="center" wrapText="1"/>
    </xf>
    <xf numFmtId="0" fontId="243" fillId="0" borderId="0" xfId="0" applyFont="1" applyBorder="1" applyAlignment="1">
      <alignment horizontal="left" vertical="center" wrapText="1"/>
    </xf>
    <xf numFmtId="0" fontId="248" fillId="0" borderId="0" xfId="0" applyFont="1" applyAlignment="1">
      <alignment horizontal="center" vertical="center" wrapText="1"/>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8"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5">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4"/>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3"/>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Bieu mau (CV )" xfId="1032"/>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row r="5">
          <cell r="D5">
            <v>93625</v>
          </cell>
          <cell r="E5">
            <v>53378</v>
          </cell>
          <cell r="F5">
            <v>182701</v>
          </cell>
          <cell r="G5">
            <v>136437</v>
          </cell>
          <cell r="H5">
            <v>171455</v>
          </cell>
          <cell r="I5">
            <v>129385</v>
          </cell>
          <cell r="J5">
            <v>167286</v>
          </cell>
          <cell r="K5">
            <v>83748</v>
          </cell>
          <cell r="L5">
            <v>132938</v>
          </cell>
          <cell r="M5">
            <v>65190</v>
          </cell>
          <cell r="N5">
            <v>102678</v>
          </cell>
          <cell r="O5">
            <v>78358</v>
          </cell>
          <cell r="P5">
            <v>70873</v>
          </cell>
          <cell r="Q5">
            <v>55656</v>
          </cell>
          <cell r="R5">
            <v>63446</v>
          </cell>
          <cell r="S5">
            <v>78518</v>
          </cell>
          <cell r="T5">
            <v>96735</v>
          </cell>
          <cell r="U5">
            <v>79629</v>
          </cell>
        </row>
        <row r="120">
          <cell r="D120">
            <v>0</v>
          </cell>
          <cell r="E120">
            <v>0</v>
          </cell>
          <cell r="F120">
            <v>0</v>
          </cell>
          <cell r="G120">
            <v>0</v>
          </cell>
          <cell r="H120">
            <v>1920</v>
          </cell>
          <cell r="I120">
            <v>0</v>
          </cell>
          <cell r="J120">
            <v>0</v>
          </cell>
          <cell r="K120">
            <v>0</v>
          </cell>
          <cell r="L120">
            <v>1460</v>
          </cell>
          <cell r="M120">
            <v>42</v>
          </cell>
          <cell r="N120">
            <v>1358</v>
          </cell>
          <cell r="O120">
            <v>1460</v>
          </cell>
          <cell r="P120">
            <v>0</v>
          </cell>
          <cell r="Q120">
            <v>1610</v>
          </cell>
          <cell r="R120">
            <v>0</v>
          </cell>
          <cell r="S120">
            <v>1560</v>
          </cell>
          <cell r="T120">
            <v>1610</v>
          </cell>
          <cell r="U120">
            <v>1630</v>
          </cell>
        </row>
        <row r="121">
          <cell r="D121">
            <v>23953</v>
          </cell>
          <cell r="E121">
            <v>44415</v>
          </cell>
          <cell r="F121">
            <v>41468</v>
          </cell>
          <cell r="G121">
            <v>13385</v>
          </cell>
          <cell r="H121">
            <v>41324</v>
          </cell>
          <cell r="I121">
            <v>42145</v>
          </cell>
          <cell r="J121">
            <v>25598</v>
          </cell>
          <cell r="K121">
            <v>20039</v>
          </cell>
          <cell r="L121">
            <v>42698</v>
          </cell>
          <cell r="M121">
            <v>16227</v>
          </cell>
          <cell r="N121">
            <v>25724</v>
          </cell>
          <cell r="O121">
            <v>20755</v>
          </cell>
          <cell r="P121">
            <v>53259</v>
          </cell>
          <cell r="Q121">
            <v>14150</v>
          </cell>
          <cell r="R121">
            <v>10714</v>
          </cell>
          <cell r="S121">
            <v>19707</v>
          </cell>
          <cell r="T121">
            <v>17618</v>
          </cell>
          <cell r="U121">
            <v>47009</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958" t="s">
        <v>198</v>
      </c>
      <c r="B2" s="958"/>
      <c r="C2" s="958"/>
      <c r="D2" s="958"/>
      <c r="E2" s="958"/>
      <c r="F2" s="958"/>
      <c r="G2" s="958"/>
    </row>
    <row r="3" spans="1:9" s="64" customFormat="1" ht="18" customHeight="1">
      <c r="A3" s="958" t="s">
        <v>351</v>
      </c>
      <c r="B3" s="958"/>
      <c r="C3" s="958"/>
      <c r="D3" s="958"/>
      <c r="E3" s="958"/>
      <c r="F3" s="958"/>
      <c r="G3" s="958"/>
    </row>
    <row r="4" spans="1:9" s="64" customFormat="1" ht="18" customHeight="1">
      <c r="A4" s="52"/>
      <c r="B4" s="52"/>
      <c r="C4" s="52"/>
      <c r="D4" s="52"/>
      <c r="E4" s="52"/>
      <c r="F4" s="959" t="s">
        <v>199</v>
      </c>
      <c r="G4" s="958"/>
    </row>
    <row r="5" spans="1:9" s="64" customFormat="1" ht="54" customHeight="1">
      <c r="A5" s="961" t="s">
        <v>34</v>
      </c>
      <c r="B5" s="961"/>
      <c r="C5" s="281" t="s">
        <v>189</v>
      </c>
      <c r="D5" s="281" t="s">
        <v>191</v>
      </c>
      <c r="E5" s="281" t="s">
        <v>190</v>
      </c>
      <c r="F5" s="281" t="s">
        <v>192</v>
      </c>
      <c r="G5" s="281" t="s">
        <v>193</v>
      </c>
    </row>
    <row r="6" spans="1:9" s="64" customFormat="1" ht="34.5" customHeight="1">
      <c r="A6" s="962">
        <v>1</v>
      </c>
      <c r="B6" s="962"/>
      <c r="C6" s="271">
        <v>2</v>
      </c>
      <c r="D6" s="271">
        <v>3</v>
      </c>
      <c r="E6" s="271" t="s">
        <v>208</v>
      </c>
      <c r="F6" s="271">
        <v>5</v>
      </c>
      <c r="G6" s="271" t="s">
        <v>209</v>
      </c>
    </row>
    <row r="7" spans="1:9" s="64" customFormat="1" ht="34.5" customHeight="1">
      <c r="A7" s="960" t="s">
        <v>205</v>
      </c>
      <c r="B7" s="96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964" t="s">
        <v>201</v>
      </c>
      <c r="B9" s="960"/>
      <c r="C9" s="199"/>
      <c r="D9" s="270"/>
      <c r="E9" s="270"/>
      <c r="F9" s="200">
        <v>3573000</v>
      </c>
      <c r="G9" s="200">
        <v>3939757.8465529997</v>
      </c>
      <c r="I9" s="333">
        <f>F9+E14+E17+E20+E21+E22+E23+E24+E26+E27</f>
        <v>3939757.8465529992</v>
      </c>
    </row>
    <row r="10" spans="1:9" s="64" customFormat="1" ht="27.6" customHeight="1">
      <c r="A10" s="964" t="s">
        <v>202</v>
      </c>
      <c r="B10" s="964"/>
      <c r="C10" s="199"/>
      <c r="D10" s="270"/>
      <c r="E10" s="270"/>
      <c r="F10" s="200">
        <v>24630</v>
      </c>
      <c r="G10" s="200">
        <v>25743.006637873648</v>
      </c>
    </row>
    <row r="11" spans="1:9" s="64" customFormat="1" ht="27.6" customHeight="1">
      <c r="A11" s="964" t="s">
        <v>203</v>
      </c>
      <c r="B11" s="964"/>
      <c r="C11" s="199"/>
      <c r="D11" s="270"/>
      <c r="E11" s="270"/>
      <c r="F11" s="200">
        <v>5006899.8397832289</v>
      </c>
      <c r="G11" s="200">
        <v>6151958.8457523556</v>
      </c>
    </row>
    <row r="12" spans="1:9" s="64" customFormat="1" ht="37.5" customHeight="1">
      <c r="A12" s="960" t="s">
        <v>204</v>
      </c>
      <c r="B12" s="960"/>
      <c r="C12" s="200">
        <v>439263.31510000001</v>
      </c>
      <c r="D12" s="272">
        <v>1951852.17426</v>
      </c>
      <c r="E12" s="200">
        <v>1512929.85916</v>
      </c>
      <c r="F12" s="199"/>
      <c r="G12" s="199"/>
    </row>
    <row r="13" spans="1:9" s="64" customFormat="1" ht="18" customHeight="1">
      <c r="A13" s="960" t="s">
        <v>186</v>
      </c>
      <c r="B13" s="96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960" t="s">
        <v>187</v>
      </c>
      <c r="B16" s="96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960" t="s">
        <v>188</v>
      </c>
      <c r="B19" s="960"/>
      <c r="C19" s="201">
        <v>439263.31510000001</v>
      </c>
      <c r="D19" s="272">
        <v>1605691.17426</v>
      </c>
      <c r="E19" s="201">
        <v>1166768.85916</v>
      </c>
      <c r="F19" s="202"/>
      <c r="G19" s="202"/>
      <c r="I19" s="57">
        <f>543318-25346</f>
        <v>517972</v>
      </c>
    </row>
    <row r="20" spans="1:9" s="59" customFormat="1" ht="28.9" customHeight="1">
      <c r="A20" s="963" t="s">
        <v>300</v>
      </c>
      <c r="B20" s="963"/>
      <c r="C20" s="200">
        <v>28207.200000000001</v>
      </c>
      <c r="D20" s="272">
        <v>51865.440000000002</v>
      </c>
      <c r="E20" s="268">
        <v>23658.240000000002</v>
      </c>
      <c r="F20" s="269"/>
      <c r="G20" s="269"/>
    </row>
    <row r="21" spans="1:9" s="59" customFormat="1" ht="28.9" customHeight="1">
      <c r="A21" s="963" t="s">
        <v>299</v>
      </c>
      <c r="B21" s="963"/>
      <c r="C21" s="200">
        <v>8479.68</v>
      </c>
      <c r="D21" s="272">
        <v>59369</v>
      </c>
      <c r="E21" s="268">
        <v>50889.32</v>
      </c>
      <c r="F21" s="269"/>
      <c r="G21" s="269"/>
    </row>
    <row r="22" spans="1:9" s="59" customFormat="1" ht="28.9" customHeight="1">
      <c r="A22" s="963" t="s">
        <v>301</v>
      </c>
      <c r="B22" s="963"/>
      <c r="C22" s="200"/>
      <c r="D22" s="272">
        <v>34188</v>
      </c>
      <c r="E22" s="268">
        <v>34188</v>
      </c>
      <c r="F22" s="269"/>
      <c r="G22" s="269"/>
      <c r="I22" s="59" t="s">
        <v>210</v>
      </c>
    </row>
    <row r="23" spans="1:9" s="59" customFormat="1" ht="44.45" customHeight="1">
      <c r="A23" s="963" t="s">
        <v>302</v>
      </c>
      <c r="B23" s="963"/>
      <c r="C23" s="200">
        <v>16416.130499999999</v>
      </c>
      <c r="D23" s="272">
        <v>55014.130499999999</v>
      </c>
      <c r="E23" s="268">
        <v>38598</v>
      </c>
      <c r="F23" s="269"/>
      <c r="G23" s="269"/>
    </row>
    <row r="24" spans="1:9" s="59" customFormat="1" ht="28.9" customHeight="1">
      <c r="A24" s="963" t="s">
        <v>303</v>
      </c>
      <c r="B24" s="963"/>
      <c r="C24" s="200"/>
      <c r="D24" s="272">
        <v>30696.84</v>
      </c>
      <c r="E24" s="268">
        <v>30696.84</v>
      </c>
      <c r="F24" s="269"/>
      <c r="G24" s="269"/>
    </row>
    <row r="25" spans="1:9" s="63" customFormat="1" ht="28.9" customHeight="1">
      <c r="A25" s="963" t="s">
        <v>304</v>
      </c>
      <c r="B25" s="963"/>
      <c r="C25" s="203"/>
      <c r="D25" s="272">
        <v>0</v>
      </c>
      <c r="E25" s="268">
        <v>0</v>
      </c>
      <c r="F25" s="204"/>
      <c r="G25" s="204"/>
    </row>
    <row r="26" spans="1:9" s="51" customFormat="1" ht="28.9" customHeight="1">
      <c r="A26" s="963" t="s">
        <v>305</v>
      </c>
      <c r="B26" s="963"/>
      <c r="C26" s="272"/>
      <c r="D26" s="272">
        <v>9867.3919999999998</v>
      </c>
      <c r="E26" s="268">
        <v>9867.3919999999998</v>
      </c>
      <c r="F26" s="269"/>
      <c r="G26" s="269"/>
    </row>
    <row r="27" spans="1:9" s="52" customFormat="1" ht="28.9" customHeight="1">
      <c r="A27" s="967" t="s">
        <v>306</v>
      </c>
      <c r="B27" s="967"/>
      <c r="C27" s="201"/>
      <c r="D27" s="272">
        <v>5481.3</v>
      </c>
      <c r="E27" s="268">
        <v>5481.3</v>
      </c>
      <c r="F27" s="205"/>
      <c r="G27" s="205"/>
    </row>
    <row r="28" spans="1:9" s="53" customFormat="1" ht="28.9" customHeight="1">
      <c r="A28" s="967" t="s">
        <v>307</v>
      </c>
      <c r="B28" s="967"/>
      <c r="C28" s="200">
        <v>56313.440999999999</v>
      </c>
      <c r="D28" s="272">
        <v>110014.9182</v>
      </c>
      <c r="E28" s="268">
        <v>53701.477200000001</v>
      </c>
      <c r="F28" s="205"/>
      <c r="G28" s="205"/>
    </row>
    <row r="29" spans="1:9" s="53" customFormat="1" ht="28.9" customHeight="1">
      <c r="A29" s="967" t="s">
        <v>308</v>
      </c>
      <c r="B29" s="967"/>
      <c r="C29" s="201"/>
      <c r="D29" s="272">
        <v>31370.648759999996</v>
      </c>
      <c r="E29" s="268">
        <v>31370.648759999996</v>
      </c>
      <c r="F29" s="205"/>
      <c r="G29" s="205"/>
    </row>
    <row r="30" spans="1:9" s="53" customFormat="1" ht="28.9" customHeight="1">
      <c r="A30" s="967" t="s">
        <v>309</v>
      </c>
      <c r="B30" s="967"/>
      <c r="C30" s="201"/>
      <c r="D30" s="272">
        <v>0</v>
      </c>
      <c r="E30" s="268">
        <v>0</v>
      </c>
      <c r="F30" s="205"/>
      <c r="G30" s="205"/>
    </row>
    <row r="31" spans="1:9" s="53" customFormat="1" ht="28.9" customHeight="1">
      <c r="A31" s="963" t="s">
        <v>310</v>
      </c>
      <c r="B31" s="963"/>
      <c r="C31" s="201"/>
      <c r="D31" s="272">
        <v>40585.287599999996</v>
      </c>
      <c r="E31" s="268">
        <v>40585.287599999996</v>
      </c>
      <c r="F31" s="205"/>
      <c r="G31" s="205"/>
    </row>
    <row r="32" spans="1:9" s="53" customFormat="1" ht="28.9" customHeight="1">
      <c r="A32" s="963" t="s">
        <v>311</v>
      </c>
      <c r="B32" s="963"/>
      <c r="C32" s="201"/>
      <c r="D32" s="272">
        <v>3.9203999999999999</v>
      </c>
      <c r="E32" s="268">
        <v>3.9203999999999999</v>
      </c>
      <c r="F32" s="205"/>
      <c r="G32" s="205"/>
    </row>
    <row r="33" spans="1:7" s="63" customFormat="1" ht="41.45" customHeight="1">
      <c r="A33" s="963" t="s">
        <v>312</v>
      </c>
      <c r="B33" s="963"/>
      <c r="C33" s="200">
        <v>110674.8036</v>
      </c>
      <c r="D33" s="203">
        <v>212258.29679999998</v>
      </c>
      <c r="E33" s="268">
        <v>101583.49319999998</v>
      </c>
      <c r="F33" s="204"/>
      <c r="G33" s="204"/>
    </row>
    <row r="34" spans="1:7" s="63" customFormat="1" ht="57.75" customHeight="1">
      <c r="A34" s="965" t="s">
        <v>324</v>
      </c>
      <c r="B34" s="966"/>
      <c r="C34" s="200"/>
      <c r="D34" s="203"/>
      <c r="E34" s="268">
        <v>341</v>
      </c>
      <c r="F34" s="204"/>
      <c r="G34" s="204"/>
    </row>
    <row r="35" spans="1:7" s="51" customFormat="1" ht="28.9" customHeight="1">
      <c r="A35" s="963" t="s">
        <v>325</v>
      </c>
      <c r="B35" s="963"/>
      <c r="C35" s="272"/>
      <c r="D35" s="272">
        <v>17810</v>
      </c>
      <c r="E35" s="268">
        <v>17810</v>
      </c>
      <c r="F35" s="269"/>
      <c r="G35" s="269"/>
    </row>
    <row r="36" spans="1:7" s="51" customFormat="1" ht="40.9" customHeight="1">
      <c r="A36" s="963" t="s">
        <v>326</v>
      </c>
      <c r="B36" s="963"/>
      <c r="C36" s="272"/>
      <c r="D36" s="272">
        <v>14820</v>
      </c>
      <c r="E36" s="268">
        <v>14820</v>
      </c>
      <c r="F36" s="269"/>
      <c r="G36" s="269"/>
    </row>
    <row r="37" spans="1:7" s="51" customFormat="1" ht="39.6" customHeight="1">
      <c r="A37" s="963" t="s">
        <v>327</v>
      </c>
      <c r="B37" s="963"/>
      <c r="C37" s="272"/>
      <c r="D37" s="272">
        <v>4300</v>
      </c>
      <c r="E37" s="268">
        <v>4300</v>
      </c>
      <c r="F37" s="269"/>
      <c r="G37" s="269"/>
    </row>
    <row r="38" spans="1:7" s="51" customFormat="1" ht="40.15" customHeight="1">
      <c r="A38" s="963" t="s">
        <v>328</v>
      </c>
      <c r="B38" s="963"/>
      <c r="C38" s="200">
        <v>141873</v>
      </c>
      <c r="D38" s="272">
        <v>430988</v>
      </c>
      <c r="E38" s="268">
        <v>289115</v>
      </c>
      <c r="F38" s="269"/>
      <c r="G38" s="269"/>
    </row>
    <row r="39" spans="1:7" s="280" customFormat="1" ht="28.9" customHeight="1">
      <c r="A39" s="968" t="s">
        <v>296</v>
      </c>
      <c r="B39" s="968"/>
      <c r="C39" s="277">
        <v>20071</v>
      </c>
      <c r="D39" s="294"/>
      <c r="E39" s="278"/>
      <c r="F39" s="279"/>
      <c r="G39" s="279"/>
    </row>
    <row r="40" spans="1:7" s="51" customFormat="1" ht="28.9" customHeight="1">
      <c r="A40" s="963" t="s">
        <v>329</v>
      </c>
      <c r="B40" s="963"/>
      <c r="C40" s="200">
        <v>14299.06</v>
      </c>
      <c r="D40" s="272">
        <v>17887</v>
      </c>
      <c r="E40" s="268">
        <v>3587.9400000000005</v>
      </c>
      <c r="F40" s="269"/>
      <c r="G40" s="269"/>
    </row>
    <row r="41" spans="1:7" s="51" customFormat="1" ht="28.9" customHeight="1">
      <c r="A41" s="963" t="s">
        <v>330</v>
      </c>
      <c r="B41" s="963"/>
      <c r="C41" s="273"/>
      <c r="D41" s="272">
        <v>9760</v>
      </c>
      <c r="E41" s="268">
        <v>9760</v>
      </c>
      <c r="F41" s="269"/>
      <c r="G41" s="269"/>
    </row>
    <row r="42" spans="1:7" s="51" customFormat="1" ht="40.9" customHeight="1">
      <c r="A42" s="963" t="s">
        <v>331</v>
      </c>
      <c r="B42" s="963"/>
      <c r="C42" s="273"/>
      <c r="D42" s="272">
        <v>18500</v>
      </c>
      <c r="E42" s="268">
        <v>18500</v>
      </c>
      <c r="F42" s="269"/>
      <c r="G42" s="269"/>
    </row>
    <row r="43" spans="1:7" s="51" customFormat="1" ht="28.9" customHeight="1">
      <c r="A43" s="963" t="s">
        <v>332</v>
      </c>
      <c r="B43" s="963"/>
      <c r="C43" s="200"/>
      <c r="D43" s="272">
        <v>53260.5</v>
      </c>
      <c r="E43" s="268">
        <v>53260.5</v>
      </c>
      <c r="F43" s="269"/>
      <c r="G43" s="269"/>
    </row>
    <row r="44" spans="1:7" s="51" customFormat="1" ht="28.9" customHeight="1">
      <c r="A44" s="963" t="s">
        <v>333</v>
      </c>
      <c r="B44" s="963"/>
      <c r="C44" s="273"/>
      <c r="D44" s="272">
        <v>4200</v>
      </c>
      <c r="E44" s="268">
        <v>4200</v>
      </c>
      <c r="F44" s="269"/>
      <c r="G44" s="269"/>
    </row>
    <row r="45" spans="1:7" s="51" customFormat="1" ht="28.9" customHeight="1">
      <c r="A45" s="963" t="s">
        <v>334</v>
      </c>
      <c r="B45" s="963"/>
      <c r="C45" s="200">
        <v>63000</v>
      </c>
      <c r="D45" s="272">
        <v>87641</v>
      </c>
      <c r="E45" s="268">
        <v>24641</v>
      </c>
      <c r="F45" s="269"/>
      <c r="G45" s="269"/>
    </row>
    <row r="46" spans="1:7" s="51" customFormat="1" ht="40.15" customHeight="1">
      <c r="A46" s="963" t="s">
        <v>335</v>
      </c>
      <c r="B46" s="963"/>
      <c r="C46" s="273"/>
      <c r="D46" s="272">
        <v>0</v>
      </c>
      <c r="E46" s="268">
        <v>0</v>
      </c>
      <c r="F46" s="269"/>
      <c r="G46" s="269"/>
    </row>
    <row r="47" spans="1:7" s="51" customFormat="1" ht="40.15" customHeight="1">
      <c r="A47" s="965" t="s">
        <v>336</v>
      </c>
      <c r="B47" s="966"/>
      <c r="C47" s="326"/>
      <c r="D47" s="327">
        <v>13849.5</v>
      </c>
      <c r="E47" s="328">
        <v>13849.5</v>
      </c>
      <c r="F47" s="329"/>
      <c r="G47" s="329"/>
    </row>
    <row r="48" spans="1:7" s="51" customFormat="1" ht="39.75" customHeight="1">
      <c r="A48" s="969" t="s">
        <v>350</v>
      </c>
      <c r="B48" s="96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workbookViewId="0">
      <selection activeCell="F19" sqref="F19:J4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1027" t="s">
        <v>901</v>
      </c>
      <c r="B1" s="1027"/>
      <c r="C1" s="896"/>
      <c r="D1" s="1026" t="s">
        <v>966</v>
      </c>
      <c r="E1" s="1026"/>
    </row>
    <row r="2" spans="1:7" ht="18.75">
      <c r="A2" s="897"/>
      <c r="B2" s="897"/>
      <c r="C2" s="896"/>
      <c r="D2" s="860"/>
      <c r="E2" s="860"/>
    </row>
    <row r="3" spans="1:7" ht="43.5" customHeight="1">
      <c r="A3" s="1016" t="s">
        <v>658</v>
      </c>
      <c r="B3" s="1016"/>
      <c r="C3" s="1016"/>
      <c r="D3" s="1016"/>
      <c r="E3" s="1016"/>
    </row>
    <row r="4" spans="1:7">
      <c r="A4" s="1006" t="s">
        <v>1001</v>
      </c>
      <c r="B4" s="1006"/>
      <c r="C4" s="1006"/>
      <c r="D4" s="1006"/>
      <c r="E4" s="1006"/>
      <c r="F4" s="748"/>
    </row>
    <row r="5" spans="1:7">
      <c r="A5" s="1012" t="s">
        <v>199</v>
      </c>
      <c r="B5" s="1012"/>
      <c r="C5" s="1012"/>
      <c r="D5" s="1012"/>
      <c r="E5" s="1012"/>
    </row>
    <row r="6" spans="1:7" ht="18" customHeight="1">
      <c r="A6" s="1008" t="s">
        <v>11</v>
      </c>
      <c r="B6" s="1008" t="s">
        <v>289</v>
      </c>
      <c r="C6" s="1008" t="s">
        <v>593</v>
      </c>
      <c r="D6" s="1008" t="s">
        <v>380</v>
      </c>
      <c r="E6" s="1008"/>
    </row>
    <row r="7" spans="1:7" ht="36.75" customHeight="1">
      <c r="A7" s="1008"/>
      <c r="B7" s="1008"/>
      <c r="C7" s="1008"/>
      <c r="D7" s="751" t="s">
        <v>646</v>
      </c>
      <c r="E7" s="751" t="s">
        <v>647</v>
      </c>
    </row>
    <row r="8" spans="1:7">
      <c r="A8" s="751" t="s">
        <v>12</v>
      </c>
      <c r="B8" s="751" t="s">
        <v>13</v>
      </c>
      <c r="C8" s="751" t="s">
        <v>594</v>
      </c>
      <c r="D8" s="751">
        <v>2</v>
      </c>
      <c r="E8" s="751">
        <v>3</v>
      </c>
    </row>
    <row r="9" spans="1:7">
      <c r="A9" s="766"/>
      <c r="B9" s="767" t="s">
        <v>383</v>
      </c>
      <c r="C9" s="770">
        <f>C10+C47+C77</f>
        <v>20067870</v>
      </c>
      <c r="D9" s="770">
        <f>D10+D47+D77</f>
        <v>11496917</v>
      </c>
      <c r="E9" s="770">
        <f>E10+E47+E77</f>
        <v>8570953</v>
      </c>
      <c r="G9" s="621">
        <f>D9-'ngay 27-11'!F8</f>
        <v>0</v>
      </c>
    </row>
    <row r="10" spans="1:7">
      <c r="A10" s="634" t="s">
        <v>12</v>
      </c>
      <c r="B10" s="635" t="s">
        <v>541</v>
      </c>
      <c r="C10" s="636">
        <f>D10+E10</f>
        <v>17603196</v>
      </c>
      <c r="D10" s="636">
        <f>D11+D27+D42+D43+D44+D45</f>
        <v>9139753</v>
      </c>
      <c r="E10" s="636">
        <f>E11+E27+E42+E43+E44+E45+E46</f>
        <v>8463443</v>
      </c>
    </row>
    <row r="11" spans="1:7">
      <c r="A11" s="634" t="s">
        <v>17</v>
      </c>
      <c r="B11" s="635" t="s">
        <v>595</v>
      </c>
      <c r="C11" s="636">
        <f>D11+E11</f>
        <v>2461938</v>
      </c>
      <c r="D11" s="636">
        <f>D12+D25+D26</f>
        <v>1107260</v>
      </c>
      <c r="E11" s="636">
        <f>E12+E25+E26</f>
        <v>1354678</v>
      </c>
      <c r="F11" s="621">
        <f>D9-'ngay 27-11'!F8</f>
        <v>0</v>
      </c>
      <c r="G11" s="621">
        <f>E9-'ngay 27-11'!M8</f>
        <v>0</v>
      </c>
    </row>
    <row r="12" spans="1:7">
      <c r="A12" s="637">
        <v>1</v>
      </c>
      <c r="B12" s="638" t="s">
        <v>596</v>
      </c>
      <c r="C12" s="639">
        <f t="shared" ref="C12:C26" si="0">D12+E12</f>
        <v>2381938</v>
      </c>
      <c r="D12" s="639">
        <f>'ngay 27-11'!F11+'ngay 27-11'!F20+'ngay 27-11'!F21+'ngay 27-11'!F24+'ngay 27-11'!F25+'ngay 27-11'!F26+'ngay 27-11'!F31</f>
        <v>1027260</v>
      </c>
      <c r="E12" s="639">
        <f>'ngay 27-11'!M11+'ngay 27-11'!M17+'ngay 27-11'!M18+'ngay 27-11'!M24+'ngay 27-11'!M25+'ngay 27-11'!M26</f>
        <v>1354678</v>
      </c>
      <c r="G12" s="621"/>
    </row>
    <row r="13" spans="1:7">
      <c r="A13" s="637"/>
      <c r="B13" s="638" t="s">
        <v>544</v>
      </c>
      <c r="C13" s="639">
        <f t="shared" si="0"/>
        <v>0</v>
      </c>
      <c r="D13" s="639"/>
      <c r="E13" s="639"/>
    </row>
    <row r="14" spans="1:7">
      <c r="A14" s="637" t="s">
        <v>257</v>
      </c>
      <c r="B14" s="640" t="s">
        <v>545</v>
      </c>
      <c r="C14" s="639">
        <f t="shared" si="0"/>
        <v>0</v>
      </c>
      <c r="D14" s="639"/>
      <c r="E14" s="639"/>
    </row>
    <row r="15" spans="1:7">
      <c r="A15" s="637" t="s">
        <v>257</v>
      </c>
      <c r="B15" s="640" t="s">
        <v>546</v>
      </c>
      <c r="C15" s="639">
        <f t="shared" si="0"/>
        <v>0</v>
      </c>
      <c r="D15" s="639"/>
      <c r="E15" s="639"/>
    </row>
    <row r="16" spans="1:7">
      <c r="A16" s="637"/>
      <c r="B16" s="640" t="s">
        <v>876</v>
      </c>
      <c r="C16" s="639"/>
      <c r="D16" s="639"/>
      <c r="E16" s="639"/>
    </row>
    <row r="17" spans="1:7">
      <c r="A17" s="637"/>
      <c r="B17" s="638" t="s">
        <v>547</v>
      </c>
      <c r="C17" s="639">
        <f t="shared" si="0"/>
        <v>0</v>
      </c>
      <c r="D17" s="639"/>
      <c r="E17" s="639"/>
    </row>
    <row r="18" spans="1:7">
      <c r="A18" s="637" t="s">
        <v>257</v>
      </c>
      <c r="B18" s="640" t="s">
        <v>409</v>
      </c>
      <c r="C18" s="639">
        <v>869860</v>
      </c>
      <c r="D18" s="639">
        <v>218672</v>
      </c>
      <c r="E18" s="639">
        <v>651188</v>
      </c>
    </row>
    <row r="19" spans="1:7">
      <c r="A19" s="637" t="s">
        <v>257</v>
      </c>
      <c r="B19" s="640" t="s">
        <v>548</v>
      </c>
      <c r="C19" s="639">
        <f t="shared" si="0"/>
        <v>865000</v>
      </c>
      <c r="D19" s="639">
        <f>'ngay 27-11'!F25</f>
        <v>328500</v>
      </c>
      <c r="E19" s="639">
        <f>'ngay 27-11'!M25</f>
        <v>536500</v>
      </c>
      <c r="F19" s="621"/>
    </row>
    <row r="20" spans="1:7">
      <c r="A20" s="637" t="s">
        <v>257</v>
      </c>
      <c r="B20" s="640" t="s">
        <v>549</v>
      </c>
      <c r="C20" s="639">
        <f t="shared" si="0"/>
        <v>76000</v>
      </c>
      <c r="D20" s="639">
        <f>'ngay 27-11'!F26</f>
        <v>60410</v>
      </c>
      <c r="E20" s="639">
        <f>'ngay 27-11'!M26</f>
        <v>15590</v>
      </c>
    </row>
    <row r="21" spans="1:7">
      <c r="A21" s="637" t="s">
        <v>433</v>
      </c>
      <c r="B21" s="640" t="s">
        <v>873</v>
      </c>
      <c r="C21" s="639">
        <f t="shared" si="0"/>
        <v>15000</v>
      </c>
      <c r="D21" s="639"/>
      <c r="E21" s="639">
        <f>'ngay 27-11'!E17</f>
        <v>15000</v>
      </c>
    </row>
    <row r="22" spans="1:7" ht="33">
      <c r="A22" s="637" t="s">
        <v>433</v>
      </c>
      <c r="B22" s="640" t="s">
        <v>892</v>
      </c>
      <c r="C22" s="639">
        <f t="shared" si="0"/>
        <v>12500</v>
      </c>
      <c r="D22" s="639"/>
      <c r="E22" s="639">
        <f>'ngay 27-11'!E18</f>
        <v>12500</v>
      </c>
    </row>
    <row r="23" spans="1:7" ht="33">
      <c r="A23" s="637" t="s">
        <v>433</v>
      </c>
      <c r="B23" s="640" t="s">
        <v>893</v>
      </c>
      <c r="C23" s="639">
        <f t="shared" si="0"/>
        <v>467278</v>
      </c>
      <c r="D23" s="639">
        <f>'ngay 27-11'!F15</f>
        <v>343378</v>
      </c>
      <c r="E23" s="639">
        <f>'ngay 27-11'!M24</f>
        <v>123900</v>
      </c>
    </row>
    <row r="24" spans="1:7">
      <c r="A24" s="637" t="s">
        <v>470</v>
      </c>
      <c r="B24" s="640" t="s">
        <v>573</v>
      </c>
      <c r="C24" s="639">
        <f t="shared" si="0"/>
        <v>76300</v>
      </c>
      <c r="D24" s="639">
        <f>'Bieu 17'!D21</f>
        <v>76300</v>
      </c>
      <c r="E24" s="639"/>
    </row>
    <row r="25" spans="1:7" ht="66">
      <c r="A25" s="637">
        <v>2</v>
      </c>
      <c r="B25" s="638" t="s">
        <v>550</v>
      </c>
      <c r="C25" s="639">
        <f t="shared" si="0"/>
        <v>0</v>
      </c>
      <c r="D25" s="639"/>
      <c r="E25" s="639"/>
    </row>
    <row r="26" spans="1:7">
      <c r="A26" s="637">
        <v>3</v>
      </c>
      <c r="B26" s="638" t="s">
        <v>672</v>
      </c>
      <c r="C26" s="639">
        <f t="shared" si="0"/>
        <v>80000</v>
      </c>
      <c r="D26" s="639">
        <f>'ngay 27-11'!F30</f>
        <v>80000</v>
      </c>
      <c r="E26" s="639">
        <f>'ngay 27-11'!M30</f>
        <v>0</v>
      </c>
    </row>
    <row r="27" spans="1:7">
      <c r="A27" s="634" t="s">
        <v>18</v>
      </c>
      <c r="B27" s="635" t="s">
        <v>551</v>
      </c>
      <c r="C27" s="636">
        <f>D27+E27</f>
        <v>11543671</v>
      </c>
      <c r="D27" s="636">
        <f>SUM(D29:D41)</f>
        <v>4810547</v>
      </c>
      <c r="E27" s="636">
        <f>SUM(E29:E41)</f>
        <v>6733124</v>
      </c>
    </row>
    <row r="28" spans="1:7">
      <c r="A28" s="637"/>
      <c r="B28" s="640" t="s">
        <v>161</v>
      </c>
      <c r="C28" s="639"/>
      <c r="D28" s="639"/>
      <c r="E28" s="639"/>
    </row>
    <row r="29" spans="1:7" hidden="1">
      <c r="A29" s="641">
        <v>1</v>
      </c>
      <c r="B29" s="665" t="s">
        <v>110</v>
      </c>
      <c r="C29" s="639">
        <f>D29+E29</f>
        <v>182554</v>
      </c>
      <c r="D29" s="639">
        <f>'ngay 27-11'!F34</f>
        <v>73662</v>
      </c>
      <c r="E29" s="639">
        <f>'ngay 27-11'!M34</f>
        <v>108892</v>
      </c>
      <c r="G29" s="621"/>
    </row>
    <row r="30" spans="1:7" hidden="1">
      <c r="A30" s="641">
        <v>2</v>
      </c>
      <c r="B30" s="666" t="s">
        <v>388</v>
      </c>
      <c r="C30" s="639">
        <f t="shared" ref="C30:C46" si="1">D30+E30</f>
        <v>82512</v>
      </c>
      <c r="D30" s="639">
        <f>'ngay 27-11'!F42</f>
        <v>34752</v>
      </c>
      <c r="E30" s="639">
        <f>'ngay 27-11'!M42</f>
        <v>47760</v>
      </c>
      <c r="G30" s="621"/>
    </row>
    <row r="31" spans="1:7">
      <c r="A31" s="641">
        <v>1</v>
      </c>
      <c r="B31" s="666" t="s">
        <v>389</v>
      </c>
      <c r="C31" s="639">
        <f t="shared" si="1"/>
        <v>4328909</v>
      </c>
      <c r="D31" s="639">
        <f>'ngay 27-11'!F50</f>
        <v>1260884</v>
      </c>
      <c r="E31" s="639">
        <f>'ngay 27-11'!M50</f>
        <v>3068025</v>
      </c>
      <c r="G31" s="621"/>
    </row>
    <row r="32" spans="1:7">
      <c r="A32" s="641">
        <v>2</v>
      </c>
      <c r="B32" s="666" t="s">
        <v>60</v>
      </c>
      <c r="C32" s="639">
        <f t="shared" si="1"/>
        <v>1109456</v>
      </c>
      <c r="D32" s="639">
        <f>'ngay 27-11'!F72</f>
        <v>1053096</v>
      </c>
      <c r="E32" s="639">
        <f>'ngay 27-11'!M72</f>
        <v>56360</v>
      </c>
      <c r="G32" s="621"/>
    </row>
    <row r="33" spans="1:9">
      <c r="A33" s="641">
        <v>3</v>
      </c>
      <c r="B33" s="666" t="s">
        <v>390</v>
      </c>
      <c r="C33" s="639">
        <f t="shared" si="1"/>
        <v>40290</v>
      </c>
      <c r="D33" s="639">
        <f>'ngay 27-11'!F90</f>
        <v>37740</v>
      </c>
      <c r="E33" s="639">
        <f>'ngay 27-11'!M90</f>
        <v>2550</v>
      </c>
      <c r="G33" s="621"/>
    </row>
    <row r="34" spans="1:9">
      <c r="A34" s="641">
        <v>4</v>
      </c>
      <c r="B34" s="666" t="s">
        <v>391</v>
      </c>
      <c r="C34" s="639">
        <f t="shared" si="1"/>
        <v>217724</v>
      </c>
      <c r="D34" s="639">
        <f>'ngay 27-11'!F93</f>
        <v>141502</v>
      </c>
      <c r="E34" s="639">
        <f>'ngay 27-11'!M93</f>
        <v>76222</v>
      </c>
      <c r="G34" s="621"/>
    </row>
    <row r="35" spans="1:9">
      <c r="A35" s="641">
        <v>5</v>
      </c>
      <c r="B35" s="666" t="s">
        <v>392</v>
      </c>
      <c r="C35" s="639">
        <f t="shared" si="1"/>
        <v>48417</v>
      </c>
      <c r="D35" s="639">
        <f>'ngay 27-11'!F104</f>
        <v>19495</v>
      </c>
      <c r="E35" s="639">
        <f>'ngay 27-11'!M104</f>
        <v>28922</v>
      </c>
      <c r="G35" s="621"/>
    </row>
    <row r="36" spans="1:9">
      <c r="A36" s="641">
        <v>6</v>
      </c>
      <c r="B36" s="666" t="s">
        <v>393</v>
      </c>
      <c r="C36" s="639">
        <f t="shared" si="1"/>
        <v>86851</v>
      </c>
      <c r="D36" s="639">
        <f>'ngay 27-11'!F109</f>
        <v>61124</v>
      </c>
      <c r="E36" s="639">
        <f>'ngay 27-11'!M109</f>
        <v>25727</v>
      </c>
      <c r="G36" s="621"/>
    </row>
    <row r="37" spans="1:9">
      <c r="A37" s="641">
        <v>7</v>
      </c>
      <c r="B37" s="666" t="s">
        <v>394</v>
      </c>
      <c r="C37" s="639">
        <f t="shared" si="1"/>
        <v>1025896</v>
      </c>
      <c r="D37" s="639">
        <f>'ngay 27-11'!F118</f>
        <v>406973</v>
      </c>
      <c r="E37" s="639">
        <f>'ngay 27-11'!M118</f>
        <v>618923</v>
      </c>
      <c r="G37" s="621"/>
    </row>
    <row r="38" spans="1:9">
      <c r="A38" s="641">
        <v>8</v>
      </c>
      <c r="B38" s="666" t="s">
        <v>20</v>
      </c>
      <c r="C38" s="639">
        <f t="shared" si="1"/>
        <v>2034780</v>
      </c>
      <c r="D38" s="548">
        <f>'ngay 27-11'!F137</f>
        <v>927360</v>
      </c>
      <c r="E38" s="639">
        <f>'ngay 27-11'!M137+'ngay 27-11'!M215</f>
        <v>1107420</v>
      </c>
      <c r="G38" s="621"/>
    </row>
    <row r="39" spans="1:9">
      <c r="A39" s="641">
        <v>9</v>
      </c>
      <c r="B39" s="666" t="s">
        <v>131</v>
      </c>
      <c r="C39" s="639">
        <f t="shared" si="1"/>
        <v>171528</v>
      </c>
      <c r="D39" s="639">
        <f>'ngay 27-11'!F151</f>
        <v>102624</v>
      </c>
      <c r="E39" s="639">
        <f>'ngay 27-11'!M151</f>
        <v>68904</v>
      </c>
      <c r="G39" s="621"/>
    </row>
    <row r="40" spans="1:9">
      <c r="A40" s="641">
        <v>10</v>
      </c>
      <c r="B40" s="666" t="s">
        <v>659</v>
      </c>
      <c r="C40" s="639">
        <f t="shared" si="1"/>
        <v>2150852</v>
      </c>
      <c r="D40" s="639">
        <f>'ngay 27-11'!F156</f>
        <v>650667</v>
      </c>
      <c r="E40" s="639">
        <f>'ngay 27-11'!M156</f>
        <v>1500185</v>
      </c>
      <c r="G40" s="621"/>
    </row>
    <row r="41" spans="1:9">
      <c r="A41" s="641">
        <v>11</v>
      </c>
      <c r="B41" s="666" t="s">
        <v>397</v>
      </c>
      <c r="C41" s="639">
        <f t="shared" si="1"/>
        <v>63902</v>
      </c>
      <c r="D41" s="639">
        <f>'ngay 27-11'!F169</f>
        <v>40668</v>
      </c>
      <c r="E41" s="639">
        <f>'ngay 27-11'!M169</f>
        <v>23234</v>
      </c>
      <c r="G41" s="621"/>
    </row>
    <row r="42" spans="1:9" ht="33">
      <c r="A42" s="634" t="s">
        <v>196</v>
      </c>
      <c r="B42" s="635" t="s">
        <v>763</v>
      </c>
      <c r="C42" s="636">
        <f t="shared" si="1"/>
        <v>11901</v>
      </c>
      <c r="D42" s="636">
        <f>'Bieu 17'!D44</f>
        <v>11901</v>
      </c>
      <c r="E42" s="636"/>
      <c r="G42" s="621"/>
    </row>
    <row r="43" spans="1:9">
      <c r="A43" s="634" t="s">
        <v>197</v>
      </c>
      <c r="B43" s="635" t="s">
        <v>877</v>
      </c>
      <c r="C43" s="636">
        <f t="shared" si="1"/>
        <v>1450</v>
      </c>
      <c r="D43" s="636">
        <f>'ngay 27-11'!F213</f>
        <v>1450</v>
      </c>
      <c r="E43" s="636"/>
      <c r="G43" s="621"/>
    </row>
    <row r="44" spans="1:9">
      <c r="A44" s="634" t="s">
        <v>419</v>
      </c>
      <c r="B44" s="635" t="s">
        <v>552</v>
      </c>
      <c r="C44" s="636">
        <f t="shared" si="1"/>
        <v>512325</v>
      </c>
      <c r="D44" s="636">
        <f>'ngay 27-11'!F175</f>
        <v>406081</v>
      </c>
      <c r="E44" s="636">
        <f>'ngay 27-11'!M175</f>
        <v>106244</v>
      </c>
      <c r="G44" s="621"/>
    </row>
    <row r="45" spans="1:9">
      <c r="A45" s="634" t="s">
        <v>422</v>
      </c>
      <c r="B45" s="635" t="s">
        <v>693</v>
      </c>
      <c r="C45" s="636">
        <f t="shared" si="1"/>
        <v>3032462</v>
      </c>
      <c r="D45" s="636">
        <f>'ngay 27-11'!F194</f>
        <v>2802514</v>
      </c>
      <c r="E45" s="636">
        <f>'ngay 27-11'!M194</f>
        <v>229948</v>
      </c>
      <c r="G45" s="621"/>
      <c r="I45" s="621"/>
    </row>
    <row r="46" spans="1:9" ht="33">
      <c r="A46" s="634" t="s">
        <v>423</v>
      </c>
      <c r="B46" s="635" t="s">
        <v>671</v>
      </c>
      <c r="C46" s="636">
        <f t="shared" si="1"/>
        <v>39449</v>
      </c>
      <c r="D46" s="636"/>
      <c r="E46" s="636">
        <f>'ngay 27-11'!M174</f>
        <v>39449</v>
      </c>
      <c r="G46" s="621"/>
      <c r="I46" s="621"/>
    </row>
    <row r="47" spans="1:9">
      <c r="A47" s="634" t="s">
        <v>13</v>
      </c>
      <c r="B47" s="642" t="s">
        <v>553</v>
      </c>
      <c r="C47" s="636">
        <f>C48+C55</f>
        <v>2464674</v>
      </c>
      <c r="D47" s="636">
        <f>D48+D55</f>
        <v>2357164</v>
      </c>
      <c r="E47" s="636">
        <f>E48+E55</f>
        <v>107510</v>
      </c>
    </row>
    <row r="48" spans="1:9">
      <c r="A48" s="634" t="s">
        <v>17</v>
      </c>
      <c r="B48" s="635" t="s">
        <v>554</v>
      </c>
      <c r="C48" s="636">
        <f>C49+C52</f>
        <v>472921</v>
      </c>
      <c r="D48" s="636">
        <f>D49+D52</f>
        <v>472921</v>
      </c>
      <c r="E48" s="636"/>
    </row>
    <row r="49" spans="1:5">
      <c r="A49" s="634">
        <v>1</v>
      </c>
      <c r="B49" s="638" t="s">
        <v>874</v>
      </c>
      <c r="C49" s="639">
        <f t="shared" ref="C49:C77" si="2">D49+E49</f>
        <v>226021</v>
      </c>
      <c r="D49" s="639">
        <f>D50+D51</f>
        <v>226021</v>
      </c>
      <c r="E49" s="639"/>
    </row>
    <row r="50" spans="1:5">
      <c r="A50" s="634"/>
      <c r="B50" s="640" t="s">
        <v>557</v>
      </c>
      <c r="C50" s="639">
        <f t="shared" si="2"/>
        <v>192854</v>
      </c>
      <c r="D50" s="639">
        <f>'Bieu 17'!D52</f>
        <v>192854</v>
      </c>
      <c r="E50" s="639"/>
    </row>
    <row r="51" spans="1:5">
      <c r="A51" s="634"/>
      <c r="B51" s="640" t="s">
        <v>558</v>
      </c>
      <c r="C51" s="639">
        <f t="shared" si="2"/>
        <v>33167</v>
      </c>
      <c r="D51" s="639">
        <f>'Bieu 17'!D53</f>
        <v>33167</v>
      </c>
      <c r="E51" s="639"/>
    </row>
    <row r="52" spans="1:5">
      <c r="A52" s="634">
        <v>2</v>
      </c>
      <c r="B52" s="638" t="s">
        <v>875</v>
      </c>
      <c r="C52" s="639">
        <f t="shared" si="2"/>
        <v>246900</v>
      </c>
      <c r="D52" s="639">
        <f>D53+D54</f>
        <v>246900</v>
      </c>
      <c r="E52" s="639">
        <f>E53+E54</f>
        <v>0</v>
      </c>
    </row>
    <row r="53" spans="1:5">
      <c r="A53" s="634"/>
      <c r="B53" s="640" t="s">
        <v>557</v>
      </c>
      <c r="C53" s="639">
        <f t="shared" si="2"/>
        <v>177100</v>
      </c>
      <c r="D53" s="639">
        <f>'Bieu 17'!D55</f>
        <v>177100</v>
      </c>
      <c r="E53" s="639"/>
    </row>
    <row r="54" spans="1:5">
      <c r="A54" s="634"/>
      <c r="B54" s="640" t="s">
        <v>558</v>
      </c>
      <c r="C54" s="639">
        <f t="shared" si="2"/>
        <v>69800</v>
      </c>
      <c r="D54" s="639">
        <f>'Bieu 17'!D56</f>
        <v>69800</v>
      </c>
      <c r="E54" s="639"/>
    </row>
    <row r="55" spans="1:5">
      <c r="A55" s="634" t="s">
        <v>18</v>
      </c>
      <c r="B55" s="635" t="s">
        <v>555</v>
      </c>
      <c r="C55" s="636">
        <f t="shared" si="2"/>
        <v>1991753</v>
      </c>
      <c r="D55" s="636">
        <f>D56+D60</f>
        <v>1884243</v>
      </c>
      <c r="E55" s="636">
        <f>E56+E60</f>
        <v>107510</v>
      </c>
    </row>
    <row r="56" spans="1:5">
      <c r="A56" s="634">
        <v>1</v>
      </c>
      <c r="B56" s="638" t="s">
        <v>559</v>
      </c>
      <c r="C56" s="639">
        <f t="shared" si="2"/>
        <v>1825177</v>
      </c>
      <c r="D56" s="639">
        <f>D57+D58+D59</f>
        <v>1717667</v>
      </c>
      <c r="E56" s="639">
        <f>E57+E58+E59</f>
        <v>107510</v>
      </c>
    </row>
    <row r="57" spans="1:5">
      <c r="A57" s="634"/>
      <c r="B57" s="640" t="s">
        <v>560</v>
      </c>
      <c r="C57" s="639">
        <f t="shared" si="2"/>
        <v>489799</v>
      </c>
      <c r="D57" s="639">
        <f>'ngay 27-11'!F12</f>
        <v>489799</v>
      </c>
      <c r="E57" s="639">
        <f>'ngay 27-11'!M12</f>
        <v>0</v>
      </c>
    </row>
    <row r="58" spans="1:5">
      <c r="A58" s="634"/>
      <c r="B58" s="640" t="s">
        <v>561</v>
      </c>
      <c r="C58" s="639">
        <f t="shared" si="2"/>
        <v>972378</v>
      </c>
      <c r="D58" s="639">
        <f>'ngay 27-11'!F14-D59</f>
        <v>864868</v>
      </c>
      <c r="E58" s="639">
        <f>'ngay 27-11'!M14</f>
        <v>107510</v>
      </c>
    </row>
    <row r="59" spans="1:5">
      <c r="A59" s="634"/>
      <c r="B59" s="640" t="s">
        <v>562</v>
      </c>
      <c r="C59" s="639">
        <f t="shared" si="2"/>
        <v>363000</v>
      </c>
      <c r="D59" s="639">
        <v>363000</v>
      </c>
      <c r="E59" s="639"/>
    </row>
    <row r="60" spans="1:5">
      <c r="A60" s="634">
        <v>2</v>
      </c>
      <c r="B60" s="638" t="s">
        <v>563</v>
      </c>
      <c r="C60" s="639">
        <f t="shared" si="2"/>
        <v>166576</v>
      </c>
      <c r="D60" s="639">
        <f>D61+D69+D76</f>
        <v>166576</v>
      </c>
      <c r="E60" s="639">
        <f>E61+E69+E76</f>
        <v>0</v>
      </c>
    </row>
    <row r="61" spans="1:5">
      <c r="A61" s="634" t="s">
        <v>61</v>
      </c>
      <c r="B61" s="638" t="s">
        <v>482</v>
      </c>
      <c r="C61" s="639">
        <f t="shared" si="2"/>
        <v>49988</v>
      </c>
      <c r="D61" s="639">
        <f>SUM(D62:D68)</f>
        <v>49988</v>
      </c>
      <c r="E61" s="639">
        <f>SUM(E62:E68)</f>
        <v>0</v>
      </c>
    </row>
    <row r="62" spans="1:5">
      <c r="A62" s="634"/>
      <c r="B62" s="640" t="s">
        <v>565</v>
      </c>
      <c r="C62" s="639">
        <f t="shared" si="2"/>
        <v>4535</v>
      </c>
      <c r="D62" s="639">
        <f>'ngay 27-11'!F178</f>
        <v>4535</v>
      </c>
      <c r="E62" s="639">
        <f>'ngay 27-11'!M178</f>
        <v>0</v>
      </c>
    </row>
    <row r="63" spans="1:5">
      <c r="A63" s="634"/>
      <c r="B63" s="640" t="s">
        <v>571</v>
      </c>
      <c r="C63" s="639">
        <f t="shared" si="2"/>
        <v>25000</v>
      </c>
      <c r="D63" s="639">
        <f>'ngay 27-11'!F179</f>
        <v>25000</v>
      </c>
      <c r="E63" s="639">
        <f>'ngay 27-11'!M179</f>
        <v>0</v>
      </c>
    </row>
    <row r="64" spans="1:5" ht="33">
      <c r="A64" s="634"/>
      <c r="B64" s="640" t="s">
        <v>570</v>
      </c>
      <c r="C64" s="639">
        <f t="shared" si="2"/>
        <v>5782</v>
      </c>
      <c r="D64" s="639">
        <f>'ngay 27-11'!F180</f>
        <v>5782</v>
      </c>
      <c r="E64" s="639">
        <f>'ngay 27-11'!M180</f>
        <v>0</v>
      </c>
    </row>
    <row r="65" spans="1:5" ht="49.5">
      <c r="A65" s="634"/>
      <c r="B65" s="640" t="s">
        <v>567</v>
      </c>
      <c r="C65" s="639">
        <f t="shared" si="2"/>
        <v>2000</v>
      </c>
      <c r="D65" s="639">
        <f>'ngay 27-11'!F181</f>
        <v>2000</v>
      </c>
      <c r="E65" s="639">
        <f>'ngay 27-11'!M181</f>
        <v>0</v>
      </c>
    </row>
    <row r="66" spans="1:5">
      <c r="A66" s="634"/>
      <c r="B66" s="640" t="s">
        <v>568</v>
      </c>
      <c r="C66" s="639">
        <f t="shared" si="2"/>
        <v>1293</v>
      </c>
      <c r="D66" s="639">
        <f>'ngay 27-11'!F182</f>
        <v>1293</v>
      </c>
      <c r="E66" s="639">
        <f>'ngay 27-11'!M182</f>
        <v>0</v>
      </c>
    </row>
    <row r="67" spans="1:5">
      <c r="A67" s="634"/>
      <c r="B67" s="640" t="s">
        <v>569</v>
      </c>
      <c r="C67" s="639">
        <f t="shared" si="2"/>
        <v>8988</v>
      </c>
      <c r="D67" s="639">
        <f>'ngay 27-11'!F183</f>
        <v>8988</v>
      </c>
      <c r="E67" s="639">
        <f>'ngay 27-11'!M183</f>
        <v>0</v>
      </c>
    </row>
    <row r="68" spans="1:5" ht="33">
      <c r="A68" s="634"/>
      <c r="B68" s="640" t="s">
        <v>566</v>
      </c>
      <c r="C68" s="639">
        <f t="shared" si="2"/>
        <v>2390</v>
      </c>
      <c r="D68" s="639">
        <f>'ngay 27-11'!F184</f>
        <v>2390</v>
      </c>
      <c r="E68" s="639">
        <f>'ngay 27-11'!M184</f>
        <v>0</v>
      </c>
    </row>
    <row r="69" spans="1:5">
      <c r="A69" s="637" t="s">
        <v>63</v>
      </c>
      <c r="B69" s="638" t="s">
        <v>564</v>
      </c>
      <c r="C69" s="639">
        <f t="shared" si="2"/>
        <v>37098</v>
      </c>
      <c r="D69" s="639">
        <f>'ngay 27-11'!F185</f>
        <v>37098</v>
      </c>
      <c r="E69" s="639">
        <f>'ngay 27-11'!M185</f>
        <v>0</v>
      </c>
    </row>
    <row r="70" spans="1:5" hidden="1">
      <c r="A70" s="637"/>
      <c r="B70" s="640" t="s">
        <v>894</v>
      </c>
      <c r="C70" s="639">
        <f t="shared" si="2"/>
        <v>600</v>
      </c>
      <c r="D70" s="659">
        <v>600</v>
      </c>
      <c r="E70" s="639"/>
    </row>
    <row r="71" spans="1:5" hidden="1">
      <c r="A71" s="637"/>
      <c r="B71" s="640" t="s">
        <v>895</v>
      </c>
      <c r="C71" s="639">
        <f t="shared" si="2"/>
        <v>485</v>
      </c>
      <c r="D71" s="659">
        <v>485</v>
      </c>
      <c r="E71" s="639"/>
    </row>
    <row r="72" spans="1:5" hidden="1">
      <c r="A72" s="637"/>
      <c r="B72" s="640" t="s">
        <v>896</v>
      </c>
      <c r="C72" s="639">
        <f t="shared" si="2"/>
        <v>100</v>
      </c>
      <c r="D72" s="659">
        <v>100</v>
      </c>
      <c r="E72" s="639"/>
    </row>
    <row r="73" spans="1:5" hidden="1">
      <c r="A73" s="637"/>
      <c r="B73" s="640" t="s">
        <v>897</v>
      </c>
      <c r="C73" s="639">
        <f t="shared" si="2"/>
        <v>980</v>
      </c>
      <c r="D73" s="659">
        <v>980</v>
      </c>
      <c r="E73" s="639"/>
    </row>
    <row r="74" spans="1:5" ht="49.5" hidden="1">
      <c r="A74" s="637"/>
      <c r="B74" s="640" t="s">
        <v>898</v>
      </c>
      <c r="C74" s="639">
        <f t="shared" si="2"/>
        <v>20000</v>
      </c>
      <c r="D74" s="659">
        <v>20000</v>
      </c>
      <c r="E74" s="639"/>
    </row>
    <row r="75" spans="1:5" ht="33" hidden="1">
      <c r="A75" s="637"/>
      <c r="B75" s="640" t="s">
        <v>899</v>
      </c>
      <c r="C75" s="639">
        <f t="shared" si="2"/>
        <v>14933</v>
      </c>
      <c r="D75" s="659">
        <v>14933</v>
      </c>
      <c r="E75" s="639"/>
    </row>
    <row r="76" spans="1:5">
      <c r="A76" s="637" t="s">
        <v>64</v>
      </c>
      <c r="B76" s="638" t="s">
        <v>560</v>
      </c>
      <c r="C76" s="639">
        <f t="shared" si="2"/>
        <v>79490</v>
      </c>
      <c r="D76" s="639">
        <f>'ngay 27-11'!F190</f>
        <v>79490</v>
      </c>
      <c r="E76" s="639">
        <f>'ngay 27-11'!M190</f>
        <v>0</v>
      </c>
    </row>
    <row r="77" spans="1:5" hidden="1">
      <c r="A77" s="634" t="s">
        <v>273</v>
      </c>
      <c r="B77" s="433" t="s">
        <v>556</v>
      </c>
      <c r="C77" s="636">
        <f t="shared" si="2"/>
        <v>0</v>
      </c>
      <c r="D77" s="636"/>
      <c r="E77" s="636">
        <f>'ngay 27-11'!M214</f>
        <v>0</v>
      </c>
    </row>
    <row r="78" spans="1:5">
      <c r="A78" s="644"/>
      <c r="B78" s="644"/>
      <c r="C78" s="644"/>
      <c r="D78" s="644"/>
      <c r="E78" s="644"/>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8" workbookViewId="0">
      <selection activeCell="H32" sqref="H32"/>
    </sheetView>
  </sheetViews>
  <sheetFormatPr defaultColWidth="9.140625" defaultRowHeight="16.5"/>
  <cols>
    <col min="1" max="1" width="5.28515625" style="589" customWidth="1"/>
    <col min="2" max="2" width="69.28515625" style="589" customWidth="1"/>
    <col min="3" max="3" width="16.140625" style="589" customWidth="1"/>
    <col min="4" max="4" width="10" style="589" bestFit="1" customWidth="1"/>
    <col min="5" max="16384" width="9.140625" style="589"/>
  </cols>
  <sheetData>
    <row r="1" spans="1:5" ht="25.5" customHeight="1">
      <c r="A1" s="1028" t="s">
        <v>901</v>
      </c>
      <c r="B1" s="1028"/>
    </row>
    <row r="2" spans="1:5">
      <c r="A2" s="1005" t="s">
        <v>967</v>
      </c>
      <c r="B2" s="1005"/>
      <c r="C2" s="1005"/>
    </row>
    <row r="3" spans="1:5" ht="28.5" customHeight="1">
      <c r="A3" s="1030" t="s">
        <v>643</v>
      </c>
      <c r="B3" s="1030"/>
      <c r="C3" s="1030"/>
    </row>
    <row r="4" spans="1:5">
      <c r="A4" s="1006" t="s">
        <v>1002</v>
      </c>
      <c r="B4" s="1006"/>
      <c r="C4" s="1006"/>
      <c r="D4" s="748"/>
      <c r="E4" s="748"/>
    </row>
    <row r="5" spans="1:5" ht="17.25" thickBot="1">
      <c r="A5" s="1031" t="s">
        <v>199</v>
      </c>
      <c r="B5" s="1031"/>
      <c r="C5" s="1031"/>
    </row>
    <row r="6" spans="1:5" ht="37.5" customHeight="1" thickBot="1">
      <c r="A6" s="610" t="s">
        <v>11</v>
      </c>
      <c r="B6" s="586" t="s">
        <v>289</v>
      </c>
      <c r="C6" s="586" t="s">
        <v>472</v>
      </c>
    </row>
    <row r="7" spans="1:5" ht="17.25" thickBot="1">
      <c r="A7" s="591" t="s">
        <v>12</v>
      </c>
      <c r="B7" s="590" t="s">
        <v>13</v>
      </c>
      <c r="C7" s="590">
        <v>1</v>
      </c>
    </row>
    <row r="8" spans="1:5">
      <c r="A8" s="592"/>
      <c r="B8" s="593" t="s">
        <v>383</v>
      </c>
      <c r="C8" s="662">
        <f>C9+C10+C47</f>
        <v>11915602</v>
      </c>
    </row>
    <row r="9" spans="1:5">
      <c r="A9" s="594" t="s">
        <v>12</v>
      </c>
      <c r="B9" s="595" t="s">
        <v>777</v>
      </c>
      <c r="C9" s="663">
        <v>2775849</v>
      </c>
    </row>
    <row r="10" spans="1:5">
      <c r="A10" s="594" t="s">
        <v>13</v>
      </c>
      <c r="B10" s="595" t="s">
        <v>649</v>
      </c>
      <c r="C10" s="663">
        <f>C11+C28+C43+C44+C45+C46</f>
        <v>9139753</v>
      </c>
      <c r="D10" s="680">
        <f>C10-'Biểu 49'!D10</f>
        <v>0</v>
      </c>
    </row>
    <row r="11" spans="1:5">
      <c r="A11" s="594" t="s">
        <v>17</v>
      </c>
      <c r="B11" s="595" t="s">
        <v>778</v>
      </c>
      <c r="C11" s="663">
        <f>C12+C26+C27</f>
        <v>1107260</v>
      </c>
    </row>
    <row r="12" spans="1:5">
      <c r="A12" s="597">
        <v>1</v>
      </c>
      <c r="B12" s="596" t="s">
        <v>596</v>
      </c>
      <c r="C12" s="661">
        <f>'Biểu 49'!D12</f>
        <v>1027260</v>
      </c>
    </row>
    <row r="13" spans="1:5" hidden="1">
      <c r="A13" s="597" t="s">
        <v>257</v>
      </c>
      <c r="B13" s="596" t="s">
        <v>545</v>
      </c>
      <c r="C13" s="661"/>
    </row>
    <row r="14" spans="1:5" hidden="1">
      <c r="A14" s="597" t="s">
        <v>257</v>
      </c>
      <c r="B14" s="596" t="s">
        <v>597</v>
      </c>
      <c r="C14" s="661"/>
    </row>
    <row r="15" spans="1:5" hidden="1">
      <c r="A15" s="597" t="s">
        <v>257</v>
      </c>
      <c r="B15" s="596" t="s">
        <v>110</v>
      </c>
      <c r="C15" s="661"/>
    </row>
    <row r="16" spans="1:5" hidden="1">
      <c r="A16" s="597" t="s">
        <v>257</v>
      </c>
      <c r="B16" s="596" t="s">
        <v>598</v>
      </c>
      <c r="C16" s="661"/>
    </row>
    <row r="17" spans="1:3" hidden="1">
      <c r="A17" s="597" t="s">
        <v>257</v>
      </c>
      <c r="B17" s="596" t="s">
        <v>599</v>
      </c>
      <c r="C17" s="661"/>
    </row>
    <row r="18" spans="1:3" hidden="1">
      <c r="A18" s="597" t="s">
        <v>257</v>
      </c>
      <c r="B18" s="596" t="s">
        <v>600</v>
      </c>
      <c r="C18" s="661"/>
    </row>
    <row r="19" spans="1:3" hidden="1">
      <c r="A19" s="597" t="s">
        <v>257</v>
      </c>
      <c r="B19" s="596" t="s">
        <v>601</v>
      </c>
      <c r="C19" s="661"/>
    </row>
    <row r="20" spans="1:3" hidden="1">
      <c r="A20" s="597" t="s">
        <v>257</v>
      </c>
      <c r="B20" s="596" t="s">
        <v>602</v>
      </c>
      <c r="C20" s="661"/>
    </row>
    <row r="21" spans="1:3" hidden="1">
      <c r="A21" s="597" t="s">
        <v>257</v>
      </c>
      <c r="B21" s="596" t="s">
        <v>603</v>
      </c>
      <c r="C21" s="661"/>
    </row>
    <row r="22" spans="1:3" hidden="1">
      <c r="A22" s="597" t="s">
        <v>257</v>
      </c>
      <c r="B22" s="596" t="s">
        <v>604</v>
      </c>
      <c r="C22" s="661"/>
    </row>
    <row r="23" spans="1:3" hidden="1">
      <c r="A23" s="597" t="s">
        <v>257</v>
      </c>
      <c r="B23" s="596" t="s">
        <v>605</v>
      </c>
      <c r="C23" s="661"/>
    </row>
    <row r="24" spans="1:3" hidden="1">
      <c r="A24" s="597" t="s">
        <v>257</v>
      </c>
      <c r="B24" s="596" t="s">
        <v>606</v>
      </c>
      <c r="C24" s="661"/>
    </row>
    <row r="25" spans="1:3" hidden="1">
      <c r="A25" s="597" t="s">
        <v>257</v>
      </c>
      <c r="B25" s="596" t="s">
        <v>607</v>
      </c>
      <c r="C25" s="661"/>
    </row>
    <row r="26" spans="1:3" ht="33">
      <c r="A26" s="597">
        <v>2</v>
      </c>
      <c r="B26" s="596" t="s">
        <v>648</v>
      </c>
      <c r="C26" s="661"/>
    </row>
    <row r="27" spans="1:3">
      <c r="A27" s="597">
        <v>3</v>
      </c>
      <c r="B27" s="596" t="s">
        <v>426</v>
      </c>
      <c r="C27" s="661">
        <f>'Biểu 49'!D26</f>
        <v>80000</v>
      </c>
    </row>
    <row r="28" spans="1:3">
      <c r="A28" s="594" t="s">
        <v>18</v>
      </c>
      <c r="B28" s="595" t="s">
        <v>551</v>
      </c>
      <c r="C28" s="663">
        <f>SUM(C30:C42)</f>
        <v>4810547</v>
      </c>
    </row>
    <row r="29" spans="1:3">
      <c r="A29" s="594"/>
      <c r="B29" s="916" t="s">
        <v>161</v>
      </c>
      <c r="C29" s="663"/>
    </row>
    <row r="30" spans="1:3" hidden="1">
      <c r="A30" s="921">
        <v>1</v>
      </c>
      <c r="B30" s="919" t="s">
        <v>110</v>
      </c>
      <c r="C30" s="661">
        <f>'Biểu 49'!D29</f>
        <v>73662</v>
      </c>
    </row>
    <row r="31" spans="1:3" hidden="1">
      <c r="A31" s="921">
        <v>2</v>
      </c>
      <c r="B31" s="920" t="s">
        <v>388</v>
      </c>
      <c r="C31" s="661">
        <f>'Biểu 49'!D30</f>
        <v>34752</v>
      </c>
    </row>
    <row r="32" spans="1:3">
      <c r="A32" s="921">
        <v>1</v>
      </c>
      <c r="B32" s="920" t="s">
        <v>389</v>
      </c>
      <c r="C32" s="661">
        <f>'Biểu 49'!D31</f>
        <v>1260884</v>
      </c>
    </row>
    <row r="33" spans="1:3">
      <c r="A33" s="921">
        <v>2</v>
      </c>
      <c r="B33" s="920" t="s">
        <v>60</v>
      </c>
      <c r="C33" s="661">
        <f>'Biểu 49'!D32</f>
        <v>1053096</v>
      </c>
    </row>
    <row r="34" spans="1:3">
      <c r="A34" s="921">
        <v>3</v>
      </c>
      <c r="B34" s="920" t="s">
        <v>390</v>
      </c>
      <c r="C34" s="661">
        <f>'Biểu 49'!D33</f>
        <v>37740</v>
      </c>
    </row>
    <row r="35" spans="1:3">
      <c r="A35" s="921">
        <v>4</v>
      </c>
      <c r="B35" s="920" t="s">
        <v>391</v>
      </c>
      <c r="C35" s="661">
        <f>'Biểu 49'!D34</f>
        <v>141502</v>
      </c>
    </row>
    <row r="36" spans="1:3">
      <c r="A36" s="921">
        <v>5</v>
      </c>
      <c r="B36" s="920" t="s">
        <v>392</v>
      </c>
      <c r="C36" s="661">
        <f>'Biểu 49'!D35</f>
        <v>19495</v>
      </c>
    </row>
    <row r="37" spans="1:3">
      <c r="A37" s="921">
        <v>6</v>
      </c>
      <c r="B37" s="920" t="s">
        <v>393</v>
      </c>
      <c r="C37" s="661">
        <f>'Biểu 49'!D36</f>
        <v>61124</v>
      </c>
    </row>
    <row r="38" spans="1:3">
      <c r="A38" s="921">
        <v>7</v>
      </c>
      <c r="B38" s="920" t="s">
        <v>394</v>
      </c>
      <c r="C38" s="661">
        <f>'Biểu 49'!D37</f>
        <v>406973</v>
      </c>
    </row>
    <row r="39" spans="1:3">
      <c r="A39" s="921">
        <v>8</v>
      </c>
      <c r="B39" s="920" t="s">
        <v>20</v>
      </c>
      <c r="C39" s="661">
        <f>'Biểu 49'!D38</f>
        <v>927360</v>
      </c>
    </row>
    <row r="40" spans="1:3">
      <c r="A40" s="921">
        <v>9</v>
      </c>
      <c r="B40" s="920" t="s">
        <v>131</v>
      </c>
      <c r="C40" s="661">
        <f>'Biểu 49'!D39</f>
        <v>102624</v>
      </c>
    </row>
    <row r="41" spans="1:3">
      <c r="A41" s="921">
        <v>10</v>
      </c>
      <c r="B41" s="920" t="s">
        <v>659</v>
      </c>
      <c r="C41" s="661">
        <f>'Biểu 49'!D40</f>
        <v>650667</v>
      </c>
    </row>
    <row r="42" spans="1:3">
      <c r="A42" s="921">
        <v>11</v>
      </c>
      <c r="B42" s="920" t="s">
        <v>397</v>
      </c>
      <c r="C42" s="661">
        <f>'Biểu 49'!D41</f>
        <v>40668</v>
      </c>
    </row>
    <row r="43" spans="1:3">
      <c r="A43" s="594" t="s">
        <v>196</v>
      </c>
      <c r="B43" s="595" t="s">
        <v>763</v>
      </c>
      <c r="C43" s="663">
        <f>'Biểu 49'!D42</f>
        <v>11901</v>
      </c>
    </row>
    <row r="44" spans="1:3">
      <c r="A44" s="594" t="s">
        <v>197</v>
      </c>
      <c r="B44" s="595" t="s">
        <v>572</v>
      </c>
      <c r="C44" s="663">
        <f>'Biểu 49'!D43</f>
        <v>1450</v>
      </c>
    </row>
    <row r="45" spans="1:3">
      <c r="A45" s="594" t="s">
        <v>419</v>
      </c>
      <c r="B45" s="595" t="s">
        <v>552</v>
      </c>
      <c r="C45" s="663">
        <f>'Biểu 49'!D44</f>
        <v>406081</v>
      </c>
    </row>
    <row r="46" spans="1:3">
      <c r="A46" s="594" t="s">
        <v>422</v>
      </c>
      <c r="B46" s="595" t="s">
        <v>693</v>
      </c>
      <c r="C46" s="663">
        <f>'Biểu 49'!D45</f>
        <v>2802514</v>
      </c>
    </row>
    <row r="47" spans="1:3" ht="17.25" thickBot="1">
      <c r="A47" s="598" t="s">
        <v>273</v>
      </c>
      <c r="B47" s="599" t="s">
        <v>556</v>
      </c>
      <c r="C47" s="664">
        <f>'Biểu 49'!D77</f>
        <v>0</v>
      </c>
    </row>
    <row r="48" spans="1:3" ht="38.25" hidden="1" customHeight="1">
      <c r="A48" s="1032" t="s">
        <v>608</v>
      </c>
      <c r="B48" s="1032"/>
      <c r="C48" s="1032"/>
    </row>
    <row r="49" spans="1:3" ht="84.75" hidden="1" customHeight="1">
      <c r="A49" s="1029" t="s">
        <v>609</v>
      </c>
      <c r="B49" s="1029"/>
      <c r="C49" s="1029"/>
    </row>
    <row r="50" spans="1:3" ht="54" hidden="1" customHeight="1">
      <c r="A50" s="1029" t="s">
        <v>610</v>
      </c>
      <c r="B50" s="1029"/>
      <c r="C50" s="1029"/>
    </row>
    <row r="51" spans="1:3" ht="19.5" customHeight="1">
      <c r="A51" s="608"/>
    </row>
    <row r="52" spans="1:3" ht="19.5" customHeight="1"/>
    <row r="53" spans="1:3" ht="24.75" customHeight="1"/>
  </sheetData>
  <mergeCells count="8">
    <mergeCell ref="A1:B1"/>
    <mergeCell ref="A49:C49"/>
    <mergeCell ref="A50:C50"/>
    <mergeCell ref="A2:C2"/>
    <mergeCell ref="A3:C3"/>
    <mergeCell ref="A4:C4"/>
    <mergeCell ref="A5:C5"/>
    <mergeCell ref="A48:C48"/>
  </mergeCells>
  <pageMargins left="0.70866141732283472" right="0" top="0.74803149606299213" bottom="0.55118110236220474" header="0.31496062992125984" footer="0.31496062992125984"/>
  <pageSetup paperSize="9" orientation="portrait" r:id="rId1"/>
  <headerFooter>
    <oddHeader>&amp;R&amp;D/&amp;T</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38"/>
  <sheetViews>
    <sheetView workbookViewId="0">
      <selection activeCell="P4" sqref="P4"/>
    </sheetView>
  </sheetViews>
  <sheetFormatPr defaultRowHeight="12.75"/>
  <cols>
    <col min="1" max="1" width="5.140625" customWidth="1"/>
    <col min="2" max="2" width="30.42578125" customWidth="1"/>
  </cols>
  <sheetData>
    <row r="1" spans="1:14" ht="25.5" customHeight="1">
      <c r="A1" s="1035" t="s">
        <v>1007</v>
      </c>
      <c r="B1" s="1035"/>
      <c r="C1" s="1035"/>
      <c r="D1" s="922"/>
      <c r="E1" s="922"/>
      <c r="F1" s="923"/>
      <c r="G1" s="923"/>
      <c r="H1" s="923"/>
      <c r="I1" s="923"/>
      <c r="J1" s="924"/>
      <c r="K1" s="924"/>
      <c r="L1" s="1036" t="s">
        <v>1008</v>
      </c>
      <c r="M1" s="1036"/>
      <c r="N1" s="1036"/>
    </row>
    <row r="2" spans="1:14" ht="31.5" customHeight="1">
      <c r="A2" s="1037" t="s">
        <v>1009</v>
      </c>
      <c r="B2" s="1037"/>
      <c r="C2" s="1037"/>
      <c r="D2" s="1037"/>
      <c r="E2" s="1037"/>
      <c r="F2" s="1037"/>
      <c r="G2" s="1037"/>
      <c r="H2" s="1037"/>
      <c r="I2" s="1037"/>
      <c r="J2" s="1037"/>
      <c r="K2" s="1037"/>
      <c r="L2" s="1037"/>
      <c r="M2" s="1037"/>
      <c r="N2" s="1037"/>
    </row>
    <row r="3" spans="1:14" ht="15.75">
      <c r="A3" s="925"/>
      <c r="B3" s="926"/>
      <c r="C3" s="927"/>
      <c r="D3" s="927"/>
      <c r="E3" s="927"/>
      <c r="F3" s="928"/>
      <c r="G3" s="928"/>
      <c r="H3" s="928"/>
      <c r="I3" s="928"/>
      <c r="J3" s="929"/>
      <c r="K3" s="929"/>
      <c r="L3" s="1038" t="s">
        <v>1010</v>
      </c>
      <c r="M3" s="1038"/>
      <c r="N3" s="1038"/>
    </row>
    <row r="4" spans="1:14" ht="15.75">
      <c r="A4" s="1039" t="s">
        <v>378</v>
      </c>
      <c r="B4" s="1040" t="s">
        <v>1011</v>
      </c>
      <c r="C4" s="1040" t="s">
        <v>1012</v>
      </c>
      <c r="D4" s="1033" t="s">
        <v>1013</v>
      </c>
      <c r="E4" s="1043"/>
      <c r="F4" s="1043"/>
      <c r="G4" s="1043"/>
      <c r="H4" s="1043"/>
      <c r="I4" s="1043"/>
      <c r="J4" s="1043"/>
      <c r="K4" s="1043"/>
      <c r="L4" s="1043"/>
      <c r="M4" s="1043"/>
      <c r="N4" s="1034"/>
    </row>
    <row r="5" spans="1:14" ht="15.75">
      <c r="A5" s="1039"/>
      <c r="B5" s="1041"/>
      <c r="C5" s="1041"/>
      <c r="D5" s="1040" t="s">
        <v>1014</v>
      </c>
      <c r="E5" s="1040" t="s">
        <v>1015</v>
      </c>
      <c r="F5" s="1040" t="s">
        <v>1016</v>
      </c>
      <c r="G5" s="1040" t="s">
        <v>1017</v>
      </c>
      <c r="H5" s="1040" t="s">
        <v>1018</v>
      </c>
      <c r="I5" s="1040" t="s">
        <v>1019</v>
      </c>
      <c r="J5" s="1040" t="s">
        <v>1020</v>
      </c>
      <c r="K5" s="1033" t="s">
        <v>1021</v>
      </c>
      <c r="L5" s="1034"/>
      <c r="M5" s="1040" t="s">
        <v>1022</v>
      </c>
      <c r="N5" s="1040" t="s">
        <v>1023</v>
      </c>
    </row>
    <row r="6" spans="1:14" ht="126">
      <c r="A6" s="1039"/>
      <c r="B6" s="1042"/>
      <c r="C6" s="1042"/>
      <c r="D6" s="1042"/>
      <c r="E6" s="1042"/>
      <c r="F6" s="1042"/>
      <c r="G6" s="1042"/>
      <c r="H6" s="1042"/>
      <c r="I6" s="1042"/>
      <c r="J6" s="1042"/>
      <c r="K6" s="930" t="s">
        <v>1024</v>
      </c>
      <c r="L6" s="930" t="s">
        <v>1025</v>
      </c>
      <c r="M6" s="1042"/>
      <c r="N6" s="1042"/>
    </row>
    <row r="7" spans="1:14" ht="15.75">
      <c r="A7" s="957" t="s">
        <v>12</v>
      </c>
      <c r="B7" s="930" t="s">
        <v>13</v>
      </c>
      <c r="C7" s="930">
        <v>1</v>
      </c>
      <c r="D7" s="930">
        <v>2</v>
      </c>
      <c r="E7" s="930">
        <v>3</v>
      </c>
      <c r="F7" s="930">
        <v>4</v>
      </c>
      <c r="G7" s="930">
        <v>5</v>
      </c>
      <c r="H7" s="930">
        <v>6</v>
      </c>
      <c r="I7" s="930">
        <v>7</v>
      </c>
      <c r="J7" s="930">
        <v>8</v>
      </c>
      <c r="K7" s="930">
        <v>9</v>
      </c>
      <c r="L7" s="930">
        <v>10</v>
      </c>
      <c r="M7" s="930">
        <v>11</v>
      </c>
      <c r="N7" s="930">
        <v>12</v>
      </c>
    </row>
    <row r="8" spans="1:14" ht="15.75">
      <c r="A8" s="931"/>
      <c r="B8" s="932" t="s">
        <v>1026</v>
      </c>
      <c r="C8" s="933">
        <f t="shared" ref="C8:N8" si="0">SUM(C10:C38)</f>
        <v>272081</v>
      </c>
      <c r="D8" s="933">
        <f t="shared" si="0"/>
        <v>16806</v>
      </c>
      <c r="E8" s="933">
        <f t="shared" si="0"/>
        <v>2400</v>
      </c>
      <c r="F8" s="933">
        <f t="shared" si="0"/>
        <v>16456</v>
      </c>
      <c r="G8" s="933">
        <f t="shared" si="0"/>
        <v>8500</v>
      </c>
      <c r="H8" s="933">
        <f t="shared" si="0"/>
        <v>3000</v>
      </c>
      <c r="I8" s="933">
        <f t="shared" si="0"/>
        <v>600</v>
      </c>
      <c r="J8" s="933">
        <f t="shared" si="0"/>
        <v>132009</v>
      </c>
      <c r="K8" s="933">
        <f t="shared" si="0"/>
        <v>115499</v>
      </c>
      <c r="L8" s="933">
        <f t="shared" si="0"/>
        <v>9110</v>
      </c>
      <c r="M8" s="933">
        <f t="shared" si="0"/>
        <v>23300</v>
      </c>
      <c r="N8" s="933">
        <f t="shared" si="0"/>
        <v>6000</v>
      </c>
    </row>
    <row r="9" spans="1:14" ht="15.75">
      <c r="A9" s="931"/>
      <c r="B9" s="934" t="s">
        <v>1013</v>
      </c>
      <c r="C9" s="933"/>
      <c r="D9" s="933"/>
      <c r="E9" s="933"/>
      <c r="F9" s="933"/>
      <c r="G9" s="933"/>
      <c r="H9" s="933"/>
      <c r="I9" s="933"/>
      <c r="J9" s="933"/>
      <c r="K9" s="933"/>
      <c r="L9" s="933"/>
      <c r="M9" s="933"/>
      <c r="N9" s="933"/>
    </row>
    <row r="10" spans="1:14" ht="25.5" hidden="1" customHeight="1">
      <c r="A10" s="935">
        <v>1</v>
      </c>
      <c r="B10" s="936" t="s">
        <v>1027</v>
      </c>
      <c r="C10" s="937">
        <f>400+238+1000</f>
        <v>1638</v>
      </c>
      <c r="D10" s="937"/>
      <c r="E10" s="937"/>
      <c r="F10" s="938"/>
      <c r="G10" s="938"/>
      <c r="H10" s="938"/>
      <c r="I10" s="938"/>
      <c r="J10" s="937"/>
      <c r="K10" s="937"/>
      <c r="L10" s="937"/>
      <c r="M10" s="937"/>
      <c r="N10" s="937"/>
    </row>
    <row r="11" spans="1:14" ht="24" hidden="1" customHeight="1">
      <c r="A11" s="939">
        <v>2</v>
      </c>
      <c r="B11" s="940" t="s">
        <v>864</v>
      </c>
      <c r="C11" s="941">
        <v>500</v>
      </c>
      <c r="D11" s="941"/>
      <c r="E11" s="941"/>
      <c r="F11" s="942"/>
      <c r="G11" s="942"/>
      <c r="H11" s="942"/>
      <c r="I11" s="942"/>
      <c r="J11" s="941"/>
      <c r="K11" s="941"/>
      <c r="L11" s="941"/>
      <c r="M11" s="941"/>
      <c r="N11" s="941"/>
    </row>
    <row r="12" spans="1:14" ht="25.5" hidden="1" customHeight="1">
      <c r="A12" s="939">
        <v>3</v>
      </c>
      <c r="B12" s="940" t="s">
        <v>882</v>
      </c>
      <c r="C12" s="941">
        <f>2000+6900</f>
        <v>8900</v>
      </c>
      <c r="D12" s="941"/>
      <c r="E12" s="941"/>
      <c r="F12" s="942"/>
      <c r="G12" s="942"/>
      <c r="H12" s="942"/>
      <c r="I12" s="942"/>
      <c r="J12" s="941"/>
      <c r="K12" s="941"/>
      <c r="L12" s="941"/>
      <c r="M12" s="941">
        <v>6900</v>
      </c>
      <c r="N12" s="941"/>
    </row>
    <row r="13" spans="1:14" ht="26.25" customHeight="1">
      <c r="A13" s="939">
        <v>1</v>
      </c>
      <c r="B13" s="943" t="s">
        <v>1028</v>
      </c>
      <c r="C13" s="944">
        <f>1000+3700+3000+2500+12799+12000+1100+1000+1500+1000</f>
        <v>39599</v>
      </c>
      <c r="D13" s="944">
        <f>1000+3700</f>
        <v>4700</v>
      </c>
      <c r="E13" s="944"/>
      <c r="F13" s="945">
        <v>3000</v>
      </c>
      <c r="G13" s="945">
        <v>2500</v>
      </c>
      <c r="H13" s="945"/>
      <c r="I13" s="945"/>
      <c r="J13" s="944">
        <f>12799+12000+1100</f>
        <v>25899</v>
      </c>
      <c r="K13" s="944">
        <f>12799+12000</f>
        <v>24799</v>
      </c>
      <c r="L13" s="944"/>
      <c r="M13" s="944">
        <v>1000</v>
      </c>
      <c r="N13" s="944">
        <v>1500</v>
      </c>
    </row>
    <row r="14" spans="1:14" ht="24.75" customHeight="1">
      <c r="A14" s="939">
        <v>2</v>
      </c>
      <c r="B14" s="943" t="s">
        <v>809</v>
      </c>
      <c r="C14" s="944">
        <f>3000+2996+3000+3110+400</f>
        <v>12506</v>
      </c>
      <c r="D14" s="944">
        <v>12106</v>
      </c>
      <c r="E14" s="944"/>
      <c r="F14" s="945"/>
      <c r="G14" s="945"/>
      <c r="H14" s="945"/>
      <c r="I14" s="945"/>
      <c r="J14" s="944"/>
      <c r="K14" s="944"/>
      <c r="L14" s="944"/>
      <c r="M14" s="944">
        <v>400</v>
      </c>
      <c r="N14" s="944"/>
    </row>
    <row r="15" spans="1:14" ht="27" customHeight="1">
      <c r="A15" s="939">
        <v>3</v>
      </c>
      <c r="B15" s="940" t="s">
        <v>811</v>
      </c>
      <c r="C15" s="941">
        <v>2400</v>
      </c>
      <c r="D15" s="941"/>
      <c r="E15" s="941">
        <v>2400</v>
      </c>
      <c r="F15" s="942"/>
      <c r="G15" s="942"/>
      <c r="H15" s="942"/>
      <c r="I15" s="942"/>
      <c r="J15" s="941"/>
      <c r="K15" s="941"/>
      <c r="L15" s="941"/>
      <c r="M15" s="941"/>
      <c r="N15" s="941"/>
    </row>
    <row r="16" spans="1:14" ht="18.75" customHeight="1">
      <c r="A16" s="939">
        <v>4</v>
      </c>
      <c r="B16" s="946" t="s">
        <v>806</v>
      </c>
      <c r="C16" s="944">
        <v>11956</v>
      </c>
      <c r="D16" s="944"/>
      <c r="E16" s="944"/>
      <c r="F16" s="944">
        <f>956+3000+1000+1000+1500+1500+1500+1500</f>
        <v>11956</v>
      </c>
      <c r="G16" s="944"/>
      <c r="H16" s="944"/>
      <c r="I16" s="944"/>
      <c r="J16" s="944"/>
      <c r="K16" s="944"/>
      <c r="L16" s="944"/>
      <c r="M16" s="944"/>
      <c r="N16" s="944"/>
    </row>
    <row r="17" spans="1:14" ht="25.5" customHeight="1">
      <c r="A17" s="939">
        <v>5</v>
      </c>
      <c r="B17" s="940" t="s">
        <v>1029</v>
      </c>
      <c r="C17" s="941">
        <v>1500</v>
      </c>
      <c r="D17" s="941"/>
      <c r="E17" s="941"/>
      <c r="F17" s="942">
        <v>1500</v>
      </c>
      <c r="G17" s="942"/>
      <c r="H17" s="942"/>
      <c r="I17" s="942"/>
      <c r="J17" s="941"/>
      <c r="K17" s="941"/>
      <c r="L17" s="941"/>
      <c r="M17" s="941"/>
      <c r="N17" s="941"/>
    </row>
    <row r="18" spans="1:14" ht="24" customHeight="1">
      <c r="A18" s="939">
        <v>6</v>
      </c>
      <c r="B18" s="940" t="s">
        <v>1030</v>
      </c>
      <c r="C18" s="941">
        <f>1500+500+2000+600+5772</f>
        <v>10372</v>
      </c>
      <c r="D18" s="941"/>
      <c r="E18" s="941"/>
      <c r="F18" s="942"/>
      <c r="G18" s="942">
        <f>2000+2000</f>
        <v>4000</v>
      </c>
      <c r="H18" s="942"/>
      <c r="I18" s="942">
        <v>600</v>
      </c>
      <c r="J18" s="941"/>
      <c r="K18" s="941"/>
      <c r="L18" s="941"/>
      <c r="M18" s="941"/>
      <c r="N18" s="941"/>
    </row>
    <row r="19" spans="1:14" ht="24" customHeight="1">
      <c r="A19" s="939">
        <v>7</v>
      </c>
      <c r="B19" s="940" t="s">
        <v>1031</v>
      </c>
      <c r="C19" s="941">
        <v>1000</v>
      </c>
      <c r="D19" s="941"/>
      <c r="E19" s="941"/>
      <c r="F19" s="942"/>
      <c r="G19" s="942">
        <v>1000</v>
      </c>
      <c r="H19" s="942"/>
      <c r="I19" s="942"/>
      <c r="J19" s="941"/>
      <c r="K19" s="941"/>
      <c r="L19" s="941"/>
      <c r="M19" s="941"/>
      <c r="N19" s="941"/>
    </row>
    <row r="20" spans="1:14" ht="24.75" customHeight="1">
      <c r="A20" s="939">
        <v>8</v>
      </c>
      <c r="B20" s="947" t="s">
        <v>800</v>
      </c>
      <c r="C20" s="948">
        <v>1000</v>
      </c>
      <c r="D20" s="948"/>
      <c r="E20" s="948"/>
      <c r="F20" s="949"/>
      <c r="G20" s="949">
        <v>1000</v>
      </c>
      <c r="H20" s="949"/>
      <c r="I20" s="949"/>
      <c r="J20" s="948"/>
      <c r="K20" s="948"/>
      <c r="L20" s="948"/>
      <c r="M20" s="948"/>
      <c r="N20" s="948"/>
    </row>
    <row r="21" spans="1:14" ht="24.75" customHeight="1">
      <c r="A21" s="939">
        <v>9</v>
      </c>
      <c r="B21" s="940" t="s">
        <v>1032</v>
      </c>
      <c r="C21" s="941">
        <v>3000</v>
      </c>
      <c r="D21" s="941"/>
      <c r="E21" s="941"/>
      <c r="F21" s="942"/>
      <c r="G21" s="942"/>
      <c r="H21" s="942">
        <v>3000</v>
      </c>
      <c r="I21" s="942"/>
      <c r="J21" s="941"/>
      <c r="K21" s="941"/>
      <c r="L21" s="941"/>
      <c r="M21" s="941"/>
      <c r="N21" s="941"/>
    </row>
    <row r="22" spans="1:14" ht="24.75" customHeight="1">
      <c r="A22" s="939">
        <v>10</v>
      </c>
      <c r="B22" s="940" t="s">
        <v>1033</v>
      </c>
      <c r="C22" s="941">
        <f>300+800+2000</f>
        <v>3100</v>
      </c>
      <c r="D22" s="941"/>
      <c r="E22" s="941"/>
      <c r="F22" s="942"/>
      <c r="G22" s="942"/>
      <c r="H22" s="942"/>
      <c r="I22" s="942"/>
      <c r="J22" s="941"/>
      <c r="K22" s="941"/>
      <c r="L22" s="941"/>
      <c r="M22" s="941">
        <f>300+800+2000</f>
        <v>3100</v>
      </c>
      <c r="N22" s="941"/>
    </row>
    <row r="23" spans="1:14" ht="22.5" customHeight="1">
      <c r="A23" s="939">
        <v>11</v>
      </c>
      <c r="B23" s="940" t="s">
        <v>1034</v>
      </c>
      <c r="C23" s="941">
        <f>60+100+250+400+1000+500+3000+500+500</f>
        <v>6310</v>
      </c>
      <c r="D23" s="941"/>
      <c r="E23" s="941"/>
      <c r="F23" s="942"/>
      <c r="G23" s="942"/>
      <c r="H23" s="942"/>
      <c r="I23" s="942"/>
      <c r="J23" s="941">
        <f>810+1000+500+3000</f>
        <v>5310</v>
      </c>
      <c r="K23" s="941"/>
      <c r="L23" s="941">
        <f>810+1000+500+3000</f>
        <v>5310</v>
      </c>
      <c r="M23" s="941">
        <v>500</v>
      </c>
      <c r="N23" s="941"/>
    </row>
    <row r="24" spans="1:14" ht="40.5" customHeight="1">
      <c r="A24" s="939">
        <v>12</v>
      </c>
      <c r="B24" s="940" t="s">
        <v>1035</v>
      </c>
      <c r="C24" s="941">
        <f>1000+1100</f>
        <v>2100</v>
      </c>
      <c r="D24" s="941"/>
      <c r="E24" s="941"/>
      <c r="F24" s="942"/>
      <c r="G24" s="942"/>
      <c r="H24" s="942"/>
      <c r="I24" s="942"/>
      <c r="J24" s="941">
        <v>1000</v>
      </c>
      <c r="K24" s="941"/>
      <c r="L24" s="941">
        <v>1000</v>
      </c>
      <c r="M24" s="941"/>
      <c r="N24" s="941"/>
    </row>
    <row r="25" spans="1:14" ht="38.25" customHeight="1">
      <c r="A25" s="939">
        <v>13</v>
      </c>
      <c r="B25" s="940" t="s">
        <v>1036</v>
      </c>
      <c r="C25" s="941">
        <f>2800+4000+5000</f>
        <v>11800</v>
      </c>
      <c r="D25" s="941"/>
      <c r="E25" s="941"/>
      <c r="F25" s="942"/>
      <c r="G25" s="942"/>
      <c r="H25" s="942"/>
      <c r="I25" s="942"/>
      <c r="J25" s="941">
        <f>2800+5000</f>
        <v>7800</v>
      </c>
      <c r="K25" s="941">
        <v>5000</v>
      </c>
      <c r="L25" s="941">
        <v>2800</v>
      </c>
      <c r="M25" s="941"/>
      <c r="N25" s="941"/>
    </row>
    <row r="26" spans="1:14" ht="24" customHeight="1">
      <c r="A26" s="939">
        <v>14</v>
      </c>
      <c r="B26" s="940" t="s">
        <v>812</v>
      </c>
      <c r="C26" s="941">
        <f>2700+800</f>
        <v>3500</v>
      </c>
      <c r="D26" s="941"/>
      <c r="E26" s="941"/>
      <c r="F26" s="942"/>
      <c r="G26" s="942"/>
      <c r="H26" s="942"/>
      <c r="I26" s="942"/>
      <c r="J26" s="941">
        <v>2700</v>
      </c>
      <c r="K26" s="941">
        <v>2700</v>
      </c>
      <c r="L26" s="941"/>
      <c r="M26" s="941">
        <v>800</v>
      </c>
      <c r="N26" s="941"/>
    </row>
    <row r="27" spans="1:14" ht="24.75" customHeight="1">
      <c r="A27" s="939">
        <v>15</v>
      </c>
      <c r="B27" s="940" t="s">
        <v>1037</v>
      </c>
      <c r="C27" s="941">
        <f>2000+6000+4300+44000+6300+30000</f>
        <v>92600</v>
      </c>
      <c r="D27" s="941"/>
      <c r="E27" s="941"/>
      <c r="F27" s="942"/>
      <c r="G27" s="942"/>
      <c r="H27" s="942"/>
      <c r="I27" s="942"/>
      <c r="J27" s="941">
        <f>2000+6000+36300</f>
        <v>44300</v>
      </c>
      <c r="K27" s="941">
        <f>2000+6000+30000</f>
        <v>38000</v>
      </c>
      <c r="L27" s="941"/>
      <c r="M27" s="941">
        <v>4300</v>
      </c>
      <c r="N27" s="941"/>
    </row>
    <row r="28" spans="1:14" ht="35.25" customHeight="1">
      <c r="A28" s="939">
        <v>16</v>
      </c>
      <c r="B28" s="940" t="s">
        <v>1038</v>
      </c>
      <c r="C28" s="941">
        <f>10000+35000</f>
        <v>45000</v>
      </c>
      <c r="D28" s="941"/>
      <c r="E28" s="941"/>
      <c r="F28" s="942"/>
      <c r="G28" s="942"/>
      <c r="H28" s="942"/>
      <c r="I28" s="942"/>
      <c r="J28" s="941">
        <f>10000+35000</f>
        <v>45000</v>
      </c>
      <c r="K28" s="941">
        <f>10000+35000</f>
        <v>45000</v>
      </c>
      <c r="L28" s="941"/>
      <c r="M28" s="941"/>
      <c r="N28" s="941"/>
    </row>
    <row r="29" spans="1:14" ht="25.5" customHeight="1">
      <c r="A29" s="939">
        <v>17</v>
      </c>
      <c r="B29" s="940" t="s">
        <v>1039</v>
      </c>
      <c r="C29" s="941">
        <v>300</v>
      </c>
      <c r="D29" s="941"/>
      <c r="E29" s="941"/>
      <c r="F29" s="942"/>
      <c r="G29" s="942"/>
      <c r="H29" s="942"/>
      <c r="I29" s="942"/>
      <c r="J29" s="941"/>
      <c r="K29" s="941"/>
      <c r="L29" s="941"/>
      <c r="M29" s="941">
        <v>300</v>
      </c>
      <c r="N29" s="941"/>
    </row>
    <row r="30" spans="1:14" ht="29.25" customHeight="1">
      <c r="A30" s="939">
        <v>18</v>
      </c>
      <c r="B30" s="940" t="s">
        <v>1040</v>
      </c>
      <c r="C30" s="941">
        <v>200</v>
      </c>
      <c r="D30" s="941"/>
      <c r="E30" s="941"/>
      <c r="F30" s="942"/>
      <c r="G30" s="942"/>
      <c r="H30" s="942"/>
      <c r="I30" s="942"/>
      <c r="J30" s="941"/>
      <c r="K30" s="941"/>
      <c r="L30" s="941"/>
      <c r="M30" s="941">
        <v>200</v>
      </c>
      <c r="N30" s="941"/>
    </row>
    <row r="31" spans="1:14" ht="27" customHeight="1">
      <c r="A31" s="939">
        <v>19</v>
      </c>
      <c r="B31" s="940" t="s">
        <v>1041</v>
      </c>
      <c r="C31" s="941">
        <f>400+3000</f>
        <v>3400</v>
      </c>
      <c r="D31" s="941"/>
      <c r="E31" s="941"/>
      <c r="F31" s="942"/>
      <c r="G31" s="942"/>
      <c r="H31" s="942"/>
      <c r="I31" s="942"/>
      <c r="J31" s="941"/>
      <c r="K31" s="941"/>
      <c r="L31" s="941"/>
      <c r="M31" s="941">
        <v>400</v>
      </c>
      <c r="N31" s="941">
        <v>3000</v>
      </c>
    </row>
    <row r="32" spans="1:14" ht="29.25" customHeight="1">
      <c r="A32" s="939">
        <v>20</v>
      </c>
      <c r="B32" s="940" t="s">
        <v>1042</v>
      </c>
      <c r="C32" s="941">
        <v>400</v>
      </c>
      <c r="D32" s="941"/>
      <c r="E32" s="941"/>
      <c r="F32" s="942"/>
      <c r="G32" s="942"/>
      <c r="H32" s="942"/>
      <c r="I32" s="942"/>
      <c r="J32" s="941"/>
      <c r="K32" s="941"/>
      <c r="L32" s="941"/>
      <c r="M32" s="941">
        <v>400</v>
      </c>
      <c r="N32" s="941"/>
    </row>
    <row r="33" spans="1:14" ht="27.75" customHeight="1">
      <c r="A33" s="939">
        <v>21</v>
      </c>
      <c r="B33" s="940" t="s">
        <v>1043</v>
      </c>
      <c r="C33" s="941">
        <v>2200</v>
      </c>
      <c r="D33" s="941"/>
      <c r="E33" s="941"/>
      <c r="F33" s="942"/>
      <c r="G33" s="942"/>
      <c r="H33" s="942"/>
      <c r="I33" s="942"/>
      <c r="J33" s="941"/>
      <c r="K33" s="941"/>
      <c r="L33" s="941"/>
      <c r="M33" s="941">
        <v>2200</v>
      </c>
      <c r="N33" s="941"/>
    </row>
    <row r="34" spans="1:14" ht="36.75" customHeight="1">
      <c r="A34" s="939">
        <v>22</v>
      </c>
      <c r="B34" s="940" t="s">
        <v>1044</v>
      </c>
      <c r="C34" s="941">
        <v>700</v>
      </c>
      <c r="D34" s="941"/>
      <c r="E34" s="941"/>
      <c r="F34" s="942"/>
      <c r="G34" s="942"/>
      <c r="H34" s="942"/>
      <c r="I34" s="942"/>
      <c r="J34" s="941"/>
      <c r="K34" s="941"/>
      <c r="L34" s="941"/>
      <c r="M34" s="941">
        <v>700</v>
      </c>
      <c r="N34" s="941"/>
    </row>
    <row r="35" spans="1:14" ht="26.25" customHeight="1">
      <c r="A35" s="939">
        <v>23</v>
      </c>
      <c r="B35" s="940" t="s">
        <v>1045</v>
      </c>
      <c r="C35" s="941">
        <v>900</v>
      </c>
      <c r="D35" s="941"/>
      <c r="E35" s="941"/>
      <c r="F35" s="942"/>
      <c r="G35" s="942"/>
      <c r="H35" s="942"/>
      <c r="I35" s="942"/>
      <c r="J35" s="941"/>
      <c r="K35" s="941"/>
      <c r="L35" s="941"/>
      <c r="M35" s="941">
        <v>900</v>
      </c>
      <c r="N35" s="941"/>
    </row>
    <row r="36" spans="1:14" ht="30" customHeight="1">
      <c r="A36" s="939">
        <v>24</v>
      </c>
      <c r="B36" s="950" t="s">
        <v>1046</v>
      </c>
      <c r="C36" s="951">
        <v>1200</v>
      </c>
      <c r="D36" s="951"/>
      <c r="E36" s="951"/>
      <c r="F36" s="952"/>
      <c r="G36" s="952"/>
      <c r="H36" s="952"/>
      <c r="I36" s="952"/>
      <c r="J36" s="951"/>
      <c r="K36" s="951"/>
      <c r="L36" s="951"/>
      <c r="M36" s="951">
        <v>1200</v>
      </c>
      <c r="N36" s="951"/>
    </row>
    <row r="37" spans="1:14" ht="27" customHeight="1">
      <c r="A37" s="939">
        <v>25</v>
      </c>
      <c r="B37" s="940" t="s">
        <v>1047</v>
      </c>
      <c r="C37" s="941">
        <f>1500+1500</f>
        <v>3000</v>
      </c>
      <c r="D37" s="941"/>
      <c r="E37" s="941"/>
      <c r="F37" s="942"/>
      <c r="G37" s="942"/>
      <c r="H37" s="942"/>
      <c r="I37" s="942"/>
      <c r="J37" s="941"/>
      <c r="K37" s="941"/>
      <c r="L37" s="941"/>
      <c r="M37" s="941"/>
      <c r="N37" s="941">
        <v>1500</v>
      </c>
    </row>
    <row r="38" spans="1:14" ht="55.5" customHeight="1">
      <c r="A38" s="953">
        <v>26</v>
      </c>
      <c r="B38" s="954" t="s">
        <v>1048</v>
      </c>
      <c r="C38" s="955">
        <v>1000</v>
      </c>
      <c r="D38" s="955"/>
      <c r="E38" s="955"/>
      <c r="F38" s="956"/>
      <c r="G38" s="956"/>
      <c r="H38" s="956"/>
      <c r="I38" s="956"/>
      <c r="J38" s="955"/>
      <c r="K38" s="955"/>
      <c r="L38" s="955"/>
      <c r="M38" s="955"/>
      <c r="N38" s="955"/>
    </row>
  </sheetData>
  <mergeCells count="18">
    <mergeCell ref="I5:I6"/>
    <mergeCell ref="J5:J6"/>
    <mergeCell ref="K5:L5"/>
    <mergeCell ref="A1:C1"/>
    <mergeCell ref="L1:N1"/>
    <mergeCell ref="A2:N2"/>
    <mergeCell ref="L3:N3"/>
    <mergeCell ref="A4:A6"/>
    <mergeCell ref="B4:B6"/>
    <mergeCell ref="C4:C6"/>
    <mergeCell ref="D4:N4"/>
    <mergeCell ref="D5:D6"/>
    <mergeCell ref="E5:E6"/>
    <mergeCell ref="M5:M6"/>
    <mergeCell ref="N5:N6"/>
    <mergeCell ref="F5:F6"/>
    <mergeCell ref="G5:G6"/>
    <mergeCell ref="H5:H6"/>
  </mergeCells>
  <printOptions horizontalCentered="1"/>
  <pageMargins left="0" right="0"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29"/>
  <sheetViews>
    <sheetView topLeftCell="B1" workbookViewId="0">
      <selection activeCell="I19" sqref="I19"/>
    </sheetView>
  </sheetViews>
  <sheetFormatPr defaultColWidth="9.140625" defaultRowHeight="12"/>
  <cols>
    <col min="1" max="1" width="4.28515625" style="807" customWidth="1"/>
    <col min="2" max="2" width="27.5703125" style="807" customWidth="1"/>
    <col min="3" max="3" width="10.28515625" style="807" hidden="1" customWidth="1"/>
    <col min="4" max="14" width="9.140625" style="807"/>
    <col min="15" max="16" width="0" style="807" hidden="1" customWidth="1"/>
    <col min="17" max="17" width="9.140625" style="807"/>
    <col min="18" max="18" width="9.42578125" style="807" customWidth="1"/>
    <col min="19" max="19" width="9.140625" style="807"/>
    <col min="20" max="20" width="0" style="807" hidden="1" customWidth="1"/>
    <col min="21" max="21" width="9.140625" style="808"/>
    <col min="22" max="16384" width="9.140625" style="807"/>
  </cols>
  <sheetData>
    <row r="1" spans="1:21" ht="21.75" customHeight="1">
      <c r="A1" s="1044" t="s">
        <v>901</v>
      </c>
      <c r="B1" s="1044"/>
      <c r="C1" s="1044"/>
      <c r="D1" s="1044"/>
      <c r="Q1" s="1044" t="s">
        <v>997</v>
      </c>
      <c r="R1" s="1044"/>
      <c r="S1" s="1044"/>
      <c r="T1" s="1044"/>
    </row>
    <row r="2" spans="1:21" s="810" customFormat="1" ht="21.75" customHeight="1">
      <c r="A2" s="1047" t="s">
        <v>784</v>
      </c>
      <c r="B2" s="1047"/>
      <c r="C2" s="1047"/>
      <c r="D2" s="1047"/>
      <c r="E2" s="1047"/>
      <c r="F2" s="1047"/>
      <c r="G2" s="1047"/>
      <c r="H2" s="1047"/>
      <c r="I2" s="1047"/>
      <c r="J2" s="1047"/>
      <c r="K2" s="1047"/>
      <c r="L2" s="1047"/>
      <c r="M2" s="1047"/>
      <c r="N2" s="1047"/>
      <c r="O2" s="1047"/>
      <c r="P2" s="1047"/>
      <c r="Q2" s="1047"/>
      <c r="R2" s="1047"/>
      <c r="S2" s="1047"/>
      <c r="T2" s="1047"/>
      <c r="U2" s="809"/>
    </row>
    <row r="3" spans="1:21" s="810" customFormat="1" ht="24.75" customHeight="1">
      <c r="A3" s="1048" t="s">
        <v>1003</v>
      </c>
      <c r="B3" s="1048"/>
      <c r="C3" s="1048"/>
      <c r="D3" s="1048"/>
      <c r="E3" s="1048"/>
      <c r="F3" s="1048"/>
      <c r="G3" s="1048"/>
      <c r="H3" s="1048"/>
      <c r="I3" s="1048"/>
      <c r="J3" s="1048"/>
      <c r="K3" s="1048"/>
      <c r="L3" s="1048"/>
      <c r="M3" s="1048"/>
      <c r="N3" s="1048"/>
      <c r="O3" s="1048"/>
      <c r="P3" s="1048"/>
      <c r="Q3" s="1048"/>
      <c r="R3" s="1048"/>
      <c r="S3" s="1048"/>
      <c r="T3" s="1048"/>
      <c r="U3" s="809"/>
    </row>
    <row r="4" spans="1:21" ht="19.5" customHeight="1">
      <c r="Q4" s="1049" t="s">
        <v>903</v>
      </c>
      <c r="R4" s="1049"/>
      <c r="S4" s="1049"/>
      <c r="T4" s="858"/>
    </row>
    <row r="5" spans="1:21" ht="21" customHeight="1">
      <c r="A5" s="1045" t="s">
        <v>378</v>
      </c>
      <c r="B5" s="1045" t="s">
        <v>785</v>
      </c>
      <c r="C5" s="1045" t="s">
        <v>786</v>
      </c>
      <c r="D5" s="1045" t="s">
        <v>787</v>
      </c>
      <c r="E5" s="1045" t="s">
        <v>471</v>
      </c>
      <c r="F5" s="1045"/>
      <c r="G5" s="1045"/>
      <c r="H5" s="1045"/>
      <c r="I5" s="1045"/>
      <c r="J5" s="1045"/>
      <c r="K5" s="1045"/>
      <c r="L5" s="1045"/>
      <c r="M5" s="1045"/>
      <c r="N5" s="1045"/>
      <c r="O5" s="1045"/>
      <c r="P5" s="1045"/>
      <c r="Q5" s="1045"/>
      <c r="R5" s="1045"/>
      <c r="S5" s="1045"/>
      <c r="T5" s="850"/>
    </row>
    <row r="6" spans="1:21" ht="35.25" customHeight="1">
      <c r="A6" s="1045"/>
      <c r="B6" s="1045"/>
      <c r="C6" s="1045"/>
      <c r="D6" s="1045"/>
      <c r="E6" s="1045" t="s">
        <v>788</v>
      </c>
      <c r="F6" s="1045" t="s">
        <v>545</v>
      </c>
      <c r="G6" s="1045"/>
      <c r="H6" s="1045"/>
      <c r="I6" s="1046" t="s">
        <v>599</v>
      </c>
      <c r="J6" s="1045" t="s">
        <v>789</v>
      </c>
      <c r="K6" s="1045" t="s">
        <v>790</v>
      </c>
      <c r="L6" s="1045" t="s">
        <v>606</v>
      </c>
      <c r="M6" s="1045" t="s">
        <v>604</v>
      </c>
      <c r="N6" s="1045" t="s">
        <v>603</v>
      </c>
      <c r="O6" s="1045" t="s">
        <v>110</v>
      </c>
      <c r="P6" s="1045" t="s">
        <v>598</v>
      </c>
      <c r="Q6" s="1045" t="s">
        <v>791</v>
      </c>
      <c r="R6" s="1045" t="s">
        <v>792</v>
      </c>
      <c r="S6" s="1045" t="s">
        <v>793</v>
      </c>
      <c r="T6" s="1045" t="s">
        <v>794</v>
      </c>
    </row>
    <row r="7" spans="1:21" ht="126.75" customHeight="1">
      <c r="A7" s="1045"/>
      <c r="B7" s="1045"/>
      <c r="C7" s="1045"/>
      <c r="D7" s="1045"/>
      <c r="E7" s="1045"/>
      <c r="F7" s="861" t="s">
        <v>795</v>
      </c>
      <c r="G7" s="861" t="s">
        <v>717</v>
      </c>
      <c r="H7" s="861" t="s">
        <v>796</v>
      </c>
      <c r="I7" s="1046"/>
      <c r="J7" s="1045"/>
      <c r="K7" s="1045"/>
      <c r="L7" s="1045"/>
      <c r="M7" s="1045"/>
      <c r="N7" s="1045"/>
      <c r="O7" s="1045"/>
      <c r="P7" s="1045"/>
      <c r="Q7" s="1045"/>
      <c r="R7" s="1045"/>
      <c r="S7" s="1045"/>
      <c r="T7" s="1045"/>
    </row>
    <row r="8" spans="1:21" s="817" customFormat="1" ht="15.75" customHeight="1">
      <c r="A8" s="812"/>
      <c r="B8" s="813" t="s">
        <v>405</v>
      </c>
      <c r="C8" s="814" t="e">
        <f t="shared" ref="C8:T8" si="0">C9+C83</f>
        <v>#REF!</v>
      </c>
      <c r="D8" s="815">
        <f>D9+D83</f>
        <v>3628215.2491726973</v>
      </c>
      <c r="E8" s="815">
        <f>E9+E83</f>
        <v>610678.98940000008</v>
      </c>
      <c r="F8" s="815">
        <f>F9+F83</f>
        <v>765497.9639443903</v>
      </c>
      <c r="G8" s="815">
        <f>G9+G83</f>
        <v>217166.65599999999</v>
      </c>
      <c r="H8" s="815">
        <f>H9+H83</f>
        <v>982664.61994439026</v>
      </c>
      <c r="I8" s="815">
        <f t="shared" ref="I8:J8" si="1">I9+I83</f>
        <v>958949.29119999998</v>
      </c>
      <c r="J8" s="815">
        <f t="shared" si="1"/>
        <v>32650</v>
      </c>
      <c r="K8" s="815">
        <f t="shared" si="0"/>
        <v>168674.9936923077</v>
      </c>
      <c r="L8" s="815">
        <f t="shared" si="0"/>
        <v>137078.32800000001</v>
      </c>
      <c r="M8" s="815">
        <f t="shared" si="0"/>
        <v>467204.31493599998</v>
      </c>
      <c r="N8" s="815">
        <f t="shared" si="0"/>
        <v>54610.584000000003</v>
      </c>
      <c r="O8" s="815">
        <f t="shared" si="0"/>
        <v>53753</v>
      </c>
      <c r="P8" s="815">
        <f t="shared" si="0"/>
        <v>15349</v>
      </c>
      <c r="Q8" s="815">
        <f t="shared" si="0"/>
        <v>80000</v>
      </c>
      <c r="R8" s="815">
        <f t="shared" si="0"/>
        <v>16839.127999999997</v>
      </c>
      <c r="S8" s="815">
        <f t="shared" si="0"/>
        <v>49763</v>
      </c>
      <c r="T8" s="815">
        <f t="shared" si="0"/>
        <v>0</v>
      </c>
      <c r="U8" s="816"/>
    </row>
    <row r="9" spans="1:21" s="817" customFormat="1" ht="31.5" hidden="1">
      <c r="A9" s="818" t="s">
        <v>17</v>
      </c>
      <c r="B9" s="819" t="s">
        <v>797</v>
      </c>
      <c r="C9" s="820" t="e">
        <f>SUM(C11:C82)</f>
        <v>#REF!</v>
      </c>
      <c r="D9" s="821">
        <f>SUM(D11:D45)+SUM(D79:D82)</f>
        <v>2959493.1211726973</v>
      </c>
      <c r="E9" s="821">
        <f>SUM(E11:E45)+SUM(E79:E82)</f>
        <v>610678.98940000008</v>
      </c>
      <c r="F9" s="821">
        <f>SUM(F11:F45)+SUM(F79:F82)</f>
        <v>765497.9639443903</v>
      </c>
      <c r="G9" s="821">
        <f t="shared" ref="G9:T9" si="2">SUM(G11:G45)+SUM(G79:G82)</f>
        <v>208049.65599999999</v>
      </c>
      <c r="H9" s="821">
        <f>SUM(H11:H45)+SUM(H79:H82)</f>
        <v>973547.61994439026</v>
      </c>
      <c r="I9" s="821">
        <f>SUM(I11:I45)+SUM(I79:I82)</f>
        <v>507615.29119999998</v>
      </c>
      <c r="J9" s="821">
        <f t="shared" si="2"/>
        <v>32650</v>
      </c>
      <c r="K9" s="821">
        <f t="shared" si="2"/>
        <v>168354.9936923077</v>
      </c>
      <c r="L9" s="821">
        <f t="shared" si="2"/>
        <v>136578.32800000001</v>
      </c>
      <c r="M9" s="821">
        <f t="shared" si="2"/>
        <v>419173.31493599998</v>
      </c>
      <c r="N9" s="821">
        <f t="shared" si="2"/>
        <v>54210.584000000003</v>
      </c>
      <c r="O9" s="821">
        <f t="shared" si="2"/>
        <v>6257</v>
      </c>
      <c r="P9" s="821">
        <f t="shared" si="2"/>
        <v>1249</v>
      </c>
      <c r="Q9" s="821">
        <f t="shared" si="2"/>
        <v>0</v>
      </c>
      <c r="R9" s="821">
        <f t="shared" si="2"/>
        <v>0</v>
      </c>
      <c r="S9" s="821">
        <f t="shared" si="2"/>
        <v>49178</v>
      </c>
      <c r="T9" s="821">
        <f t="shared" si="2"/>
        <v>0</v>
      </c>
      <c r="U9" s="816"/>
    </row>
    <row r="10" spans="1:21" s="817" customFormat="1" ht="15.75">
      <c r="A10" s="818"/>
      <c r="B10" s="834" t="s">
        <v>161</v>
      </c>
      <c r="C10" s="820"/>
      <c r="D10" s="821"/>
      <c r="E10" s="821"/>
      <c r="F10" s="821"/>
      <c r="G10" s="821"/>
      <c r="H10" s="821"/>
      <c r="I10" s="821"/>
      <c r="J10" s="821"/>
      <c r="K10" s="821"/>
      <c r="L10" s="821"/>
      <c r="M10" s="821"/>
      <c r="N10" s="821"/>
      <c r="O10" s="821"/>
      <c r="P10" s="821"/>
      <c r="Q10" s="821"/>
      <c r="R10" s="821"/>
      <c r="S10" s="821"/>
      <c r="T10" s="821"/>
      <c r="U10" s="816"/>
    </row>
    <row r="11" spans="1:21" s="827" customFormat="1" ht="15.75">
      <c r="A11" s="822">
        <v>1</v>
      </c>
      <c r="B11" s="823" t="s">
        <v>798</v>
      </c>
      <c r="C11" s="824"/>
      <c r="D11" s="821">
        <f>SUM(E11:T11)-H11</f>
        <v>15404.851200000001</v>
      </c>
      <c r="E11" s="825">
        <v>15378.851200000001</v>
      </c>
      <c r="F11" s="825"/>
      <c r="G11" s="825"/>
      <c r="H11" s="825">
        <f>F11+G11</f>
        <v>0</v>
      </c>
      <c r="I11" s="825"/>
      <c r="J11" s="825"/>
      <c r="K11" s="825"/>
      <c r="L11" s="825"/>
      <c r="M11" s="825"/>
      <c r="N11" s="825"/>
      <c r="O11" s="825">
        <v>26</v>
      </c>
      <c r="P11" s="825"/>
      <c r="Q11" s="825"/>
      <c r="R11" s="825"/>
      <c r="S11" s="825"/>
      <c r="T11" s="825"/>
      <c r="U11" s="826"/>
    </row>
    <row r="12" spans="1:21" s="827" customFormat="1" ht="15.75">
      <c r="A12" s="822">
        <v>2</v>
      </c>
      <c r="B12" s="823" t="s">
        <v>799</v>
      </c>
      <c r="C12" s="828"/>
      <c r="D12" s="821">
        <f t="shared" ref="D12:D82" si="3">SUM(E12:T12)-H12</f>
        <v>26140.394199999999</v>
      </c>
      <c r="E12" s="825">
        <v>23050.194199999998</v>
      </c>
      <c r="F12" s="825"/>
      <c r="G12" s="825"/>
      <c r="H12" s="825">
        <f t="shared" ref="H12:H75" si="4">F12+G12</f>
        <v>0</v>
      </c>
      <c r="I12" s="825"/>
      <c r="J12" s="825"/>
      <c r="K12" s="825"/>
      <c r="L12" s="825"/>
      <c r="M12" s="825">
        <v>1064.2</v>
      </c>
      <c r="N12" s="825">
        <v>2000</v>
      </c>
      <c r="O12" s="825">
        <v>26</v>
      </c>
      <c r="P12" s="825"/>
      <c r="Q12" s="825"/>
      <c r="R12" s="825"/>
      <c r="S12" s="825"/>
      <c r="T12" s="825"/>
      <c r="U12" s="826"/>
    </row>
    <row r="13" spans="1:21" s="827" customFormat="1" ht="15.75">
      <c r="A13" s="822">
        <v>3</v>
      </c>
      <c r="B13" s="823" t="s">
        <v>800</v>
      </c>
      <c r="C13" s="828"/>
      <c r="D13" s="821">
        <f t="shared" si="3"/>
        <v>96913.002692307709</v>
      </c>
      <c r="E13" s="825">
        <v>77691.795000000013</v>
      </c>
      <c r="F13" s="825"/>
      <c r="G13" s="825"/>
      <c r="H13" s="825">
        <f t="shared" si="4"/>
        <v>0</v>
      </c>
      <c r="I13" s="825"/>
      <c r="J13" s="825"/>
      <c r="K13" s="825">
        <v>19195.207692307693</v>
      </c>
      <c r="L13" s="825"/>
      <c r="M13" s="825"/>
      <c r="N13" s="825"/>
      <c r="O13" s="825">
        <v>26</v>
      </c>
      <c r="P13" s="825"/>
      <c r="Q13" s="825"/>
      <c r="R13" s="825"/>
      <c r="S13" s="825"/>
      <c r="T13" s="825"/>
      <c r="U13" s="826"/>
    </row>
    <row r="14" spans="1:21" s="827" customFormat="1" ht="31.5">
      <c r="A14" s="822">
        <v>4</v>
      </c>
      <c r="B14" s="823" t="s">
        <v>801</v>
      </c>
      <c r="C14" s="828">
        <f>[2]HC!J29</f>
        <v>12589</v>
      </c>
      <c r="D14" s="821">
        <f t="shared" si="3"/>
        <v>187972.25880000001</v>
      </c>
      <c r="E14" s="825">
        <v>92620.574800000002</v>
      </c>
      <c r="F14" s="825"/>
      <c r="G14" s="825"/>
      <c r="H14" s="825">
        <f t="shared" si="4"/>
        <v>0</v>
      </c>
      <c r="I14" s="825"/>
      <c r="J14" s="825">
        <v>710</v>
      </c>
      <c r="K14" s="825"/>
      <c r="L14" s="825"/>
      <c r="M14" s="825">
        <v>67086.684000000008</v>
      </c>
      <c r="N14" s="825">
        <v>500</v>
      </c>
      <c r="O14" s="825">
        <v>55</v>
      </c>
      <c r="P14" s="825"/>
      <c r="Q14" s="825"/>
      <c r="R14" s="825"/>
      <c r="S14" s="825">
        <v>27000</v>
      </c>
      <c r="T14" s="825"/>
      <c r="U14" s="826"/>
    </row>
    <row r="15" spans="1:21" s="827" customFormat="1" ht="31.5">
      <c r="A15" s="822">
        <v>5</v>
      </c>
      <c r="B15" s="823" t="s">
        <v>802</v>
      </c>
      <c r="C15" s="828">
        <f>[2]HC!J42</f>
        <v>140</v>
      </c>
      <c r="D15" s="821">
        <f t="shared" si="3"/>
        <v>108131.96699999998</v>
      </c>
      <c r="E15" s="825">
        <v>11238.668</v>
      </c>
      <c r="F15" s="825">
        <v>143</v>
      </c>
      <c r="G15" s="825">
        <v>30942.686999999998</v>
      </c>
      <c r="H15" s="825">
        <f t="shared" si="4"/>
        <v>31085.686999999998</v>
      </c>
      <c r="I15" s="825"/>
      <c r="J15" s="825"/>
      <c r="K15" s="825"/>
      <c r="L15" s="825">
        <f>55951.612-500</f>
        <v>55451.612000000001</v>
      </c>
      <c r="M15" s="825"/>
      <c r="N15" s="825"/>
      <c r="O15" s="825">
        <v>39</v>
      </c>
      <c r="P15" s="825"/>
      <c r="Q15" s="825"/>
      <c r="R15" s="825"/>
      <c r="S15" s="825">
        <v>10317</v>
      </c>
      <c r="T15" s="825"/>
      <c r="U15" s="826"/>
    </row>
    <row r="16" spans="1:21" s="827" customFormat="1" ht="31.5">
      <c r="A16" s="822">
        <v>6</v>
      </c>
      <c r="B16" s="823" t="s">
        <v>803</v>
      </c>
      <c r="C16" s="828">
        <f>[2]HC!J77</f>
        <v>28</v>
      </c>
      <c r="D16" s="821">
        <f t="shared" si="3"/>
        <v>15292.0834</v>
      </c>
      <c r="E16" s="825">
        <v>9491.9697999999989</v>
      </c>
      <c r="F16" s="825"/>
      <c r="G16" s="825">
        <v>250</v>
      </c>
      <c r="H16" s="825">
        <f t="shared" si="4"/>
        <v>250</v>
      </c>
      <c r="I16" s="825"/>
      <c r="J16" s="825"/>
      <c r="K16" s="825"/>
      <c r="L16" s="825"/>
      <c r="M16" s="825">
        <v>4865.1135999999997</v>
      </c>
      <c r="N16" s="825">
        <v>685</v>
      </c>
      <c r="O16" s="825"/>
      <c r="P16" s="825"/>
      <c r="Q16" s="825"/>
      <c r="R16" s="825"/>
      <c r="S16" s="825"/>
      <c r="T16" s="825"/>
      <c r="U16" s="826"/>
    </row>
    <row r="17" spans="1:21" s="827" customFormat="1" ht="15.75">
      <c r="A17" s="822">
        <v>7</v>
      </c>
      <c r="B17" s="823" t="s">
        <v>804</v>
      </c>
      <c r="C17" s="828">
        <f>[2]HC!J68</f>
        <v>670</v>
      </c>
      <c r="D17" s="821">
        <f t="shared" si="3"/>
        <v>9196.0347359999996</v>
      </c>
      <c r="E17" s="825">
        <v>8459.6005999999998</v>
      </c>
      <c r="F17" s="825"/>
      <c r="G17" s="825"/>
      <c r="H17" s="825">
        <f t="shared" si="4"/>
        <v>0</v>
      </c>
      <c r="I17" s="825"/>
      <c r="J17" s="825"/>
      <c r="K17" s="825"/>
      <c r="L17" s="825"/>
      <c r="M17" s="825">
        <v>697.43413599999997</v>
      </c>
      <c r="N17" s="825"/>
      <c r="O17" s="825">
        <v>39</v>
      </c>
      <c r="P17" s="825"/>
      <c r="Q17" s="825"/>
      <c r="R17" s="825"/>
      <c r="S17" s="825"/>
      <c r="T17" s="825"/>
      <c r="U17" s="826"/>
    </row>
    <row r="18" spans="1:21" s="827" customFormat="1" ht="15.75">
      <c r="A18" s="822">
        <v>8</v>
      </c>
      <c r="B18" s="823" t="s">
        <v>805</v>
      </c>
      <c r="C18" s="828">
        <f>[2]HC!J50</f>
        <v>6617</v>
      </c>
      <c r="D18" s="821">
        <f t="shared" si="3"/>
        <v>64569.519</v>
      </c>
      <c r="E18" s="825">
        <v>9861.1810000000005</v>
      </c>
      <c r="F18" s="825"/>
      <c r="G18" s="825"/>
      <c r="H18" s="825">
        <f t="shared" si="4"/>
        <v>0</v>
      </c>
      <c r="I18" s="825"/>
      <c r="J18" s="825"/>
      <c r="K18" s="825"/>
      <c r="L18" s="825"/>
      <c r="M18" s="825">
        <v>30893.753999999997</v>
      </c>
      <c r="N18" s="825">
        <v>23775.583999999999</v>
      </c>
      <c r="O18" s="825">
        <v>39</v>
      </c>
      <c r="P18" s="825"/>
      <c r="Q18" s="825"/>
      <c r="R18" s="825"/>
      <c r="S18" s="825"/>
      <c r="T18" s="825"/>
      <c r="U18" s="826"/>
    </row>
    <row r="19" spans="1:21" s="827" customFormat="1" ht="15.75">
      <c r="A19" s="822">
        <v>9</v>
      </c>
      <c r="B19" s="823" t="s">
        <v>806</v>
      </c>
      <c r="C19" s="828">
        <f>[2]HC!J55+[2]YT!O6</f>
        <v>600</v>
      </c>
      <c r="D19" s="917">
        <f t="shared" si="3"/>
        <v>536938.04960000003</v>
      </c>
      <c r="E19" s="825">
        <v>11295.758400000001</v>
      </c>
      <c r="F19" s="825"/>
      <c r="G19" s="825"/>
      <c r="H19" s="825">
        <f t="shared" si="4"/>
        <v>0</v>
      </c>
      <c r="I19" s="918">
        <f>526615.2912-19000</f>
        <v>507615.29119999998</v>
      </c>
      <c r="J19" s="825"/>
      <c r="K19" s="825"/>
      <c r="L19" s="825"/>
      <c r="M19" s="825"/>
      <c r="N19" s="825">
        <v>9000</v>
      </c>
      <c r="O19" s="825">
        <v>39</v>
      </c>
      <c r="P19" s="825"/>
      <c r="Q19" s="825"/>
      <c r="R19" s="825"/>
      <c r="S19" s="825">
        <v>8988</v>
      </c>
      <c r="T19" s="825"/>
      <c r="U19" s="826"/>
    </row>
    <row r="20" spans="1:21" s="827" customFormat="1" ht="15.75">
      <c r="A20" s="822">
        <v>10</v>
      </c>
      <c r="B20" s="823" t="s">
        <v>807</v>
      </c>
      <c r="C20" s="828"/>
      <c r="D20" s="821">
        <f t="shared" si="3"/>
        <v>10473.125200000002</v>
      </c>
      <c r="E20" s="825">
        <v>6343.9372000000003</v>
      </c>
      <c r="F20" s="825"/>
      <c r="G20" s="825">
        <v>1348.3</v>
      </c>
      <c r="H20" s="825">
        <f t="shared" si="4"/>
        <v>1348.3</v>
      </c>
      <c r="I20" s="825"/>
      <c r="J20" s="825">
        <v>210</v>
      </c>
      <c r="K20" s="825"/>
      <c r="L20" s="825"/>
      <c r="M20" s="825">
        <v>2570.8879999999999</v>
      </c>
      <c r="N20" s="825"/>
      <c r="O20" s="825"/>
      <c r="P20" s="825"/>
      <c r="Q20" s="825"/>
      <c r="R20" s="825"/>
      <c r="S20" s="825"/>
      <c r="T20" s="825"/>
      <c r="U20" s="826"/>
    </row>
    <row r="21" spans="1:21" s="827" customFormat="1" ht="15.75">
      <c r="A21" s="822">
        <v>11</v>
      </c>
      <c r="B21" s="823" t="s">
        <v>808</v>
      </c>
      <c r="C21" s="828">
        <f>[2]HC!J62</f>
        <v>7000</v>
      </c>
      <c r="D21" s="821">
        <f t="shared" si="3"/>
        <v>21307.834199999998</v>
      </c>
      <c r="E21" s="825">
        <v>11733.9722</v>
      </c>
      <c r="F21" s="825"/>
      <c r="G21" s="825"/>
      <c r="H21" s="825">
        <f t="shared" si="4"/>
        <v>0</v>
      </c>
      <c r="I21" s="825"/>
      <c r="J21" s="825"/>
      <c r="K21" s="825"/>
      <c r="L21" s="825"/>
      <c r="M21" s="825">
        <v>9547.8619999999992</v>
      </c>
      <c r="N21" s="825"/>
      <c r="O21" s="825">
        <v>26</v>
      </c>
      <c r="P21" s="825"/>
      <c r="Q21" s="825"/>
      <c r="R21" s="825"/>
      <c r="S21" s="825"/>
      <c r="T21" s="825"/>
      <c r="U21" s="826"/>
    </row>
    <row r="22" spans="1:21" s="827" customFormat="1" ht="15.75">
      <c r="A22" s="822">
        <v>12</v>
      </c>
      <c r="B22" s="823" t="s">
        <v>809</v>
      </c>
      <c r="C22" s="828"/>
      <c r="D22" s="821">
        <f t="shared" si="3"/>
        <v>532969.94174439029</v>
      </c>
      <c r="E22" s="825">
        <v>7278.9777999999997</v>
      </c>
      <c r="F22" s="825">
        <v>525664.9639443903</v>
      </c>
      <c r="G22" s="825"/>
      <c r="H22" s="825">
        <f t="shared" si="4"/>
        <v>525664.9639443903</v>
      </c>
      <c r="I22" s="825"/>
      <c r="J22" s="825"/>
      <c r="K22" s="825"/>
      <c r="L22" s="825"/>
      <c r="M22" s="825"/>
      <c r="N22" s="825"/>
      <c r="O22" s="825">
        <v>26</v>
      </c>
      <c r="P22" s="825"/>
      <c r="Q22" s="825"/>
      <c r="R22" s="825"/>
      <c r="S22" s="825"/>
      <c r="T22" s="825"/>
      <c r="U22" s="826"/>
    </row>
    <row r="23" spans="1:21" s="827" customFormat="1" ht="16.5" customHeight="1">
      <c r="A23" s="822">
        <v>13</v>
      </c>
      <c r="B23" s="823" t="s">
        <v>810</v>
      </c>
      <c r="C23" s="828"/>
      <c r="D23" s="821">
        <f t="shared" si="3"/>
        <v>28190.858600000003</v>
      </c>
      <c r="E23" s="825">
        <v>24952.620600000002</v>
      </c>
      <c r="F23" s="825"/>
      <c r="G23" s="825">
        <v>2200</v>
      </c>
      <c r="H23" s="825">
        <f t="shared" si="4"/>
        <v>2200</v>
      </c>
      <c r="I23" s="825"/>
      <c r="J23" s="825"/>
      <c r="K23" s="825"/>
      <c r="L23" s="825"/>
      <c r="M23" s="825">
        <v>1012.2380000000001</v>
      </c>
      <c r="N23" s="825"/>
      <c r="O23" s="825">
        <v>26</v>
      </c>
      <c r="P23" s="825"/>
      <c r="Q23" s="825"/>
      <c r="R23" s="825"/>
      <c r="S23" s="825"/>
      <c r="T23" s="825"/>
      <c r="U23" s="826"/>
    </row>
    <row r="24" spans="1:21" s="827" customFormat="1" ht="16.5" customHeight="1">
      <c r="A24" s="822">
        <v>14</v>
      </c>
      <c r="B24" s="823" t="s">
        <v>811</v>
      </c>
      <c r="C24" s="828">
        <f>[2]HC!J65</f>
        <v>62</v>
      </c>
      <c r="D24" s="821">
        <f t="shared" si="3"/>
        <v>37210.638200000001</v>
      </c>
      <c r="E24" s="825">
        <v>6134.6382000000012</v>
      </c>
      <c r="F24" s="825"/>
      <c r="G24" s="825"/>
      <c r="H24" s="825">
        <f t="shared" si="4"/>
        <v>0</v>
      </c>
      <c r="I24" s="825"/>
      <c r="J24" s="825">
        <v>31050</v>
      </c>
      <c r="K24" s="825"/>
      <c r="L24" s="825"/>
      <c r="M24" s="825"/>
      <c r="N24" s="825"/>
      <c r="O24" s="825">
        <v>26</v>
      </c>
      <c r="P24" s="825"/>
      <c r="Q24" s="825"/>
      <c r="R24" s="825"/>
      <c r="S24" s="825"/>
      <c r="T24" s="825"/>
      <c r="U24" s="826"/>
    </row>
    <row r="25" spans="1:21" s="827" customFormat="1" ht="15.75">
      <c r="A25" s="822">
        <v>15</v>
      </c>
      <c r="B25" s="823" t="s">
        <v>812</v>
      </c>
      <c r="C25" s="828">
        <f>[2]HC!J46</f>
        <v>4925</v>
      </c>
      <c r="D25" s="821">
        <f t="shared" si="3"/>
        <v>42053.233200000002</v>
      </c>
      <c r="E25" s="825">
        <v>28290.131200000003</v>
      </c>
      <c r="F25" s="825"/>
      <c r="G25" s="825"/>
      <c r="H25" s="825">
        <f t="shared" si="4"/>
        <v>0</v>
      </c>
      <c r="I25" s="825"/>
      <c r="J25" s="825"/>
      <c r="K25" s="825">
        <v>100</v>
      </c>
      <c r="L25" s="825"/>
      <c r="M25" s="825">
        <v>13474.101999999999</v>
      </c>
      <c r="N25" s="825">
        <v>150</v>
      </c>
      <c r="O25" s="825">
        <v>39</v>
      </c>
      <c r="P25" s="825"/>
      <c r="Q25" s="825"/>
      <c r="R25" s="825"/>
      <c r="S25" s="825"/>
      <c r="T25" s="825"/>
      <c r="U25" s="826"/>
    </row>
    <row r="26" spans="1:21" s="827" customFormat="1" ht="15.75">
      <c r="A26" s="822">
        <v>16</v>
      </c>
      <c r="B26" s="823" t="s">
        <v>813</v>
      </c>
      <c r="C26" s="828"/>
      <c r="D26" s="821">
        <f t="shared" si="3"/>
        <v>15225.4084</v>
      </c>
      <c r="E26" s="825">
        <v>13899.4084</v>
      </c>
      <c r="F26" s="825"/>
      <c r="G26" s="825">
        <v>1000</v>
      </c>
      <c r="H26" s="825">
        <f t="shared" si="4"/>
        <v>1000</v>
      </c>
      <c r="I26" s="825"/>
      <c r="J26" s="825"/>
      <c r="K26" s="825">
        <v>300</v>
      </c>
      <c r="L26" s="825"/>
      <c r="M26" s="825"/>
      <c r="N26" s="825"/>
      <c r="O26" s="825">
        <v>26</v>
      </c>
      <c r="P26" s="825"/>
      <c r="Q26" s="825"/>
      <c r="R26" s="825"/>
      <c r="S26" s="825"/>
      <c r="T26" s="825"/>
      <c r="U26" s="826"/>
    </row>
    <row r="27" spans="1:21" s="827" customFormat="1" ht="31.5">
      <c r="A27" s="822">
        <v>17</v>
      </c>
      <c r="B27" s="823" t="s">
        <v>814</v>
      </c>
      <c r="C27" s="828">
        <f>[2]HC!J80</f>
        <v>450</v>
      </c>
      <c r="D27" s="821">
        <f>SUM(E27:T27)-H27</f>
        <v>106633.0572</v>
      </c>
      <c r="E27" s="825">
        <v>11478.0272</v>
      </c>
      <c r="F27" s="825"/>
      <c r="G27" s="825">
        <v>16453.351999999999</v>
      </c>
      <c r="H27" s="825">
        <f t="shared" si="4"/>
        <v>16453.351999999999</v>
      </c>
      <c r="I27" s="825"/>
      <c r="J27" s="825"/>
      <c r="K27" s="825">
        <v>68065.203999999998</v>
      </c>
      <c r="L27" s="825"/>
      <c r="M27" s="825">
        <v>5704.4740000000002</v>
      </c>
      <c r="N27" s="825">
        <v>3000</v>
      </c>
      <c r="O27" s="825">
        <v>39</v>
      </c>
      <c r="P27" s="825"/>
      <c r="Q27" s="825"/>
      <c r="R27" s="825"/>
      <c r="S27" s="825">
        <v>1893</v>
      </c>
      <c r="T27" s="825"/>
      <c r="U27" s="826"/>
    </row>
    <row r="28" spans="1:21" s="827" customFormat="1" ht="16.5" customHeight="1">
      <c r="A28" s="822">
        <v>18</v>
      </c>
      <c r="B28" s="823" t="s">
        <v>815</v>
      </c>
      <c r="C28" s="828">
        <f>[2]HC!J81</f>
        <v>460</v>
      </c>
      <c r="D28" s="821">
        <f t="shared" si="3"/>
        <v>11169.437399999999</v>
      </c>
      <c r="E28" s="825">
        <v>9926.0973999999987</v>
      </c>
      <c r="F28" s="825"/>
      <c r="G28" s="825"/>
      <c r="H28" s="825">
        <f t="shared" si="4"/>
        <v>0</v>
      </c>
      <c r="I28" s="825"/>
      <c r="J28" s="825"/>
      <c r="K28" s="825"/>
      <c r="L28" s="825"/>
      <c r="M28" s="825">
        <v>1217.3400000000001</v>
      </c>
      <c r="N28" s="825"/>
      <c r="O28" s="825">
        <v>26</v>
      </c>
      <c r="P28" s="825"/>
      <c r="Q28" s="825"/>
      <c r="R28" s="825"/>
      <c r="S28" s="825"/>
      <c r="T28" s="825"/>
      <c r="U28" s="826"/>
    </row>
    <row r="29" spans="1:21" s="827" customFormat="1" ht="16.5" customHeight="1">
      <c r="A29" s="822">
        <v>19</v>
      </c>
      <c r="B29" s="823" t="s">
        <v>816</v>
      </c>
      <c r="C29" s="828">
        <f>[2]HC!J79+[2]KT!I59</f>
        <v>1630</v>
      </c>
      <c r="D29" s="821">
        <f t="shared" si="3"/>
        <v>11188.466200000001</v>
      </c>
      <c r="E29" s="825">
        <v>5487.0110000000004</v>
      </c>
      <c r="F29" s="825">
        <v>220</v>
      </c>
      <c r="G29" s="825"/>
      <c r="H29" s="825">
        <f t="shared" si="4"/>
        <v>220</v>
      </c>
      <c r="I29" s="825"/>
      <c r="J29" s="825"/>
      <c r="K29" s="825"/>
      <c r="L29" s="825">
        <v>3826.7160000000003</v>
      </c>
      <c r="M29" s="825">
        <v>648.7392000000001</v>
      </c>
      <c r="N29" s="825"/>
      <c r="O29" s="825">
        <v>26</v>
      </c>
      <c r="P29" s="825"/>
      <c r="Q29" s="825"/>
      <c r="R29" s="825"/>
      <c r="S29" s="825">
        <v>980</v>
      </c>
      <c r="T29" s="825"/>
      <c r="U29" s="826"/>
    </row>
    <row r="30" spans="1:21" s="827" customFormat="1" ht="16.5" customHeight="1">
      <c r="A30" s="822">
        <v>20</v>
      </c>
      <c r="B30" s="823" t="s">
        <v>817</v>
      </c>
      <c r="C30" s="828">
        <f>[2]HC!J82</f>
        <v>3500</v>
      </c>
      <c r="D30" s="821">
        <f t="shared" si="3"/>
        <v>8388.5747999999985</v>
      </c>
      <c r="E30" s="825">
        <v>8362.5747999999985</v>
      </c>
      <c r="F30" s="825"/>
      <c r="G30" s="825"/>
      <c r="H30" s="825">
        <f t="shared" si="4"/>
        <v>0</v>
      </c>
      <c r="I30" s="825"/>
      <c r="J30" s="825"/>
      <c r="K30" s="825"/>
      <c r="L30" s="825"/>
      <c r="M30" s="825"/>
      <c r="N30" s="825"/>
      <c r="O30" s="825">
        <v>26</v>
      </c>
      <c r="P30" s="825"/>
      <c r="Q30" s="825"/>
      <c r="R30" s="825"/>
      <c r="S30" s="825"/>
      <c r="T30" s="825"/>
      <c r="U30" s="826"/>
    </row>
    <row r="31" spans="1:21" s="827" customFormat="1" ht="15.75">
      <c r="A31" s="822">
        <v>21</v>
      </c>
      <c r="B31" s="823" t="s">
        <v>818</v>
      </c>
      <c r="C31" s="828" t="e">
        <f>[2]HC!J83</f>
        <v>#REF!</v>
      </c>
      <c r="D31" s="821">
        <f t="shared" si="3"/>
        <v>9075.2828000000009</v>
      </c>
      <c r="E31" s="825">
        <v>8633.7968000000001</v>
      </c>
      <c r="F31" s="825"/>
      <c r="G31" s="825"/>
      <c r="H31" s="825">
        <f t="shared" si="4"/>
        <v>0</v>
      </c>
      <c r="I31" s="825"/>
      <c r="J31" s="825"/>
      <c r="K31" s="825">
        <v>130</v>
      </c>
      <c r="L31" s="825"/>
      <c r="M31" s="825">
        <v>285.48599999999999</v>
      </c>
      <c r="N31" s="825"/>
      <c r="O31" s="825">
        <v>26</v>
      </c>
      <c r="P31" s="825"/>
      <c r="Q31" s="825"/>
      <c r="R31" s="825"/>
      <c r="S31" s="825"/>
      <c r="T31" s="825"/>
      <c r="U31" s="826"/>
    </row>
    <row r="32" spans="1:21" s="827" customFormat="1" ht="15.75">
      <c r="A32" s="822">
        <v>22</v>
      </c>
      <c r="B32" s="823" t="s">
        <v>819</v>
      </c>
      <c r="C32" s="828"/>
      <c r="D32" s="821">
        <f t="shared" si="3"/>
        <v>6644.0798000000004</v>
      </c>
      <c r="E32" s="825">
        <v>5261.2718000000004</v>
      </c>
      <c r="F32" s="825"/>
      <c r="G32" s="825">
        <v>947.80799999999999</v>
      </c>
      <c r="H32" s="825">
        <f t="shared" si="4"/>
        <v>947.80799999999999</v>
      </c>
      <c r="I32" s="825"/>
      <c r="J32" s="825">
        <v>400</v>
      </c>
      <c r="K32" s="825"/>
      <c r="L32" s="825"/>
      <c r="M32" s="825">
        <v>35</v>
      </c>
      <c r="N32" s="825"/>
      <c r="O32" s="825"/>
      <c r="P32" s="825"/>
      <c r="Q32" s="825"/>
      <c r="R32" s="825"/>
      <c r="S32" s="825"/>
      <c r="T32" s="825"/>
      <c r="U32" s="826"/>
    </row>
    <row r="33" spans="1:21" s="827" customFormat="1" ht="31.5">
      <c r="A33" s="822">
        <v>23</v>
      </c>
      <c r="B33" s="823" t="s">
        <v>883</v>
      </c>
      <c r="C33" s="828"/>
      <c r="D33" s="821">
        <f t="shared" si="3"/>
        <v>10039.7922</v>
      </c>
      <c r="E33" s="825">
        <v>9859.7921999999999</v>
      </c>
      <c r="F33" s="825"/>
      <c r="G33" s="825"/>
      <c r="H33" s="825">
        <f t="shared" si="4"/>
        <v>0</v>
      </c>
      <c r="I33" s="825"/>
      <c r="J33" s="825">
        <v>180</v>
      </c>
      <c r="K33" s="825"/>
      <c r="L33" s="825"/>
      <c r="M33" s="825"/>
      <c r="N33" s="825"/>
      <c r="O33" s="825"/>
      <c r="P33" s="825"/>
      <c r="Q33" s="825"/>
      <c r="R33" s="825"/>
      <c r="S33" s="825"/>
      <c r="T33" s="825"/>
      <c r="U33" s="826"/>
    </row>
    <row r="34" spans="1:21" s="827" customFormat="1" ht="21.75" customHeight="1">
      <c r="A34" s="822">
        <v>24</v>
      </c>
      <c r="B34" s="823" t="s">
        <v>820</v>
      </c>
      <c r="C34" s="828">
        <f>[2]HC!J86</f>
        <v>45</v>
      </c>
      <c r="D34" s="821">
        <f t="shared" si="3"/>
        <v>22205.735000000001</v>
      </c>
      <c r="E34" s="825">
        <v>3962.8810000000003</v>
      </c>
      <c r="F34" s="825"/>
      <c r="G34" s="825"/>
      <c r="H34" s="825">
        <f t="shared" si="4"/>
        <v>0</v>
      </c>
      <c r="I34" s="825"/>
      <c r="J34" s="825"/>
      <c r="K34" s="825">
        <v>18116.853999999999</v>
      </c>
      <c r="L34" s="825"/>
      <c r="M34" s="825"/>
      <c r="N34" s="825">
        <v>100</v>
      </c>
      <c r="O34" s="825">
        <v>26</v>
      </c>
      <c r="P34" s="825"/>
      <c r="Q34" s="825"/>
      <c r="R34" s="825"/>
      <c r="S34" s="825"/>
      <c r="T34" s="825"/>
      <c r="U34" s="826"/>
    </row>
    <row r="35" spans="1:21" s="827" customFormat="1" ht="15.75">
      <c r="A35" s="822">
        <v>25</v>
      </c>
      <c r="B35" s="823" t="s">
        <v>821</v>
      </c>
      <c r="C35" s="828"/>
      <c r="D35" s="821">
        <f t="shared" si="3"/>
        <v>5048.7338000000009</v>
      </c>
      <c r="E35" s="825">
        <v>5048.7338000000009</v>
      </c>
      <c r="F35" s="825"/>
      <c r="G35" s="825"/>
      <c r="H35" s="825">
        <f t="shared" si="4"/>
        <v>0</v>
      </c>
      <c r="I35" s="825"/>
      <c r="J35" s="825"/>
      <c r="K35" s="825"/>
      <c r="L35" s="825"/>
      <c r="M35" s="825"/>
      <c r="N35" s="825"/>
      <c r="O35" s="825"/>
      <c r="P35" s="825"/>
      <c r="Q35" s="825"/>
      <c r="R35" s="825"/>
      <c r="S35" s="825"/>
      <c r="T35" s="825"/>
      <c r="U35" s="826"/>
    </row>
    <row r="36" spans="1:21" s="827" customFormat="1" ht="15.75">
      <c r="A36" s="822">
        <v>26</v>
      </c>
      <c r="B36" s="829" t="s">
        <v>822</v>
      </c>
      <c r="C36" s="830"/>
      <c r="D36" s="831">
        <f t="shared" si="3"/>
        <v>6708.0217999999986</v>
      </c>
      <c r="E36" s="825">
        <v>5688.0217999999986</v>
      </c>
      <c r="F36" s="825">
        <v>170</v>
      </c>
      <c r="G36" s="825"/>
      <c r="H36" s="825">
        <f t="shared" si="4"/>
        <v>170</v>
      </c>
      <c r="I36" s="825"/>
      <c r="J36" s="825">
        <v>100</v>
      </c>
      <c r="K36" s="825">
        <v>350</v>
      </c>
      <c r="L36" s="825"/>
      <c r="M36" s="825">
        <v>400</v>
      </c>
      <c r="N36" s="825"/>
      <c r="O36" s="825"/>
      <c r="P36" s="825"/>
      <c r="Q36" s="825"/>
      <c r="R36" s="825"/>
      <c r="S36" s="825"/>
      <c r="T36" s="832"/>
      <c r="U36" s="826"/>
    </row>
    <row r="37" spans="1:21" s="827" customFormat="1" ht="15.75">
      <c r="A37" s="822">
        <v>27</v>
      </c>
      <c r="B37" s="823" t="s">
        <v>880</v>
      </c>
      <c r="C37" s="828"/>
      <c r="D37" s="821">
        <f t="shared" si="3"/>
        <v>2458.6738</v>
      </c>
      <c r="E37" s="825">
        <v>2458.6738</v>
      </c>
      <c r="F37" s="825"/>
      <c r="G37" s="825"/>
      <c r="H37" s="825">
        <f t="shared" si="4"/>
        <v>0</v>
      </c>
      <c r="I37" s="825"/>
      <c r="J37" s="825"/>
      <c r="K37" s="825"/>
      <c r="L37" s="825"/>
      <c r="M37" s="825"/>
      <c r="N37" s="825"/>
      <c r="O37" s="825"/>
      <c r="P37" s="825"/>
      <c r="Q37" s="825"/>
      <c r="R37" s="825"/>
      <c r="S37" s="825"/>
      <c r="T37" s="825"/>
      <c r="U37" s="826"/>
    </row>
    <row r="38" spans="1:21" s="827" customFormat="1" ht="33.75" customHeight="1">
      <c r="A38" s="822">
        <v>28</v>
      </c>
      <c r="B38" s="823" t="s">
        <v>823</v>
      </c>
      <c r="C38" s="828"/>
      <c r="D38" s="821">
        <f t="shared" si="3"/>
        <v>1032.4304</v>
      </c>
      <c r="E38" s="825">
        <v>1032.4304</v>
      </c>
      <c r="F38" s="825"/>
      <c r="G38" s="825"/>
      <c r="H38" s="825">
        <f t="shared" si="4"/>
        <v>0</v>
      </c>
      <c r="I38" s="825"/>
      <c r="J38" s="825"/>
      <c r="K38" s="825"/>
      <c r="L38" s="825"/>
      <c r="M38" s="825"/>
      <c r="N38" s="825"/>
      <c r="O38" s="825"/>
      <c r="P38" s="825"/>
      <c r="Q38" s="825"/>
      <c r="R38" s="825"/>
      <c r="S38" s="825"/>
      <c r="T38" s="825"/>
      <c r="U38" s="826"/>
    </row>
    <row r="39" spans="1:21" s="827" customFormat="1" ht="16.5" customHeight="1">
      <c r="A39" s="822">
        <v>29</v>
      </c>
      <c r="B39" s="823" t="s">
        <v>824</v>
      </c>
      <c r="C39" s="828"/>
      <c r="D39" s="821">
        <f t="shared" si="3"/>
        <v>709.62799999999993</v>
      </c>
      <c r="E39" s="825">
        <v>709.62799999999993</v>
      </c>
      <c r="F39" s="825"/>
      <c r="G39" s="825"/>
      <c r="H39" s="825">
        <f t="shared" si="4"/>
        <v>0</v>
      </c>
      <c r="I39" s="825"/>
      <c r="J39" s="825"/>
      <c r="K39" s="825"/>
      <c r="L39" s="825"/>
      <c r="M39" s="825"/>
      <c r="N39" s="825"/>
      <c r="O39" s="825"/>
      <c r="P39" s="825"/>
      <c r="Q39" s="825"/>
      <c r="R39" s="825"/>
      <c r="S39" s="825"/>
      <c r="T39" s="825"/>
      <c r="U39" s="826"/>
    </row>
    <row r="40" spans="1:21" s="827" customFormat="1" ht="15.75">
      <c r="A40" s="822">
        <v>30</v>
      </c>
      <c r="B40" s="823" t="s">
        <v>825</v>
      </c>
      <c r="C40" s="828"/>
      <c r="D40" s="821">
        <f t="shared" si="3"/>
        <v>37850.163</v>
      </c>
      <c r="E40" s="825"/>
      <c r="F40" s="825"/>
      <c r="G40" s="825">
        <v>37811.163</v>
      </c>
      <c r="H40" s="825">
        <f t="shared" si="4"/>
        <v>37811.163</v>
      </c>
      <c r="I40" s="825"/>
      <c r="J40" s="825"/>
      <c r="K40" s="825"/>
      <c r="L40" s="825"/>
      <c r="M40" s="825"/>
      <c r="N40" s="825"/>
      <c r="O40" s="825">
        <v>39</v>
      </c>
      <c r="P40" s="825"/>
      <c r="Q40" s="825"/>
      <c r="R40" s="825"/>
      <c r="S40" s="825"/>
      <c r="T40" s="825"/>
      <c r="U40" s="826"/>
    </row>
    <row r="41" spans="1:21" s="827" customFormat="1" ht="16.5" customHeight="1">
      <c r="A41" s="822">
        <v>31</v>
      </c>
      <c r="B41" s="823" t="s">
        <v>826</v>
      </c>
      <c r="C41" s="828"/>
      <c r="D41" s="821">
        <f t="shared" si="3"/>
        <v>25318.873</v>
      </c>
      <c r="E41" s="825"/>
      <c r="F41" s="825"/>
      <c r="G41" s="825">
        <v>25318.873</v>
      </c>
      <c r="H41" s="825">
        <f t="shared" si="4"/>
        <v>25318.873</v>
      </c>
      <c r="I41" s="825"/>
      <c r="J41" s="825"/>
      <c r="K41" s="825"/>
      <c r="L41" s="825"/>
      <c r="M41" s="825"/>
      <c r="N41" s="825"/>
      <c r="O41" s="825"/>
      <c r="P41" s="825"/>
      <c r="Q41" s="825"/>
      <c r="R41" s="825"/>
      <c r="S41" s="825"/>
      <c r="T41" s="825"/>
      <c r="U41" s="826"/>
    </row>
    <row r="42" spans="1:21" s="827" customFormat="1" ht="31.5">
      <c r="A42" s="822">
        <v>32</v>
      </c>
      <c r="B42" s="823" t="s">
        <v>827</v>
      </c>
      <c r="C42" s="828"/>
      <c r="D42" s="821">
        <f t="shared" si="3"/>
        <v>19107.493000000002</v>
      </c>
      <c r="E42" s="825"/>
      <c r="F42" s="825"/>
      <c r="G42" s="825">
        <v>19068.493000000002</v>
      </c>
      <c r="H42" s="825">
        <f t="shared" si="4"/>
        <v>19068.493000000002</v>
      </c>
      <c r="I42" s="825"/>
      <c r="J42" s="825"/>
      <c r="K42" s="825"/>
      <c r="L42" s="825"/>
      <c r="M42" s="825"/>
      <c r="N42" s="825"/>
      <c r="O42" s="825">
        <v>39</v>
      </c>
      <c r="P42" s="825"/>
      <c r="Q42" s="825"/>
      <c r="R42" s="825"/>
      <c r="S42" s="825"/>
      <c r="T42" s="825"/>
      <c r="U42" s="826"/>
    </row>
    <row r="43" spans="1:21" s="827" customFormat="1" ht="15.75">
      <c r="A43" s="822">
        <v>33</v>
      </c>
      <c r="B43" s="823" t="s">
        <v>828</v>
      </c>
      <c r="C43" s="828"/>
      <c r="D43" s="821">
        <f t="shared" si="3"/>
        <v>10878.880000000001</v>
      </c>
      <c r="E43" s="825"/>
      <c r="F43" s="825"/>
      <c r="G43" s="825">
        <v>10878.880000000001</v>
      </c>
      <c r="H43" s="825">
        <f t="shared" si="4"/>
        <v>10878.880000000001</v>
      </c>
      <c r="I43" s="825"/>
      <c r="J43" s="825"/>
      <c r="K43" s="825"/>
      <c r="L43" s="825"/>
      <c r="M43" s="825"/>
      <c r="N43" s="825"/>
      <c r="O43" s="825"/>
      <c r="P43" s="825"/>
      <c r="Q43" s="825"/>
      <c r="R43" s="825"/>
      <c r="S43" s="825"/>
      <c r="T43" s="825"/>
      <c r="U43" s="826"/>
    </row>
    <row r="44" spans="1:21" s="827" customFormat="1" ht="15.75">
      <c r="A44" s="822">
        <v>34</v>
      </c>
      <c r="B44" s="823" t="s">
        <v>829</v>
      </c>
      <c r="C44" s="828"/>
      <c r="D44" s="821">
        <f>SUM(E44:T44)-H44</f>
        <v>11856.099999999999</v>
      </c>
      <c r="E44" s="825"/>
      <c r="F44" s="825"/>
      <c r="G44" s="825">
        <v>11830.099999999999</v>
      </c>
      <c r="H44" s="825">
        <f t="shared" si="4"/>
        <v>11830.099999999999</v>
      </c>
      <c r="I44" s="825"/>
      <c r="J44" s="825"/>
      <c r="K44" s="825"/>
      <c r="L44" s="825"/>
      <c r="M44" s="825"/>
      <c r="N44" s="825"/>
      <c r="O44" s="825">
        <v>26</v>
      </c>
      <c r="P44" s="825"/>
      <c r="Q44" s="825"/>
      <c r="R44" s="825"/>
      <c r="S44" s="825"/>
      <c r="T44" s="825"/>
      <c r="U44" s="826"/>
    </row>
    <row r="45" spans="1:21" s="827" customFormat="1" ht="47.25">
      <c r="A45" s="822">
        <v>35</v>
      </c>
      <c r="B45" s="823" t="s">
        <v>830</v>
      </c>
      <c r="C45" s="828"/>
      <c r="D45" s="821">
        <f>SUM(E45:T45)-H45</f>
        <v>837790</v>
      </c>
      <c r="E45" s="825">
        <f>E46+E51+E53+E56+E60+E66+E73+E74</f>
        <v>168971</v>
      </c>
      <c r="F45" s="825">
        <f>F46+F51+F53+F56+F60+F66+F73+F74</f>
        <v>239300</v>
      </c>
      <c r="G45" s="825">
        <f>G46+G51+G53+G56+G60+G66+G73+G74</f>
        <v>50000</v>
      </c>
      <c r="H45" s="825">
        <f>F45+G45</f>
        <v>289300</v>
      </c>
      <c r="I45" s="825">
        <f t="shared" ref="I45:T45" si="5">I46+I51+I53+I56+I60+I66+I73+I74</f>
        <v>0</v>
      </c>
      <c r="J45" s="825">
        <f t="shared" si="5"/>
        <v>0</v>
      </c>
      <c r="K45" s="825">
        <f t="shared" si="5"/>
        <v>44950</v>
      </c>
      <c r="L45" s="825">
        <f t="shared" si="5"/>
        <v>77300</v>
      </c>
      <c r="M45" s="825">
        <f t="shared" si="5"/>
        <v>235520</v>
      </c>
      <c r="N45" s="825">
        <f t="shared" si="5"/>
        <v>15000</v>
      </c>
      <c r="O45" s="825">
        <f t="shared" si="5"/>
        <v>5500</v>
      </c>
      <c r="P45" s="825">
        <f t="shared" si="5"/>
        <v>1249</v>
      </c>
      <c r="Q45" s="825">
        <f t="shared" si="5"/>
        <v>0</v>
      </c>
      <c r="R45" s="825">
        <f t="shared" si="5"/>
        <v>0</v>
      </c>
      <c r="S45" s="825">
        <f t="shared" si="5"/>
        <v>0</v>
      </c>
      <c r="T45" s="825">
        <f t="shared" si="5"/>
        <v>0</v>
      </c>
      <c r="U45" s="826"/>
    </row>
    <row r="46" spans="1:21" s="827" customFormat="1" ht="16.5" hidden="1" customHeight="1">
      <c r="A46" s="822" t="s">
        <v>433</v>
      </c>
      <c r="B46" s="823" t="s">
        <v>831</v>
      </c>
      <c r="C46" s="828"/>
      <c r="D46" s="821">
        <f t="shared" si="3"/>
        <v>289300</v>
      </c>
      <c r="E46" s="825"/>
      <c r="F46" s="825">
        <f>SUM(F47:F50)</f>
        <v>239300</v>
      </c>
      <c r="G46" s="825">
        <f>SUM(G47:G50)</f>
        <v>50000</v>
      </c>
      <c r="H46" s="825">
        <f t="shared" si="4"/>
        <v>289300</v>
      </c>
      <c r="I46" s="825"/>
      <c r="J46" s="825"/>
      <c r="K46" s="825"/>
      <c r="L46" s="825"/>
      <c r="M46" s="825"/>
      <c r="N46" s="825"/>
      <c r="O46" s="825"/>
      <c r="P46" s="825"/>
      <c r="Q46" s="825"/>
      <c r="R46" s="825"/>
      <c r="S46" s="825"/>
      <c r="T46" s="825"/>
      <c r="U46" s="826"/>
    </row>
    <row r="47" spans="1:21" s="839" customFormat="1" ht="78.75" hidden="1">
      <c r="A47" s="833"/>
      <c r="B47" s="834" t="s">
        <v>832</v>
      </c>
      <c r="C47" s="835"/>
      <c r="D47" s="836">
        <f t="shared" si="3"/>
        <v>200000</v>
      </c>
      <c r="E47" s="837"/>
      <c r="F47" s="837">
        <v>200000</v>
      </c>
      <c r="G47" s="837"/>
      <c r="H47" s="825">
        <f t="shared" si="4"/>
        <v>200000</v>
      </c>
      <c r="I47" s="837"/>
      <c r="J47" s="837"/>
      <c r="K47" s="837"/>
      <c r="L47" s="837"/>
      <c r="M47" s="837"/>
      <c r="N47" s="837"/>
      <c r="O47" s="837"/>
      <c r="P47" s="837"/>
      <c r="Q47" s="837"/>
      <c r="R47" s="837"/>
      <c r="S47" s="837"/>
      <c r="T47" s="837"/>
      <c r="U47" s="838"/>
    </row>
    <row r="48" spans="1:21" s="839" customFormat="1" ht="31.5" hidden="1">
      <c r="A48" s="833"/>
      <c r="B48" s="834" t="s">
        <v>833</v>
      </c>
      <c r="C48" s="835"/>
      <c r="D48" s="836">
        <f t="shared" si="3"/>
        <v>22300</v>
      </c>
      <c r="E48" s="837"/>
      <c r="F48" s="837">
        <v>22300</v>
      </c>
      <c r="G48" s="837"/>
      <c r="H48" s="825">
        <f t="shared" si="4"/>
        <v>22300</v>
      </c>
      <c r="I48" s="837"/>
      <c r="J48" s="837"/>
      <c r="K48" s="837"/>
      <c r="L48" s="837"/>
      <c r="M48" s="837"/>
      <c r="N48" s="837"/>
      <c r="O48" s="837"/>
      <c r="P48" s="837"/>
      <c r="Q48" s="837"/>
      <c r="R48" s="837"/>
      <c r="S48" s="837"/>
      <c r="T48" s="837"/>
      <c r="U48" s="838"/>
    </row>
    <row r="49" spans="1:21" s="839" customFormat="1" ht="31.5" hidden="1">
      <c r="A49" s="833"/>
      <c r="B49" s="834" t="s">
        <v>834</v>
      </c>
      <c r="C49" s="835"/>
      <c r="D49" s="836">
        <f t="shared" si="3"/>
        <v>17000</v>
      </c>
      <c r="E49" s="837"/>
      <c r="F49" s="837">
        <v>17000</v>
      </c>
      <c r="G49" s="837"/>
      <c r="H49" s="825">
        <f t="shared" si="4"/>
        <v>17000</v>
      </c>
      <c r="I49" s="837"/>
      <c r="J49" s="837"/>
      <c r="K49" s="837"/>
      <c r="L49" s="837"/>
      <c r="M49" s="837"/>
      <c r="N49" s="837"/>
      <c r="O49" s="837"/>
      <c r="P49" s="837"/>
      <c r="Q49" s="837"/>
      <c r="R49" s="837"/>
      <c r="S49" s="837"/>
      <c r="T49" s="837"/>
      <c r="U49" s="838"/>
    </row>
    <row r="50" spans="1:21" s="839" customFormat="1" ht="15.75" hidden="1">
      <c r="A50" s="833"/>
      <c r="B50" s="834" t="s">
        <v>835</v>
      </c>
      <c r="C50" s="835"/>
      <c r="D50" s="836">
        <f t="shared" si="3"/>
        <v>50000</v>
      </c>
      <c r="E50" s="837"/>
      <c r="F50" s="837"/>
      <c r="G50" s="837">
        <v>50000</v>
      </c>
      <c r="H50" s="825">
        <f t="shared" si="4"/>
        <v>50000</v>
      </c>
      <c r="I50" s="837"/>
      <c r="J50" s="837"/>
      <c r="K50" s="837"/>
      <c r="L50" s="837"/>
      <c r="M50" s="837"/>
      <c r="N50" s="837"/>
      <c r="O50" s="837"/>
      <c r="P50" s="837"/>
      <c r="Q50" s="837"/>
      <c r="R50" s="837"/>
      <c r="S50" s="837"/>
      <c r="T50" s="837"/>
      <c r="U50" s="838"/>
    </row>
    <row r="51" spans="1:21" s="827" customFormat="1" ht="15.75" hidden="1">
      <c r="A51" s="822" t="s">
        <v>433</v>
      </c>
      <c r="B51" s="823" t="s">
        <v>836</v>
      </c>
      <c r="C51" s="828"/>
      <c r="D51" s="821">
        <f t="shared" si="3"/>
        <v>0</v>
      </c>
      <c r="E51" s="825"/>
      <c r="F51" s="825"/>
      <c r="G51" s="825"/>
      <c r="H51" s="825">
        <f t="shared" si="4"/>
        <v>0</v>
      </c>
      <c r="I51" s="825"/>
      <c r="J51" s="825"/>
      <c r="K51" s="825"/>
      <c r="L51" s="825"/>
      <c r="M51" s="825"/>
      <c r="N51" s="825"/>
      <c r="O51" s="825"/>
      <c r="P51" s="825"/>
      <c r="Q51" s="825"/>
      <c r="R51" s="825"/>
      <c r="S51" s="825"/>
      <c r="T51" s="825"/>
      <c r="U51" s="826"/>
    </row>
    <row r="52" spans="1:21" s="827" customFormat="1" ht="31.5" hidden="1">
      <c r="A52" s="822"/>
      <c r="B52" s="834" t="s">
        <v>834</v>
      </c>
      <c r="C52" s="828"/>
      <c r="D52" s="821">
        <f t="shared" si="3"/>
        <v>13000</v>
      </c>
      <c r="E52" s="825"/>
      <c r="F52" s="825"/>
      <c r="G52" s="825"/>
      <c r="H52" s="825">
        <f t="shared" si="4"/>
        <v>0</v>
      </c>
      <c r="I52" s="825">
        <v>13000</v>
      </c>
      <c r="J52" s="825"/>
      <c r="K52" s="825"/>
      <c r="L52" s="825"/>
      <c r="M52" s="825"/>
      <c r="N52" s="825"/>
      <c r="O52" s="825"/>
      <c r="P52" s="825"/>
      <c r="Q52" s="825"/>
      <c r="R52" s="825"/>
      <c r="S52" s="825"/>
      <c r="T52" s="825"/>
      <c r="U52" s="826"/>
    </row>
    <row r="53" spans="1:21" s="827" customFormat="1" ht="15.75" hidden="1">
      <c r="A53" s="822" t="s">
        <v>433</v>
      </c>
      <c r="B53" s="823" t="s">
        <v>837</v>
      </c>
      <c r="C53" s="828"/>
      <c r="D53" s="821">
        <f t="shared" si="3"/>
        <v>6749</v>
      </c>
      <c r="E53" s="825">
        <f>E54+E55</f>
        <v>0</v>
      </c>
      <c r="F53" s="825">
        <f t="shared" ref="F53:T53" si="6">F54+F55</f>
        <v>0</v>
      </c>
      <c r="G53" s="825">
        <f t="shared" si="6"/>
        <v>0</v>
      </c>
      <c r="H53" s="825">
        <f t="shared" si="4"/>
        <v>0</v>
      </c>
      <c r="I53" s="825">
        <f t="shared" si="6"/>
        <v>0</v>
      </c>
      <c r="J53" s="825">
        <f t="shared" si="6"/>
        <v>0</v>
      </c>
      <c r="K53" s="825">
        <f t="shared" si="6"/>
        <v>0</v>
      </c>
      <c r="L53" s="825">
        <f t="shared" si="6"/>
        <v>0</v>
      </c>
      <c r="M53" s="825">
        <f t="shared" si="6"/>
        <v>0</v>
      </c>
      <c r="N53" s="825">
        <f t="shared" si="6"/>
        <v>0</v>
      </c>
      <c r="O53" s="825">
        <f t="shared" si="6"/>
        <v>5500</v>
      </c>
      <c r="P53" s="825">
        <f t="shared" si="6"/>
        <v>1249</v>
      </c>
      <c r="Q53" s="825">
        <f t="shared" si="6"/>
        <v>0</v>
      </c>
      <c r="R53" s="825">
        <f t="shared" si="6"/>
        <v>0</v>
      </c>
      <c r="S53" s="825">
        <f t="shared" si="6"/>
        <v>0</v>
      </c>
      <c r="T53" s="825">
        <f t="shared" si="6"/>
        <v>0</v>
      </c>
      <c r="U53" s="826"/>
    </row>
    <row r="54" spans="1:21" s="839" customFormat="1" ht="15.75" hidden="1">
      <c r="A54" s="833"/>
      <c r="B54" s="834" t="s">
        <v>838</v>
      </c>
      <c r="C54" s="835"/>
      <c r="D54" s="836">
        <f t="shared" si="3"/>
        <v>5500</v>
      </c>
      <c r="E54" s="837"/>
      <c r="F54" s="837"/>
      <c r="G54" s="837"/>
      <c r="H54" s="825">
        <f t="shared" si="4"/>
        <v>0</v>
      </c>
      <c r="I54" s="837"/>
      <c r="J54" s="837"/>
      <c r="K54" s="837"/>
      <c r="L54" s="837"/>
      <c r="M54" s="837"/>
      <c r="N54" s="837"/>
      <c r="O54" s="837">
        <f>2500+3000</f>
        <v>5500</v>
      </c>
      <c r="P54" s="837"/>
      <c r="Q54" s="837"/>
      <c r="R54" s="837"/>
      <c r="S54" s="837"/>
      <c r="T54" s="837"/>
      <c r="U54" s="838"/>
    </row>
    <row r="55" spans="1:21" s="839" customFormat="1" ht="47.25" hidden="1">
      <c r="A55" s="833"/>
      <c r="B55" s="834" t="s">
        <v>839</v>
      </c>
      <c r="C55" s="835"/>
      <c r="D55" s="836">
        <f t="shared" si="3"/>
        <v>1249</v>
      </c>
      <c r="E55" s="837"/>
      <c r="F55" s="837"/>
      <c r="G55" s="837"/>
      <c r="H55" s="825">
        <f t="shared" si="4"/>
        <v>0</v>
      </c>
      <c r="I55" s="837"/>
      <c r="J55" s="837"/>
      <c r="K55" s="837"/>
      <c r="L55" s="837"/>
      <c r="M55" s="837"/>
      <c r="N55" s="837"/>
      <c r="O55" s="837"/>
      <c r="P55" s="837">
        <v>1249</v>
      </c>
      <c r="Q55" s="837"/>
      <c r="R55" s="837"/>
      <c r="S55" s="837"/>
      <c r="T55" s="837"/>
      <c r="U55" s="838"/>
    </row>
    <row r="56" spans="1:21" s="827" customFormat="1" ht="31.5" hidden="1">
      <c r="A56" s="822" t="s">
        <v>433</v>
      </c>
      <c r="B56" s="823" t="s">
        <v>840</v>
      </c>
      <c r="C56" s="828"/>
      <c r="D56" s="821">
        <f>SUM(E56:T56)-H56</f>
        <v>44950</v>
      </c>
      <c r="E56" s="825"/>
      <c r="F56" s="825"/>
      <c r="G56" s="825"/>
      <c r="H56" s="825">
        <f t="shared" si="4"/>
        <v>0</v>
      </c>
      <c r="I56" s="825"/>
      <c r="J56" s="825"/>
      <c r="K56" s="825">
        <f>SUM(K57:K59)</f>
        <v>44950</v>
      </c>
      <c r="L56" s="825"/>
      <c r="M56" s="825"/>
      <c r="N56" s="825"/>
      <c r="O56" s="825"/>
      <c r="P56" s="825"/>
      <c r="Q56" s="825"/>
      <c r="R56" s="825"/>
      <c r="S56" s="825"/>
      <c r="T56" s="825"/>
      <c r="U56" s="826"/>
    </row>
    <row r="57" spans="1:21" s="839" customFormat="1" ht="31.5" hidden="1">
      <c r="A57" s="833"/>
      <c r="B57" s="834" t="s">
        <v>841</v>
      </c>
      <c r="C57" s="835"/>
      <c r="D57" s="836">
        <f t="shared" si="3"/>
        <v>15000</v>
      </c>
      <c r="E57" s="837"/>
      <c r="F57" s="837"/>
      <c r="G57" s="837"/>
      <c r="H57" s="825">
        <f t="shared" si="4"/>
        <v>0</v>
      </c>
      <c r="I57" s="837"/>
      <c r="J57" s="837"/>
      <c r="K57" s="837">
        <v>15000</v>
      </c>
      <c r="L57" s="837"/>
      <c r="M57" s="837"/>
      <c r="N57" s="837"/>
      <c r="O57" s="837"/>
      <c r="P57" s="837"/>
      <c r="Q57" s="837"/>
      <c r="R57" s="837"/>
      <c r="S57" s="837"/>
      <c r="T57" s="837"/>
      <c r="U57" s="838"/>
    </row>
    <row r="58" spans="1:21" s="839" customFormat="1" ht="31.5" hidden="1">
      <c r="A58" s="833"/>
      <c r="B58" s="834" t="s">
        <v>842</v>
      </c>
      <c r="C58" s="835"/>
      <c r="D58" s="836">
        <f t="shared" si="3"/>
        <v>24950</v>
      </c>
      <c r="E58" s="837"/>
      <c r="F58" s="837"/>
      <c r="G58" s="837"/>
      <c r="H58" s="825">
        <f t="shared" si="4"/>
        <v>0</v>
      </c>
      <c r="I58" s="837"/>
      <c r="J58" s="837"/>
      <c r="K58" s="837">
        <f>25000-50</f>
        <v>24950</v>
      </c>
      <c r="L58" s="837"/>
      <c r="M58" s="837"/>
      <c r="N58" s="837"/>
      <c r="O58" s="837"/>
      <c r="P58" s="837"/>
      <c r="Q58" s="837"/>
      <c r="R58" s="837"/>
      <c r="S58" s="837"/>
      <c r="T58" s="837"/>
      <c r="U58" s="838"/>
    </row>
    <row r="59" spans="1:21" s="839" customFormat="1" ht="47.25" hidden="1">
      <c r="A59" s="833" t="s">
        <v>433</v>
      </c>
      <c r="B59" s="834" t="s">
        <v>843</v>
      </c>
      <c r="C59" s="835"/>
      <c r="D59" s="836">
        <f t="shared" si="3"/>
        <v>5000</v>
      </c>
      <c r="E59" s="837"/>
      <c r="F59" s="837"/>
      <c r="G59" s="837"/>
      <c r="H59" s="825">
        <f t="shared" si="4"/>
        <v>0</v>
      </c>
      <c r="I59" s="837"/>
      <c r="J59" s="837"/>
      <c r="K59" s="837">
        <v>5000</v>
      </c>
      <c r="L59" s="837"/>
      <c r="M59" s="837"/>
      <c r="N59" s="837"/>
      <c r="O59" s="837"/>
      <c r="P59" s="837"/>
      <c r="Q59" s="837"/>
      <c r="R59" s="837"/>
      <c r="S59" s="837"/>
      <c r="T59" s="837"/>
      <c r="U59" s="838"/>
    </row>
    <row r="60" spans="1:21" s="827" customFormat="1" ht="15.75" hidden="1">
      <c r="A60" s="822" t="s">
        <v>433</v>
      </c>
      <c r="B60" s="823" t="s">
        <v>844</v>
      </c>
      <c r="C60" s="828"/>
      <c r="D60" s="821">
        <f>SUM(E60:T60)</f>
        <v>77300</v>
      </c>
      <c r="E60" s="821">
        <f>SUM(E61:E65)</f>
        <v>0</v>
      </c>
      <c r="F60" s="821">
        <f t="shared" ref="F60:T60" si="7">SUM(F61:F65)</f>
        <v>0</v>
      </c>
      <c r="G60" s="821">
        <f t="shared" si="7"/>
        <v>0</v>
      </c>
      <c r="H60" s="825">
        <f t="shared" si="4"/>
        <v>0</v>
      </c>
      <c r="I60" s="821">
        <f t="shared" si="7"/>
        <v>0</v>
      </c>
      <c r="J60" s="821">
        <f t="shared" si="7"/>
        <v>0</v>
      </c>
      <c r="K60" s="821">
        <f t="shared" si="7"/>
        <v>0</v>
      </c>
      <c r="L60" s="821">
        <f>SUM(L61:L65)</f>
        <v>77300</v>
      </c>
      <c r="M60" s="821">
        <f t="shared" si="7"/>
        <v>0</v>
      </c>
      <c r="N60" s="821">
        <f t="shared" si="7"/>
        <v>0</v>
      </c>
      <c r="O60" s="821">
        <f t="shared" si="7"/>
        <v>0</v>
      </c>
      <c r="P60" s="821">
        <f t="shared" si="7"/>
        <v>0</v>
      </c>
      <c r="Q60" s="821">
        <f t="shared" si="7"/>
        <v>0</v>
      </c>
      <c r="R60" s="821">
        <f t="shared" si="7"/>
        <v>0</v>
      </c>
      <c r="S60" s="821">
        <f t="shared" si="7"/>
        <v>0</v>
      </c>
      <c r="T60" s="821">
        <f t="shared" si="7"/>
        <v>0</v>
      </c>
      <c r="U60" s="826"/>
    </row>
    <row r="61" spans="1:21" s="839" customFormat="1" ht="31.5" hidden="1">
      <c r="A61" s="833"/>
      <c r="B61" s="834" t="s">
        <v>845</v>
      </c>
      <c r="C61" s="835"/>
      <c r="D61" s="836"/>
      <c r="E61" s="837"/>
      <c r="F61" s="837"/>
      <c r="G61" s="837"/>
      <c r="H61" s="825">
        <f t="shared" si="4"/>
        <v>0</v>
      </c>
      <c r="I61" s="837"/>
      <c r="J61" s="837"/>
      <c r="K61" s="837"/>
      <c r="L61" s="837">
        <v>2500</v>
      </c>
      <c r="M61" s="837"/>
      <c r="N61" s="837"/>
      <c r="O61" s="837"/>
      <c r="P61" s="837"/>
      <c r="Q61" s="837"/>
      <c r="R61" s="837"/>
      <c r="S61" s="837"/>
      <c r="T61" s="837"/>
      <c r="U61" s="838"/>
    </row>
    <row r="62" spans="1:21" s="839" customFormat="1" ht="31.5" hidden="1">
      <c r="A62" s="833"/>
      <c r="B62" s="834" t="s">
        <v>846</v>
      </c>
      <c r="C62" s="835"/>
      <c r="D62" s="836"/>
      <c r="E62" s="837"/>
      <c r="F62" s="837"/>
      <c r="G62" s="837"/>
      <c r="H62" s="825">
        <f t="shared" si="4"/>
        <v>0</v>
      </c>
      <c r="I62" s="837"/>
      <c r="J62" s="837"/>
      <c r="K62" s="837"/>
      <c r="L62" s="837">
        <v>18000</v>
      </c>
      <c r="M62" s="837"/>
      <c r="N62" s="837"/>
      <c r="O62" s="837"/>
      <c r="P62" s="837"/>
      <c r="Q62" s="837"/>
      <c r="R62" s="837"/>
      <c r="S62" s="837"/>
      <c r="T62" s="837"/>
      <c r="U62" s="838"/>
    </row>
    <row r="63" spans="1:21" s="839" customFormat="1" ht="31.5" hidden="1">
      <c r="A63" s="833"/>
      <c r="B63" s="834" t="s">
        <v>847</v>
      </c>
      <c r="C63" s="835"/>
      <c r="D63" s="836"/>
      <c r="E63" s="837"/>
      <c r="F63" s="837"/>
      <c r="G63" s="837"/>
      <c r="H63" s="825">
        <f t="shared" si="4"/>
        <v>0</v>
      </c>
      <c r="I63" s="837"/>
      <c r="J63" s="837"/>
      <c r="K63" s="837"/>
      <c r="L63" s="837">
        <v>5800</v>
      </c>
      <c r="M63" s="837"/>
      <c r="N63" s="837"/>
      <c r="O63" s="837"/>
      <c r="P63" s="837"/>
      <c r="Q63" s="837"/>
      <c r="R63" s="837"/>
      <c r="S63" s="837"/>
      <c r="T63" s="837"/>
      <c r="U63" s="838"/>
    </row>
    <row r="64" spans="1:21" s="839" customFormat="1" ht="47.25" hidden="1">
      <c r="A64" s="833"/>
      <c r="B64" s="834" t="s">
        <v>848</v>
      </c>
      <c r="C64" s="835"/>
      <c r="D64" s="836"/>
      <c r="E64" s="837"/>
      <c r="F64" s="837"/>
      <c r="G64" s="837"/>
      <c r="H64" s="825">
        <f t="shared" si="4"/>
        <v>0</v>
      </c>
      <c r="I64" s="837"/>
      <c r="J64" s="837"/>
      <c r="K64" s="837"/>
      <c r="L64" s="837">
        <f>16000+4000</f>
        <v>20000</v>
      </c>
      <c r="M64" s="837"/>
      <c r="N64" s="837"/>
      <c r="O64" s="837"/>
      <c r="P64" s="837"/>
      <c r="Q64" s="837"/>
      <c r="R64" s="837"/>
      <c r="S64" s="837"/>
      <c r="T64" s="837"/>
      <c r="U64" s="838"/>
    </row>
    <row r="65" spans="1:21" s="839" customFormat="1" ht="31.5" hidden="1">
      <c r="A65" s="833"/>
      <c r="B65" s="834" t="s">
        <v>891</v>
      </c>
      <c r="C65" s="835"/>
      <c r="D65" s="836"/>
      <c r="E65" s="837"/>
      <c r="F65" s="837"/>
      <c r="G65" s="837"/>
      <c r="H65" s="825">
        <f t="shared" si="4"/>
        <v>0</v>
      </c>
      <c r="I65" s="837"/>
      <c r="J65" s="837"/>
      <c r="K65" s="837"/>
      <c r="L65" s="837">
        <v>31000</v>
      </c>
      <c r="M65" s="837"/>
      <c r="N65" s="837"/>
      <c r="O65" s="837"/>
      <c r="P65" s="837"/>
      <c r="Q65" s="837"/>
      <c r="R65" s="837"/>
      <c r="S65" s="837"/>
      <c r="T65" s="837"/>
      <c r="U65" s="838"/>
    </row>
    <row r="66" spans="1:21" s="827" customFormat="1" ht="15.75" hidden="1">
      <c r="A66" s="822" t="s">
        <v>433</v>
      </c>
      <c r="B66" s="823" t="s">
        <v>20</v>
      </c>
      <c r="C66" s="828"/>
      <c r="D66" s="821">
        <f>SUM(E66:T66)</f>
        <v>235520</v>
      </c>
      <c r="E66" s="825">
        <f t="shared" ref="E66:T66" si="8">SUM(E67:E72)</f>
        <v>0</v>
      </c>
      <c r="F66" s="825">
        <f t="shared" si="8"/>
        <v>0</v>
      </c>
      <c r="G66" s="825">
        <f t="shared" si="8"/>
        <v>0</v>
      </c>
      <c r="H66" s="825">
        <f t="shared" si="4"/>
        <v>0</v>
      </c>
      <c r="I66" s="825">
        <f t="shared" si="8"/>
        <v>0</v>
      </c>
      <c r="J66" s="825">
        <f t="shared" si="8"/>
        <v>0</v>
      </c>
      <c r="K66" s="825">
        <f t="shared" si="8"/>
        <v>0</v>
      </c>
      <c r="L66" s="825">
        <f t="shared" si="8"/>
        <v>0</v>
      </c>
      <c r="M66" s="825">
        <f t="shared" si="8"/>
        <v>235520</v>
      </c>
      <c r="N66" s="825">
        <f t="shared" si="8"/>
        <v>0</v>
      </c>
      <c r="O66" s="825">
        <f t="shared" si="8"/>
        <v>0</v>
      </c>
      <c r="P66" s="825">
        <f t="shared" si="8"/>
        <v>0</v>
      </c>
      <c r="Q66" s="825">
        <f t="shared" si="8"/>
        <v>0</v>
      </c>
      <c r="R66" s="825">
        <f t="shared" si="8"/>
        <v>0</v>
      </c>
      <c r="S66" s="825">
        <f t="shared" si="8"/>
        <v>0</v>
      </c>
      <c r="T66" s="825">
        <f t="shared" si="8"/>
        <v>0</v>
      </c>
      <c r="U66" s="826"/>
    </row>
    <row r="67" spans="1:21" s="839" customFormat="1" ht="15.75" hidden="1">
      <c r="A67" s="833"/>
      <c r="B67" s="834" t="s">
        <v>849</v>
      </c>
      <c r="C67" s="835"/>
      <c r="D67" s="836"/>
      <c r="E67" s="837"/>
      <c r="F67" s="837"/>
      <c r="G67" s="837"/>
      <c r="H67" s="825">
        <f t="shared" si="4"/>
        <v>0</v>
      </c>
      <c r="I67" s="837"/>
      <c r="J67" s="837"/>
      <c r="K67" s="837"/>
      <c r="L67" s="837"/>
      <c r="M67" s="837">
        <v>50000</v>
      </c>
      <c r="N67" s="837"/>
      <c r="O67" s="837"/>
      <c r="P67" s="837"/>
      <c r="Q67" s="837"/>
      <c r="R67" s="837"/>
      <c r="S67" s="837"/>
      <c r="T67" s="837"/>
      <c r="U67" s="838"/>
    </row>
    <row r="68" spans="1:21" s="839" customFormat="1" ht="15.75" hidden="1">
      <c r="A68" s="833"/>
      <c r="B68" s="834" t="s">
        <v>850</v>
      </c>
      <c r="C68" s="835"/>
      <c r="D68" s="836"/>
      <c r="E68" s="837"/>
      <c r="F68" s="837"/>
      <c r="G68" s="837"/>
      <c r="H68" s="825">
        <f t="shared" si="4"/>
        <v>0</v>
      </c>
      <c r="I68" s="837"/>
      <c r="J68" s="837"/>
      <c r="K68" s="837"/>
      <c r="L68" s="837"/>
      <c r="M68" s="837">
        <v>30000</v>
      </c>
      <c r="N68" s="837"/>
      <c r="O68" s="837"/>
      <c r="P68" s="837"/>
      <c r="Q68" s="837"/>
      <c r="R68" s="837"/>
      <c r="S68" s="837"/>
      <c r="T68" s="837"/>
      <c r="U68" s="838"/>
    </row>
    <row r="69" spans="1:21" s="827" customFormat="1" ht="31.5" hidden="1">
      <c r="A69" s="822"/>
      <c r="B69" s="834" t="s">
        <v>846</v>
      </c>
      <c r="C69" s="828"/>
      <c r="D69" s="821">
        <f t="shared" si="3"/>
        <v>67000</v>
      </c>
      <c r="E69" s="825"/>
      <c r="F69" s="825"/>
      <c r="G69" s="825"/>
      <c r="H69" s="825">
        <f t="shared" si="4"/>
        <v>0</v>
      </c>
      <c r="I69" s="825"/>
      <c r="J69" s="825"/>
      <c r="K69" s="825"/>
      <c r="L69" s="825"/>
      <c r="M69" s="825">
        <v>67000</v>
      </c>
      <c r="N69" s="825"/>
      <c r="O69" s="825"/>
      <c r="P69" s="825"/>
      <c r="Q69" s="825"/>
      <c r="R69" s="825"/>
      <c r="S69" s="825"/>
      <c r="T69" s="825"/>
      <c r="U69" s="826"/>
    </row>
    <row r="70" spans="1:21" s="827" customFormat="1" ht="47.25" hidden="1">
      <c r="A70" s="822"/>
      <c r="B70" s="834" t="s">
        <v>851</v>
      </c>
      <c r="C70" s="828"/>
      <c r="D70" s="821"/>
      <c r="E70" s="825"/>
      <c r="F70" s="825"/>
      <c r="G70" s="825"/>
      <c r="H70" s="825">
        <f t="shared" si="4"/>
        <v>0</v>
      </c>
      <c r="I70" s="825"/>
      <c r="J70" s="825"/>
      <c r="K70" s="825"/>
      <c r="L70" s="825"/>
      <c r="M70" s="825">
        <v>63520</v>
      </c>
      <c r="N70" s="825"/>
      <c r="O70" s="825"/>
      <c r="P70" s="825"/>
      <c r="Q70" s="825"/>
      <c r="R70" s="825"/>
      <c r="S70" s="825"/>
      <c r="T70" s="825"/>
      <c r="U70" s="826"/>
    </row>
    <row r="71" spans="1:21" s="827" customFormat="1" ht="31.5" hidden="1">
      <c r="A71" s="822"/>
      <c r="B71" s="834" t="s">
        <v>852</v>
      </c>
      <c r="C71" s="828"/>
      <c r="D71" s="821"/>
      <c r="E71" s="825"/>
      <c r="F71" s="825"/>
      <c r="G71" s="825"/>
      <c r="H71" s="825">
        <f t="shared" si="4"/>
        <v>0</v>
      </c>
      <c r="I71" s="825"/>
      <c r="J71" s="825"/>
      <c r="K71" s="825"/>
      <c r="L71" s="825"/>
      <c r="M71" s="825">
        <v>15000</v>
      </c>
      <c r="N71" s="825"/>
      <c r="O71" s="825"/>
      <c r="P71" s="825"/>
      <c r="Q71" s="825"/>
      <c r="R71" s="825"/>
      <c r="S71" s="825"/>
      <c r="T71" s="825"/>
      <c r="U71" s="826"/>
    </row>
    <row r="72" spans="1:21" s="827" customFormat="1" ht="15.75" hidden="1">
      <c r="A72" s="822"/>
      <c r="B72" s="834" t="s">
        <v>853</v>
      </c>
      <c r="C72" s="828"/>
      <c r="D72" s="821"/>
      <c r="E72" s="825"/>
      <c r="F72" s="825"/>
      <c r="G72" s="825"/>
      <c r="H72" s="825">
        <f t="shared" si="4"/>
        <v>0</v>
      </c>
      <c r="I72" s="825"/>
      <c r="J72" s="825"/>
      <c r="K72" s="825"/>
      <c r="L72" s="825"/>
      <c r="M72" s="825">
        <v>10000</v>
      </c>
      <c r="N72" s="825"/>
      <c r="O72" s="825"/>
      <c r="P72" s="825"/>
      <c r="Q72" s="825"/>
      <c r="R72" s="825"/>
      <c r="S72" s="825"/>
      <c r="T72" s="825"/>
      <c r="U72" s="826"/>
    </row>
    <row r="73" spans="1:21" s="827" customFormat="1" ht="63" hidden="1">
      <c r="A73" s="822" t="s">
        <v>433</v>
      </c>
      <c r="B73" s="823" t="s">
        <v>854</v>
      </c>
      <c r="C73" s="828"/>
      <c r="D73" s="821"/>
      <c r="E73" s="825"/>
      <c r="F73" s="825"/>
      <c r="G73" s="825"/>
      <c r="H73" s="825">
        <f t="shared" si="4"/>
        <v>0</v>
      </c>
      <c r="I73" s="825"/>
      <c r="J73" s="825"/>
      <c r="K73" s="825"/>
      <c r="L73" s="825"/>
      <c r="M73" s="825"/>
      <c r="N73" s="825">
        <v>15000</v>
      </c>
      <c r="O73" s="825"/>
      <c r="P73" s="825"/>
      <c r="Q73" s="825"/>
      <c r="R73" s="825"/>
      <c r="S73" s="825"/>
      <c r="T73" s="825"/>
      <c r="U73" s="826"/>
    </row>
    <row r="74" spans="1:21" s="827" customFormat="1" ht="15.75" hidden="1">
      <c r="A74" s="822" t="s">
        <v>433</v>
      </c>
      <c r="B74" s="823" t="s">
        <v>855</v>
      </c>
      <c r="C74" s="828"/>
      <c r="D74" s="821">
        <f>SUM(E74:T74)</f>
        <v>168971</v>
      </c>
      <c r="E74" s="825">
        <f>SUM(E75:E78)</f>
        <v>168971</v>
      </c>
      <c r="F74" s="825">
        <f t="shared" ref="F74:T74" si="9">SUM(F75:F78)</f>
        <v>0</v>
      </c>
      <c r="G74" s="825">
        <f t="shared" si="9"/>
        <v>0</v>
      </c>
      <c r="H74" s="825">
        <f t="shared" si="4"/>
        <v>0</v>
      </c>
      <c r="I74" s="825">
        <f t="shared" si="9"/>
        <v>0</v>
      </c>
      <c r="J74" s="825">
        <f t="shared" si="9"/>
        <v>0</v>
      </c>
      <c r="K74" s="825">
        <f t="shared" si="9"/>
        <v>0</v>
      </c>
      <c r="L74" s="825">
        <f t="shared" si="9"/>
        <v>0</v>
      </c>
      <c r="M74" s="825">
        <f t="shared" si="9"/>
        <v>0</v>
      </c>
      <c r="N74" s="825">
        <f t="shared" si="9"/>
        <v>0</v>
      </c>
      <c r="O74" s="825">
        <f t="shared" si="9"/>
        <v>0</v>
      </c>
      <c r="P74" s="825">
        <f t="shared" si="9"/>
        <v>0</v>
      </c>
      <c r="Q74" s="825">
        <f t="shared" si="9"/>
        <v>0</v>
      </c>
      <c r="R74" s="825">
        <f t="shared" si="9"/>
        <v>0</v>
      </c>
      <c r="S74" s="825">
        <f t="shared" si="9"/>
        <v>0</v>
      </c>
      <c r="T74" s="825">
        <f t="shared" si="9"/>
        <v>0</v>
      </c>
      <c r="U74" s="826"/>
    </row>
    <row r="75" spans="1:21" s="839" customFormat="1" ht="15.75" hidden="1">
      <c r="A75" s="833"/>
      <c r="B75" s="834" t="s">
        <v>856</v>
      </c>
      <c r="C75" s="835"/>
      <c r="D75" s="836"/>
      <c r="E75" s="837">
        <v>25000</v>
      </c>
      <c r="F75" s="837"/>
      <c r="G75" s="837"/>
      <c r="H75" s="825">
        <f t="shared" si="4"/>
        <v>0</v>
      </c>
      <c r="I75" s="837"/>
      <c r="J75" s="837"/>
      <c r="K75" s="837"/>
      <c r="L75" s="837"/>
      <c r="M75" s="837"/>
      <c r="N75" s="837"/>
      <c r="O75" s="837"/>
      <c r="P75" s="837"/>
      <c r="Q75" s="837"/>
      <c r="R75" s="837"/>
      <c r="S75" s="837"/>
      <c r="T75" s="837"/>
      <c r="U75" s="838"/>
    </row>
    <row r="76" spans="1:21" s="839" customFormat="1" ht="31.5" hidden="1">
      <c r="A76" s="833"/>
      <c r="B76" s="834" t="s">
        <v>857</v>
      </c>
      <c r="C76" s="835"/>
      <c r="D76" s="836"/>
      <c r="E76" s="837">
        <v>35000</v>
      </c>
      <c r="F76" s="837"/>
      <c r="G76" s="837"/>
      <c r="H76" s="825">
        <f t="shared" ref="H76:H82" si="10">F76+G76</f>
        <v>0</v>
      </c>
      <c r="I76" s="837"/>
      <c r="J76" s="837"/>
      <c r="K76" s="837"/>
      <c r="L76" s="837"/>
      <c r="M76" s="837"/>
      <c r="N76" s="837"/>
      <c r="O76" s="837"/>
      <c r="P76" s="837"/>
      <c r="Q76" s="837"/>
      <c r="R76" s="837"/>
      <c r="S76" s="837"/>
      <c r="T76" s="837"/>
      <c r="U76" s="838"/>
    </row>
    <row r="77" spans="1:21" s="839" customFormat="1" ht="78.75" hidden="1">
      <c r="A77" s="833"/>
      <c r="B77" s="834" t="s">
        <v>832</v>
      </c>
      <c r="C77" s="835"/>
      <c r="D77" s="836"/>
      <c r="E77" s="837">
        <v>80000</v>
      </c>
      <c r="F77" s="837"/>
      <c r="G77" s="837"/>
      <c r="H77" s="825">
        <f t="shared" si="10"/>
        <v>0</v>
      </c>
      <c r="I77" s="837"/>
      <c r="J77" s="837"/>
      <c r="K77" s="837"/>
      <c r="L77" s="837"/>
      <c r="M77" s="837"/>
      <c r="N77" s="837"/>
      <c r="O77" s="837"/>
      <c r="P77" s="837"/>
      <c r="Q77" s="837"/>
      <c r="R77" s="837"/>
      <c r="S77" s="837"/>
      <c r="T77" s="837"/>
      <c r="U77" s="838"/>
    </row>
    <row r="78" spans="1:21" s="839" customFormat="1" ht="47.25" hidden="1">
      <c r="A78" s="833"/>
      <c r="B78" s="834" t="s">
        <v>858</v>
      </c>
      <c r="C78" s="835"/>
      <c r="D78" s="836"/>
      <c r="E78" s="837">
        <f>9657*3</f>
        <v>28971</v>
      </c>
      <c r="F78" s="837"/>
      <c r="G78" s="837"/>
      <c r="H78" s="825">
        <f t="shared" si="10"/>
        <v>0</v>
      </c>
      <c r="I78" s="837"/>
      <c r="J78" s="837"/>
      <c r="K78" s="837"/>
      <c r="L78" s="837"/>
      <c r="M78" s="837"/>
      <c r="N78" s="837"/>
      <c r="O78" s="837"/>
      <c r="P78" s="837"/>
      <c r="Q78" s="837"/>
      <c r="R78" s="837"/>
      <c r="S78" s="837"/>
      <c r="T78" s="837"/>
      <c r="U78" s="838"/>
    </row>
    <row r="79" spans="1:21" s="827" customFormat="1" ht="31.5">
      <c r="A79" s="822">
        <v>36</v>
      </c>
      <c r="B79" s="823" t="s">
        <v>859</v>
      </c>
      <c r="C79" s="828"/>
      <c r="D79" s="821">
        <f t="shared" si="3"/>
        <v>8566.7708000000002</v>
      </c>
      <c r="E79" s="825">
        <v>6076.7708000000002</v>
      </c>
      <c r="F79" s="825"/>
      <c r="G79" s="825"/>
      <c r="H79" s="825">
        <f t="shared" si="10"/>
        <v>0</v>
      </c>
      <c r="I79" s="825"/>
      <c r="J79" s="825"/>
      <c r="K79" s="825">
        <v>50</v>
      </c>
      <c r="L79" s="825"/>
      <c r="M79" s="825">
        <v>2440</v>
      </c>
      <c r="N79" s="825"/>
      <c r="O79" s="825"/>
      <c r="P79" s="825"/>
      <c r="Q79" s="825"/>
      <c r="R79" s="825"/>
      <c r="S79" s="825"/>
      <c r="T79" s="825"/>
      <c r="U79" s="826"/>
    </row>
    <row r="80" spans="1:21" s="827" customFormat="1" ht="31.5">
      <c r="A80" s="822">
        <v>37</v>
      </c>
      <c r="B80" s="840" t="s">
        <v>881</v>
      </c>
      <c r="C80" s="828"/>
      <c r="D80" s="821">
        <f t="shared" si="3"/>
        <v>17123.727999999999</v>
      </c>
      <c r="E80" s="825"/>
      <c r="F80" s="825"/>
      <c r="G80" s="825"/>
      <c r="H80" s="825">
        <f t="shared" si="10"/>
        <v>0</v>
      </c>
      <c r="I80" s="825"/>
      <c r="J80" s="825"/>
      <c r="K80" s="825">
        <v>17097.727999999999</v>
      </c>
      <c r="L80" s="825"/>
      <c r="M80" s="825"/>
      <c r="N80" s="825"/>
      <c r="O80" s="825">
        <v>26</v>
      </c>
      <c r="P80" s="825"/>
      <c r="Q80" s="825"/>
      <c r="R80" s="825"/>
      <c r="S80" s="825"/>
      <c r="T80" s="825"/>
      <c r="U80" s="826"/>
    </row>
    <row r="81" spans="1:21" s="827" customFormat="1" ht="15.75">
      <c r="A81" s="822">
        <v>38</v>
      </c>
      <c r="B81" s="841" t="s">
        <v>860</v>
      </c>
      <c r="C81" s="828"/>
      <c r="D81" s="821">
        <f t="shared" si="3"/>
        <v>40000</v>
      </c>
      <c r="E81" s="825"/>
      <c r="F81" s="825"/>
      <c r="G81" s="825"/>
      <c r="H81" s="825">
        <f t="shared" si="10"/>
        <v>0</v>
      </c>
      <c r="I81" s="825"/>
      <c r="J81" s="825"/>
      <c r="K81" s="825"/>
      <c r="L81" s="825"/>
      <c r="M81" s="825">
        <v>40000</v>
      </c>
      <c r="N81" s="825"/>
      <c r="O81" s="825"/>
      <c r="P81" s="825"/>
      <c r="Q81" s="825"/>
      <c r="R81" s="825"/>
      <c r="S81" s="825"/>
      <c r="T81" s="825"/>
      <c r="U81" s="826"/>
    </row>
    <row r="82" spans="1:21" s="827" customFormat="1" ht="31.5" customHeight="1">
      <c r="A82" s="822">
        <v>39</v>
      </c>
      <c r="B82" s="842" t="s">
        <v>861</v>
      </c>
      <c r="C82" s="828"/>
      <c r="D82" s="821">
        <f t="shared" si="3"/>
        <v>1710</v>
      </c>
      <c r="E82" s="825"/>
      <c r="F82" s="825"/>
      <c r="G82" s="825"/>
      <c r="H82" s="825">
        <f t="shared" si="10"/>
        <v>0</v>
      </c>
      <c r="I82" s="825"/>
      <c r="J82" s="825"/>
      <c r="K82" s="825"/>
      <c r="L82" s="825"/>
      <c r="M82" s="825">
        <v>1710</v>
      </c>
      <c r="N82" s="825"/>
      <c r="O82" s="825"/>
      <c r="P82" s="825"/>
      <c r="Q82" s="825"/>
      <c r="R82" s="825"/>
      <c r="S82" s="825"/>
      <c r="T82" s="825"/>
      <c r="U82" s="826"/>
    </row>
    <row r="83" spans="1:21" s="856" customFormat="1" ht="31.5" hidden="1">
      <c r="A83" s="833">
        <v>40</v>
      </c>
      <c r="B83" s="853" t="s">
        <v>862</v>
      </c>
      <c r="C83" s="854">
        <f>SUM(C84:C91)</f>
        <v>0</v>
      </c>
      <c r="D83" s="836">
        <f t="shared" ref="D83:T83" si="11">SUM(D84:D95)</f>
        <v>668722.12800000003</v>
      </c>
      <c r="E83" s="836">
        <f t="shared" si="11"/>
        <v>0</v>
      </c>
      <c r="F83" s="836">
        <f t="shared" si="11"/>
        <v>0</v>
      </c>
      <c r="G83" s="836">
        <f t="shared" si="11"/>
        <v>9117</v>
      </c>
      <c r="H83" s="836">
        <f t="shared" si="11"/>
        <v>9117</v>
      </c>
      <c r="I83" s="836">
        <f t="shared" si="11"/>
        <v>451334</v>
      </c>
      <c r="J83" s="836">
        <f t="shared" si="11"/>
        <v>0</v>
      </c>
      <c r="K83" s="836">
        <f t="shared" si="11"/>
        <v>320</v>
      </c>
      <c r="L83" s="836">
        <f t="shared" si="11"/>
        <v>500</v>
      </c>
      <c r="M83" s="836">
        <f t="shared" si="11"/>
        <v>48031</v>
      </c>
      <c r="N83" s="836">
        <f t="shared" si="11"/>
        <v>400</v>
      </c>
      <c r="O83" s="836">
        <f t="shared" si="11"/>
        <v>47496</v>
      </c>
      <c r="P83" s="836">
        <f t="shared" si="11"/>
        <v>14100</v>
      </c>
      <c r="Q83" s="836">
        <f t="shared" si="11"/>
        <v>80000</v>
      </c>
      <c r="R83" s="836">
        <f t="shared" si="11"/>
        <v>16839.127999999997</v>
      </c>
      <c r="S83" s="836">
        <f t="shared" si="11"/>
        <v>585</v>
      </c>
      <c r="T83" s="836">
        <f t="shared" si="11"/>
        <v>0</v>
      </c>
      <c r="U83" s="855"/>
    </row>
    <row r="84" spans="1:21" s="827" customFormat="1" ht="15.75" hidden="1">
      <c r="A84" s="822">
        <v>40</v>
      </c>
      <c r="B84" s="823" t="s">
        <v>863</v>
      </c>
      <c r="C84" s="828"/>
      <c r="D84" s="821">
        <f>SUM(E84:T84)-H84</f>
        <v>9950</v>
      </c>
      <c r="E84" s="825"/>
      <c r="F84" s="825"/>
      <c r="G84" s="825"/>
      <c r="H84" s="825"/>
      <c r="I84" s="825"/>
      <c r="J84" s="825"/>
      <c r="K84" s="825"/>
      <c r="L84" s="825"/>
      <c r="M84" s="825">
        <v>350</v>
      </c>
      <c r="N84" s="825"/>
      <c r="O84" s="825">
        <v>9600</v>
      </c>
      <c r="P84" s="825"/>
      <c r="Q84" s="825"/>
      <c r="R84" s="825"/>
      <c r="S84" s="825"/>
      <c r="T84" s="825"/>
      <c r="U84" s="826"/>
    </row>
    <row r="85" spans="1:21" s="827" customFormat="1" ht="15.75" hidden="1">
      <c r="A85" s="822">
        <v>41</v>
      </c>
      <c r="B85" s="823" t="s">
        <v>864</v>
      </c>
      <c r="C85" s="828"/>
      <c r="D85" s="821">
        <f>SUM(E85:T85)-H85</f>
        <v>45863</v>
      </c>
      <c r="E85" s="825"/>
      <c r="F85" s="825"/>
      <c r="G85" s="825">
        <v>7847</v>
      </c>
      <c r="H85" s="825">
        <f t="shared" ref="H85" si="12">F85+G85</f>
        <v>7847</v>
      </c>
      <c r="I85" s="825"/>
      <c r="J85" s="825"/>
      <c r="K85" s="825">
        <f>50+70</f>
        <v>120</v>
      </c>
      <c r="L85" s="825"/>
      <c r="M85" s="825"/>
      <c r="N85" s="825"/>
      <c r="O85" s="825">
        <v>37896</v>
      </c>
      <c r="P85" s="825"/>
      <c r="Q85" s="825"/>
      <c r="R85" s="825"/>
      <c r="S85" s="825"/>
      <c r="T85" s="825"/>
      <c r="U85" s="826"/>
    </row>
    <row r="86" spans="1:21" s="827" customFormat="1" ht="16.5" hidden="1" customHeight="1">
      <c r="A86" s="822">
        <v>42</v>
      </c>
      <c r="B86" s="823" t="s">
        <v>882</v>
      </c>
      <c r="C86" s="828"/>
      <c r="D86" s="821">
        <f t="shared" ref="D86:D94" si="13">SUM(E86:T86)-H86</f>
        <v>14650</v>
      </c>
      <c r="E86" s="825"/>
      <c r="F86" s="825"/>
      <c r="G86" s="825"/>
      <c r="H86" s="825"/>
      <c r="I86" s="825"/>
      <c r="J86" s="825"/>
      <c r="K86" s="825">
        <v>150</v>
      </c>
      <c r="L86" s="825"/>
      <c r="M86" s="825"/>
      <c r="N86" s="825">
        <v>400</v>
      </c>
      <c r="O86" s="825"/>
      <c r="P86" s="825">
        <v>14100</v>
      </c>
      <c r="Q86" s="825"/>
      <c r="R86" s="825"/>
      <c r="S86" s="825"/>
      <c r="T86" s="825"/>
      <c r="U86" s="826"/>
    </row>
    <row r="87" spans="1:21" s="827" customFormat="1" ht="16.5" customHeight="1">
      <c r="A87" s="822">
        <v>40</v>
      </c>
      <c r="B87" s="823" t="s">
        <v>865</v>
      </c>
      <c r="C87" s="828"/>
      <c r="D87" s="821">
        <f t="shared" si="13"/>
        <v>400</v>
      </c>
      <c r="E87" s="825"/>
      <c r="F87" s="825"/>
      <c r="G87" s="825"/>
      <c r="H87" s="825"/>
      <c r="I87" s="825"/>
      <c r="J87" s="825"/>
      <c r="K87" s="825"/>
      <c r="L87" s="825"/>
      <c r="M87" s="825">
        <v>400</v>
      </c>
      <c r="N87" s="825"/>
      <c r="O87" s="825"/>
      <c r="P87" s="825"/>
      <c r="Q87" s="825"/>
      <c r="R87" s="825"/>
      <c r="S87" s="825"/>
      <c r="T87" s="825"/>
      <c r="U87" s="826"/>
    </row>
    <row r="88" spans="1:21" s="827" customFormat="1" ht="15.75">
      <c r="A88" s="822">
        <v>41</v>
      </c>
      <c r="B88" s="823" t="s">
        <v>866</v>
      </c>
      <c r="C88" s="828"/>
      <c r="D88" s="821">
        <f t="shared" si="13"/>
        <v>432334</v>
      </c>
      <c r="E88" s="825"/>
      <c r="F88" s="825"/>
      <c r="G88" s="825"/>
      <c r="H88" s="825"/>
      <c r="I88" s="825">
        <v>432334</v>
      </c>
      <c r="J88" s="825"/>
      <c r="K88" s="825"/>
      <c r="L88" s="825"/>
      <c r="M88" s="825"/>
      <c r="N88" s="825"/>
      <c r="O88" s="825"/>
      <c r="P88" s="825"/>
      <c r="Q88" s="825"/>
      <c r="R88" s="825"/>
      <c r="S88" s="825"/>
      <c r="T88" s="825"/>
      <c r="U88" s="826"/>
    </row>
    <row r="89" spans="1:21" s="827" customFormat="1" ht="33.75" customHeight="1">
      <c r="A89" s="822">
        <v>42</v>
      </c>
      <c r="B89" s="843" t="s">
        <v>867</v>
      </c>
      <c r="C89" s="828"/>
      <c r="D89" s="821">
        <f t="shared" si="13"/>
        <v>46681</v>
      </c>
      <c r="E89" s="825"/>
      <c r="F89" s="825"/>
      <c r="G89" s="825"/>
      <c r="H89" s="825"/>
      <c r="I89" s="825"/>
      <c r="J89" s="825"/>
      <c r="K89" s="825"/>
      <c r="L89" s="825"/>
      <c r="M89" s="825">
        <v>46681</v>
      </c>
      <c r="N89" s="825"/>
      <c r="O89" s="825"/>
      <c r="P89" s="825"/>
      <c r="Q89" s="825"/>
      <c r="R89" s="825"/>
      <c r="S89" s="825"/>
      <c r="T89" s="825"/>
      <c r="U89" s="826"/>
    </row>
    <row r="90" spans="1:21" s="827" customFormat="1" ht="15.75">
      <c r="A90" s="822">
        <v>43</v>
      </c>
      <c r="B90" s="842" t="s">
        <v>887</v>
      </c>
      <c r="C90" s="828"/>
      <c r="D90" s="821">
        <f t="shared" si="13"/>
        <v>80000</v>
      </c>
      <c r="E90" s="825"/>
      <c r="F90" s="825"/>
      <c r="G90" s="825"/>
      <c r="H90" s="825"/>
      <c r="I90" s="825"/>
      <c r="J90" s="825"/>
      <c r="K90" s="825"/>
      <c r="L90" s="825"/>
      <c r="M90" s="825"/>
      <c r="N90" s="825"/>
      <c r="O90" s="825"/>
      <c r="P90" s="825"/>
      <c r="Q90" s="825">
        <v>80000</v>
      </c>
      <c r="R90" s="825"/>
      <c r="S90" s="825"/>
      <c r="T90" s="825"/>
      <c r="U90" s="826"/>
    </row>
    <row r="91" spans="1:21" s="827" customFormat="1" ht="31.5" customHeight="1">
      <c r="A91" s="822">
        <v>44</v>
      </c>
      <c r="B91" s="843" t="s">
        <v>888</v>
      </c>
      <c r="C91" s="828"/>
      <c r="D91" s="821">
        <f t="shared" si="13"/>
        <v>19000</v>
      </c>
      <c r="E91" s="825"/>
      <c r="F91" s="825"/>
      <c r="G91" s="825"/>
      <c r="H91" s="825"/>
      <c r="I91" s="825">
        <v>19000</v>
      </c>
      <c r="J91" s="825"/>
      <c r="K91" s="825"/>
      <c r="L91" s="825"/>
      <c r="M91" s="825"/>
      <c r="N91" s="825"/>
      <c r="O91" s="825"/>
      <c r="P91" s="825"/>
      <c r="Q91" s="844"/>
      <c r="R91" s="844"/>
      <c r="S91" s="844"/>
      <c r="T91" s="825"/>
      <c r="U91" s="826"/>
    </row>
    <row r="92" spans="1:21" s="827" customFormat="1" ht="15.75">
      <c r="A92" s="822">
        <v>45</v>
      </c>
      <c r="B92" s="841" t="s">
        <v>889</v>
      </c>
      <c r="C92" s="828"/>
      <c r="D92" s="821">
        <f t="shared" si="13"/>
        <v>500</v>
      </c>
      <c r="E92" s="825"/>
      <c r="F92" s="825"/>
      <c r="G92" s="825"/>
      <c r="H92" s="825"/>
      <c r="I92" s="825"/>
      <c r="J92" s="825"/>
      <c r="K92" s="825"/>
      <c r="L92" s="825">
        <v>500</v>
      </c>
      <c r="M92" s="825"/>
      <c r="N92" s="825"/>
      <c r="O92" s="825"/>
      <c r="P92" s="825"/>
      <c r="Q92" s="825"/>
      <c r="R92" s="825"/>
      <c r="S92" s="825"/>
      <c r="T92" s="825"/>
      <c r="U92" s="826"/>
    </row>
    <row r="93" spans="1:21" s="827" customFormat="1" ht="15.75">
      <c r="A93" s="822">
        <v>46</v>
      </c>
      <c r="B93" s="841" t="s">
        <v>890</v>
      </c>
      <c r="C93" s="828"/>
      <c r="D93" s="821">
        <f t="shared" si="13"/>
        <v>250</v>
      </c>
      <c r="E93" s="825"/>
      <c r="F93" s="825"/>
      <c r="G93" s="825"/>
      <c r="H93" s="825"/>
      <c r="I93" s="825"/>
      <c r="J93" s="825"/>
      <c r="K93" s="825"/>
      <c r="L93" s="825"/>
      <c r="M93" s="825"/>
      <c r="N93" s="825"/>
      <c r="O93" s="825"/>
      <c r="P93" s="825"/>
      <c r="Q93" s="825"/>
      <c r="R93" s="825">
        <v>250</v>
      </c>
      <c r="S93" s="825"/>
      <c r="T93" s="825"/>
      <c r="U93" s="826"/>
    </row>
    <row r="94" spans="1:21" s="827" customFormat="1" ht="15.75" hidden="1">
      <c r="A94" s="822">
        <v>49</v>
      </c>
      <c r="B94" s="842"/>
      <c r="C94" s="828"/>
      <c r="D94" s="821">
        <f t="shared" si="13"/>
        <v>0</v>
      </c>
      <c r="E94" s="825"/>
      <c r="F94" s="825"/>
      <c r="G94" s="825"/>
      <c r="H94" s="825"/>
      <c r="I94" s="825"/>
      <c r="J94" s="825"/>
      <c r="K94" s="825"/>
      <c r="L94" s="825"/>
      <c r="M94" s="825"/>
      <c r="N94" s="825"/>
      <c r="O94" s="825"/>
      <c r="P94" s="825"/>
      <c r="Q94" s="825"/>
      <c r="R94" s="825"/>
      <c r="S94" s="825"/>
      <c r="T94" s="825"/>
      <c r="U94" s="826"/>
    </row>
    <row r="95" spans="1:21" s="827" customFormat="1" ht="31.5">
      <c r="A95" s="822">
        <v>47</v>
      </c>
      <c r="B95" s="823" t="s">
        <v>1006</v>
      </c>
      <c r="C95" s="828"/>
      <c r="D95" s="821">
        <f>SUM(E95:T95)-H95</f>
        <v>19094.127999999997</v>
      </c>
      <c r="E95" s="825"/>
      <c r="F95" s="825"/>
      <c r="G95" s="825">
        <f>'[2]TH Hoi'!D23</f>
        <v>1270</v>
      </c>
      <c r="H95" s="825">
        <f t="shared" ref="H95" si="14">F95+G95</f>
        <v>1270</v>
      </c>
      <c r="I95" s="825"/>
      <c r="J95" s="825"/>
      <c r="K95" s="857">
        <v>50</v>
      </c>
      <c r="L95" s="825"/>
      <c r="M95" s="825">
        <f>'[2]TH Hoi'!L6</f>
        <v>600</v>
      </c>
      <c r="N95" s="825"/>
      <c r="O95" s="825"/>
      <c r="P95" s="825"/>
      <c r="Q95" s="825"/>
      <c r="R95" s="825">
        <f>'[2]TH Hoi'!N6-250</f>
        <v>16589.127999999997</v>
      </c>
      <c r="S95" s="825">
        <f>'[2]TWBS mục tiêu'!H14+'[2]TWBS mục tiêu'!I14</f>
        <v>585</v>
      </c>
      <c r="T95" s="825"/>
      <c r="U95" s="826"/>
    </row>
    <row r="96" spans="1:21" ht="15.75">
      <c r="A96" s="845"/>
      <c r="B96" s="846"/>
      <c r="C96" s="845"/>
      <c r="D96" s="847"/>
      <c r="E96" s="847"/>
      <c r="F96" s="847"/>
      <c r="G96" s="847"/>
      <c r="H96" s="847"/>
      <c r="I96" s="847"/>
      <c r="J96" s="847"/>
      <c r="K96" s="847"/>
      <c r="L96" s="847"/>
      <c r="M96" s="847"/>
      <c r="N96" s="847"/>
      <c r="O96" s="847"/>
      <c r="P96" s="847"/>
      <c r="Q96" s="847"/>
      <c r="R96" s="847"/>
      <c r="S96" s="847"/>
      <c r="T96" s="847"/>
    </row>
    <row r="97" spans="2:13" ht="15">
      <c r="B97" s="848"/>
    </row>
    <row r="98" spans="2:13" ht="15">
      <c r="B98" s="848"/>
      <c r="M98" s="849"/>
    </row>
    <row r="99" spans="2:13" ht="15">
      <c r="B99" s="848"/>
    </row>
    <row r="100" spans="2:13" ht="15">
      <c r="B100" s="848"/>
    </row>
    <row r="115" ht="16.5" hidden="1" customHeight="1"/>
    <row r="116" ht="16.5" hidden="1" customHeight="1"/>
    <row r="117" ht="16.5" hidden="1" customHeight="1"/>
    <row r="127" ht="16.5" hidden="1" customHeight="1"/>
    <row r="129" ht="16.5" hidden="1" customHeight="1"/>
  </sheetData>
  <mergeCells count="24">
    <mergeCell ref="M6:M7"/>
    <mergeCell ref="N6:N7"/>
    <mergeCell ref="A5:A7"/>
    <mergeCell ref="F6:H6"/>
    <mergeCell ref="A2:T2"/>
    <mergeCell ref="A3:T3"/>
    <mergeCell ref="Q4:S4"/>
    <mergeCell ref="B5:B7"/>
    <mergeCell ref="A1:D1"/>
    <mergeCell ref="Q1:T1"/>
    <mergeCell ref="O6:O7"/>
    <mergeCell ref="P6:P7"/>
    <mergeCell ref="Q6:Q7"/>
    <mergeCell ref="R6:R7"/>
    <mergeCell ref="S6:S7"/>
    <mergeCell ref="T6:T7"/>
    <mergeCell ref="C5:C7"/>
    <mergeCell ref="D5:D7"/>
    <mergeCell ref="E5:S5"/>
    <mergeCell ref="E6:E7"/>
    <mergeCell ref="I6:I7"/>
    <mergeCell ref="J6:J7"/>
    <mergeCell ref="K6:K7"/>
    <mergeCell ref="L6:L7"/>
  </mergeCells>
  <printOptions horizontalCentered="1"/>
  <pageMargins left="0" right="0" top="0.5" bottom="0.25" header="0.3" footer="0.3"/>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7"/>
  <sheetViews>
    <sheetView workbookViewId="0">
      <selection activeCell="A5" sqref="A5"/>
    </sheetView>
  </sheetViews>
  <sheetFormatPr defaultColWidth="9.140625" defaultRowHeight="15"/>
  <cols>
    <col min="1" max="1" width="6.140625" style="900" customWidth="1"/>
    <col min="2" max="2" width="17.28515625" style="900" customWidth="1"/>
    <col min="3" max="3" width="11.140625" style="900" customWidth="1"/>
    <col min="4" max="4" width="11.5703125" style="900" customWidth="1"/>
    <col min="5" max="6" width="11" style="900" customWidth="1"/>
    <col min="7" max="7" width="11.140625" style="900" customWidth="1"/>
    <col min="8" max="8" width="11" style="900" customWidth="1"/>
    <col min="9" max="16384" width="9.140625" style="900"/>
  </cols>
  <sheetData>
    <row r="1" spans="1:8" ht="25.5" customHeight="1">
      <c r="A1" s="1053" t="s">
        <v>901</v>
      </c>
      <c r="B1" s="1053"/>
      <c r="C1" s="1053"/>
      <c r="D1" s="899"/>
      <c r="E1" s="899"/>
      <c r="F1" s="1054" t="s">
        <v>978</v>
      </c>
      <c r="G1" s="1054"/>
      <c r="H1" s="1054"/>
    </row>
    <row r="2" spans="1:8" ht="24" customHeight="1">
      <c r="A2" s="1051" t="s">
        <v>979</v>
      </c>
      <c r="B2" s="1051"/>
      <c r="C2" s="1051"/>
      <c r="D2" s="1051"/>
      <c r="E2" s="1051"/>
      <c r="F2" s="1051"/>
      <c r="G2" s="1051"/>
      <c r="H2" s="1051"/>
    </row>
    <row r="3" spans="1:8" ht="23.25" customHeight="1">
      <c r="A3" s="1051" t="s">
        <v>980</v>
      </c>
      <c r="B3" s="1051"/>
      <c r="C3" s="1051"/>
      <c r="D3" s="1051"/>
      <c r="E3" s="1051"/>
      <c r="F3" s="1051"/>
      <c r="G3" s="1051"/>
      <c r="H3" s="1051"/>
    </row>
    <row r="4" spans="1:8" ht="15.75">
      <c r="A4" s="1052" t="s">
        <v>1004</v>
      </c>
      <c r="B4" s="1052"/>
      <c r="C4" s="1052"/>
      <c r="D4" s="1052"/>
      <c r="E4" s="1052"/>
      <c r="F4" s="1052"/>
      <c r="G4" s="1052"/>
      <c r="H4" s="1052"/>
    </row>
    <row r="5" spans="1:8" ht="15.75">
      <c r="F5" s="1050" t="s">
        <v>981</v>
      </c>
      <c r="G5" s="1050"/>
      <c r="H5" s="1050"/>
    </row>
    <row r="6" spans="1:8" s="901" customFormat="1" ht="24" customHeight="1">
      <c r="A6" s="1022" t="s">
        <v>969</v>
      </c>
      <c r="B6" s="1022" t="s">
        <v>970</v>
      </c>
      <c r="C6" s="1055" t="s">
        <v>982</v>
      </c>
      <c r="D6" s="1055"/>
      <c r="E6" s="1055"/>
      <c r="F6" s="1055"/>
      <c r="G6" s="1055"/>
      <c r="H6" s="1055"/>
    </row>
    <row r="7" spans="1:8" s="901" customFormat="1" ht="45" customHeight="1">
      <c r="A7" s="1022"/>
      <c r="B7" s="1022"/>
      <c r="C7" s="1056" t="s">
        <v>971</v>
      </c>
      <c r="D7" s="1056" t="s">
        <v>972</v>
      </c>
      <c r="E7" s="1056" t="s">
        <v>973</v>
      </c>
      <c r="F7" s="1056" t="s">
        <v>974</v>
      </c>
      <c r="G7" s="1056" t="s">
        <v>975</v>
      </c>
      <c r="H7" s="1056" t="s">
        <v>976</v>
      </c>
    </row>
    <row r="8" spans="1:8" s="901" customFormat="1" ht="43.5" customHeight="1">
      <c r="A8" s="1022"/>
      <c r="B8" s="1022"/>
      <c r="C8" s="1057"/>
      <c r="D8" s="1057"/>
      <c r="E8" s="1057"/>
      <c r="F8" s="1057"/>
      <c r="G8" s="1057"/>
      <c r="H8" s="1057"/>
    </row>
    <row r="9" spans="1:8" s="901" customFormat="1" ht="44.25" customHeight="1">
      <c r="A9" s="1022"/>
      <c r="B9" s="1022"/>
      <c r="C9" s="1058"/>
      <c r="D9" s="1058"/>
      <c r="E9" s="1058"/>
      <c r="F9" s="1058"/>
      <c r="G9" s="1058"/>
      <c r="H9" s="1058"/>
    </row>
    <row r="10" spans="1:8" s="902" customFormat="1" ht="15.75">
      <c r="A10" s="903">
        <v>1</v>
      </c>
      <c r="B10" s="904" t="s">
        <v>673</v>
      </c>
      <c r="C10" s="903">
        <v>48</v>
      </c>
      <c r="D10" s="903">
        <v>48</v>
      </c>
      <c r="E10" s="903">
        <v>48</v>
      </c>
      <c r="F10" s="903">
        <v>48</v>
      </c>
      <c r="G10" s="903">
        <v>48</v>
      </c>
      <c r="H10" s="903">
        <v>30</v>
      </c>
    </row>
    <row r="11" spans="1:8" ht="15.75">
      <c r="A11" s="431">
        <v>2</v>
      </c>
      <c r="B11" s="473" t="s">
        <v>674</v>
      </c>
      <c r="C11" s="431">
        <v>57</v>
      </c>
      <c r="D11" s="431">
        <v>57</v>
      </c>
      <c r="E11" s="431">
        <v>57</v>
      </c>
      <c r="F11" s="431">
        <v>57</v>
      </c>
      <c r="G11" s="431">
        <v>57</v>
      </c>
      <c r="H11" s="431">
        <v>30</v>
      </c>
    </row>
    <row r="12" spans="1:8" ht="15.75">
      <c r="A12" s="431">
        <v>3</v>
      </c>
      <c r="B12" s="473" t="s">
        <v>675</v>
      </c>
      <c r="C12" s="431">
        <v>52</v>
      </c>
      <c r="D12" s="431">
        <v>52</v>
      </c>
      <c r="E12" s="431">
        <v>52</v>
      </c>
      <c r="F12" s="431">
        <v>52</v>
      </c>
      <c r="G12" s="431">
        <v>52</v>
      </c>
      <c r="H12" s="431">
        <v>30</v>
      </c>
    </row>
    <row r="13" spans="1:8" ht="15.75">
      <c r="A13" s="431">
        <v>4</v>
      </c>
      <c r="B13" s="473" t="s">
        <v>677</v>
      </c>
      <c r="C13" s="431">
        <v>45</v>
      </c>
      <c r="D13" s="431">
        <v>45</v>
      </c>
      <c r="E13" s="431">
        <v>45</v>
      </c>
      <c r="F13" s="431">
        <v>45</v>
      </c>
      <c r="G13" s="431">
        <v>45</v>
      </c>
      <c r="H13" s="431">
        <v>30</v>
      </c>
    </row>
    <row r="14" spans="1:8" ht="15.75">
      <c r="A14" s="431">
        <v>5</v>
      </c>
      <c r="B14" s="473" t="s">
        <v>678</v>
      </c>
      <c r="C14" s="431">
        <v>45</v>
      </c>
      <c r="D14" s="431">
        <v>45</v>
      </c>
      <c r="E14" s="431">
        <v>45</v>
      </c>
      <c r="F14" s="431">
        <v>45</v>
      </c>
      <c r="G14" s="431">
        <v>45</v>
      </c>
      <c r="H14" s="431">
        <v>30</v>
      </c>
    </row>
    <row r="15" spans="1:8" ht="15.75">
      <c r="A15" s="431">
        <v>6</v>
      </c>
      <c r="B15" s="473" t="s">
        <v>681</v>
      </c>
      <c r="C15" s="431">
        <v>45</v>
      </c>
      <c r="D15" s="431">
        <v>45</v>
      </c>
      <c r="E15" s="431">
        <v>45</v>
      </c>
      <c r="F15" s="431">
        <v>45</v>
      </c>
      <c r="G15" s="431">
        <v>45</v>
      </c>
      <c r="H15" s="431">
        <v>30</v>
      </c>
    </row>
    <row r="16" spans="1:8" ht="15.75">
      <c r="A16" s="431">
        <v>7</v>
      </c>
      <c r="B16" s="473" t="s">
        <v>679</v>
      </c>
      <c r="C16" s="431">
        <v>45</v>
      </c>
      <c r="D16" s="431">
        <v>45</v>
      </c>
      <c r="E16" s="431">
        <v>45</v>
      </c>
      <c r="F16" s="431">
        <v>45</v>
      </c>
      <c r="G16" s="431">
        <v>45</v>
      </c>
      <c r="H16" s="431">
        <v>30</v>
      </c>
    </row>
    <row r="17" spans="1:8" ht="15.75">
      <c r="A17" s="431">
        <v>8</v>
      </c>
      <c r="B17" s="473" t="s">
        <v>676</v>
      </c>
      <c r="C17" s="431">
        <v>13</v>
      </c>
      <c r="D17" s="431">
        <v>13</v>
      </c>
      <c r="E17" s="905" t="s">
        <v>977</v>
      </c>
      <c r="F17" s="431">
        <v>13</v>
      </c>
      <c r="G17" s="431">
        <v>13</v>
      </c>
      <c r="H17" s="431">
        <v>30</v>
      </c>
    </row>
    <row r="18" spans="1:8" ht="15.75">
      <c r="A18" s="431">
        <v>9</v>
      </c>
      <c r="B18" s="473" t="s">
        <v>684</v>
      </c>
      <c r="C18" s="431">
        <v>45</v>
      </c>
      <c r="D18" s="431">
        <v>45</v>
      </c>
      <c r="E18" s="431">
        <v>45</v>
      </c>
      <c r="F18" s="431">
        <v>45</v>
      </c>
      <c r="G18" s="431">
        <v>45</v>
      </c>
      <c r="H18" s="431">
        <v>30</v>
      </c>
    </row>
    <row r="19" spans="1:8" ht="15.75">
      <c r="A19" s="431">
        <v>10</v>
      </c>
      <c r="B19" s="473" t="s">
        <v>683</v>
      </c>
      <c r="C19" s="431">
        <v>45</v>
      </c>
      <c r="D19" s="431">
        <v>45</v>
      </c>
      <c r="E19" s="431">
        <v>45</v>
      </c>
      <c r="F19" s="431">
        <v>45</v>
      </c>
      <c r="G19" s="431">
        <v>45</v>
      </c>
      <c r="H19" s="431">
        <v>30</v>
      </c>
    </row>
    <row r="20" spans="1:8" ht="15.75">
      <c r="A20" s="431">
        <v>11</v>
      </c>
      <c r="B20" s="473" t="s">
        <v>685</v>
      </c>
      <c r="C20" s="431">
        <v>45</v>
      </c>
      <c r="D20" s="431">
        <v>45</v>
      </c>
      <c r="E20" s="431">
        <v>45</v>
      </c>
      <c r="F20" s="431">
        <v>45</v>
      </c>
      <c r="G20" s="431">
        <v>45</v>
      </c>
      <c r="H20" s="431">
        <v>30</v>
      </c>
    </row>
    <row r="21" spans="1:8" ht="15.75">
      <c r="A21" s="431">
        <v>12</v>
      </c>
      <c r="B21" s="473" t="s">
        <v>689</v>
      </c>
      <c r="C21" s="431">
        <v>45</v>
      </c>
      <c r="D21" s="431">
        <v>45</v>
      </c>
      <c r="E21" s="431">
        <v>45</v>
      </c>
      <c r="F21" s="431">
        <v>45</v>
      </c>
      <c r="G21" s="431">
        <v>45</v>
      </c>
      <c r="H21" s="431">
        <v>30</v>
      </c>
    </row>
    <row r="22" spans="1:8" ht="15.75">
      <c r="A22" s="431">
        <v>13</v>
      </c>
      <c r="B22" s="473" t="s">
        <v>690</v>
      </c>
      <c r="C22" s="431">
        <v>45</v>
      </c>
      <c r="D22" s="431">
        <v>45</v>
      </c>
      <c r="E22" s="431">
        <v>45</v>
      </c>
      <c r="F22" s="431">
        <v>45</v>
      </c>
      <c r="G22" s="431">
        <v>45</v>
      </c>
      <c r="H22" s="431">
        <v>30</v>
      </c>
    </row>
    <row r="23" spans="1:8" ht="15.75">
      <c r="A23" s="431">
        <v>14</v>
      </c>
      <c r="B23" s="473" t="s">
        <v>687</v>
      </c>
      <c r="C23" s="431">
        <v>45</v>
      </c>
      <c r="D23" s="431">
        <v>45</v>
      </c>
      <c r="E23" s="431">
        <v>45</v>
      </c>
      <c r="F23" s="431">
        <v>45</v>
      </c>
      <c r="G23" s="431">
        <v>45</v>
      </c>
      <c r="H23" s="431">
        <v>30</v>
      </c>
    </row>
    <row r="24" spans="1:8" ht="15.75">
      <c r="A24" s="431">
        <v>15</v>
      </c>
      <c r="B24" s="473" t="s">
        <v>688</v>
      </c>
      <c r="C24" s="431">
        <v>45</v>
      </c>
      <c r="D24" s="431">
        <v>45</v>
      </c>
      <c r="E24" s="431">
        <v>45</v>
      </c>
      <c r="F24" s="431">
        <v>45</v>
      </c>
      <c r="G24" s="431">
        <v>45</v>
      </c>
      <c r="H24" s="431">
        <v>30</v>
      </c>
    </row>
    <row r="25" spans="1:8" ht="15.75">
      <c r="A25" s="431">
        <v>16</v>
      </c>
      <c r="B25" s="473" t="s">
        <v>686</v>
      </c>
      <c r="C25" s="431">
        <v>45</v>
      </c>
      <c r="D25" s="431">
        <v>45</v>
      </c>
      <c r="E25" s="431">
        <v>45</v>
      </c>
      <c r="F25" s="431">
        <v>45</v>
      </c>
      <c r="G25" s="431">
        <v>45</v>
      </c>
      <c r="H25" s="431">
        <v>30</v>
      </c>
    </row>
    <row r="26" spans="1:8" ht="15.75">
      <c r="A26" s="431">
        <v>17</v>
      </c>
      <c r="B26" s="473" t="s">
        <v>680</v>
      </c>
      <c r="C26" s="431">
        <v>45</v>
      </c>
      <c r="D26" s="431">
        <v>45</v>
      </c>
      <c r="E26" s="431">
        <v>45</v>
      </c>
      <c r="F26" s="431">
        <v>45</v>
      </c>
      <c r="G26" s="431">
        <v>45</v>
      </c>
      <c r="H26" s="431">
        <v>30</v>
      </c>
    </row>
    <row r="27" spans="1:8" ht="15.75">
      <c r="A27" s="906">
        <v>18</v>
      </c>
      <c r="B27" s="907" t="s">
        <v>682</v>
      </c>
      <c r="C27" s="906">
        <v>45</v>
      </c>
      <c r="D27" s="906">
        <v>45</v>
      </c>
      <c r="E27" s="906">
        <v>45</v>
      </c>
      <c r="F27" s="906">
        <v>45</v>
      </c>
      <c r="G27" s="906">
        <v>45</v>
      </c>
      <c r="H27" s="906">
        <v>30</v>
      </c>
    </row>
  </sheetData>
  <mergeCells count="15">
    <mergeCell ref="A6:A9"/>
    <mergeCell ref="B6:B9"/>
    <mergeCell ref="C6:H6"/>
    <mergeCell ref="C7:C9"/>
    <mergeCell ref="D7:D9"/>
    <mergeCell ref="E7:E9"/>
    <mergeCell ref="F7:F9"/>
    <mergeCell ref="G7:G9"/>
    <mergeCell ref="H7:H9"/>
    <mergeCell ref="F5:H5"/>
    <mergeCell ref="A2:H2"/>
    <mergeCell ref="A3:H3"/>
    <mergeCell ref="A4:H4"/>
    <mergeCell ref="A1:C1"/>
    <mergeCell ref="F1:H1"/>
  </mergeCells>
  <printOptions horizontalCentered="1"/>
  <pageMargins left="0.7"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6"/>
  <sheetViews>
    <sheetView workbookViewId="0">
      <selection activeCell="A4" sqref="A4"/>
    </sheetView>
  </sheetViews>
  <sheetFormatPr defaultRowHeight="12.75"/>
  <cols>
    <col min="1" max="1" width="5.42578125" customWidth="1"/>
    <col min="2" max="2" width="17.85546875" customWidth="1"/>
    <col min="3" max="3" width="12.140625" customWidth="1"/>
    <col min="4" max="4" width="12.5703125" customWidth="1"/>
    <col min="5" max="5" width="11.42578125" customWidth="1"/>
    <col min="6" max="6" width="11.28515625" customWidth="1"/>
    <col min="7" max="7" width="12.85546875" customWidth="1"/>
    <col min="8" max="8" width="12.28515625" customWidth="1"/>
    <col min="9" max="9" width="12.5703125" customWidth="1"/>
    <col min="10" max="10" width="12.85546875" customWidth="1"/>
    <col min="11" max="11" width="13" customWidth="1"/>
  </cols>
  <sheetData>
    <row r="1" spans="1:11" ht="18.75">
      <c r="A1" s="914" t="s">
        <v>901</v>
      </c>
      <c r="B1" s="914"/>
      <c r="C1" s="914"/>
      <c r="D1" s="908"/>
      <c r="E1" s="908"/>
      <c r="F1" s="908"/>
      <c r="G1" s="908"/>
      <c r="H1" s="908"/>
      <c r="I1" s="908"/>
      <c r="J1" s="1060" t="s">
        <v>995</v>
      </c>
      <c r="K1" s="1060"/>
    </row>
    <row r="2" spans="1:11" ht="18.75">
      <c r="A2" s="1061" t="s">
        <v>996</v>
      </c>
      <c r="B2" s="1061"/>
      <c r="C2" s="1061"/>
      <c r="D2" s="1061"/>
      <c r="E2" s="1061"/>
      <c r="F2" s="1061"/>
      <c r="G2" s="1061"/>
      <c r="H2" s="1061"/>
      <c r="I2" s="1061"/>
      <c r="J2" s="1061"/>
      <c r="K2" s="1061"/>
    </row>
    <row r="3" spans="1:11" ht="18.75">
      <c r="A3" s="1062" t="s">
        <v>1005</v>
      </c>
      <c r="B3" s="1062"/>
      <c r="C3" s="1062"/>
      <c r="D3" s="1062"/>
      <c r="E3" s="1062"/>
      <c r="F3" s="1062"/>
      <c r="G3" s="1062"/>
      <c r="H3" s="1062"/>
      <c r="I3" s="1062"/>
      <c r="J3" s="1062"/>
      <c r="K3" s="1062"/>
    </row>
    <row r="4" spans="1:11" ht="15.75">
      <c r="A4" s="908"/>
      <c r="B4" s="908"/>
      <c r="C4" s="908"/>
      <c r="D4" s="908"/>
      <c r="E4" s="908"/>
      <c r="F4" s="908"/>
      <c r="G4" s="908"/>
      <c r="H4" s="908"/>
      <c r="I4" s="908"/>
      <c r="J4" s="1017" t="s">
        <v>903</v>
      </c>
      <c r="K4" s="1017"/>
    </row>
    <row r="5" spans="1:11" ht="21" customHeight="1">
      <c r="A5" s="1063" t="s">
        <v>378</v>
      </c>
      <c r="B5" s="1063" t="s">
        <v>983</v>
      </c>
      <c r="C5" s="1063" t="s">
        <v>984</v>
      </c>
      <c r="D5" s="1063" t="s">
        <v>575</v>
      </c>
      <c r="E5" s="1063" t="s">
        <v>161</v>
      </c>
      <c r="F5" s="1063"/>
      <c r="G5" s="1064" t="s">
        <v>994</v>
      </c>
      <c r="H5" s="1064" t="s">
        <v>985</v>
      </c>
      <c r="I5" s="1063" t="s">
        <v>986</v>
      </c>
      <c r="J5" s="1022" t="s">
        <v>993</v>
      </c>
      <c r="K5" s="1063" t="s">
        <v>987</v>
      </c>
    </row>
    <row r="6" spans="1:11" ht="81.75" customHeight="1">
      <c r="A6" s="1063"/>
      <c r="B6" s="1063"/>
      <c r="C6" s="1063"/>
      <c r="D6" s="1063"/>
      <c r="E6" s="909" t="s">
        <v>576</v>
      </c>
      <c r="F6" s="909" t="s">
        <v>988</v>
      </c>
      <c r="G6" s="1065"/>
      <c r="H6" s="1065"/>
      <c r="I6" s="1063"/>
      <c r="J6" s="1022"/>
      <c r="K6" s="1063"/>
    </row>
    <row r="7" spans="1:11" ht="15.75">
      <c r="A7" s="864" t="s">
        <v>12</v>
      </c>
      <c r="B7" s="864" t="s">
        <v>13</v>
      </c>
      <c r="C7" s="864">
        <v>1</v>
      </c>
      <c r="D7" s="864" t="s">
        <v>989</v>
      </c>
      <c r="E7" s="864">
        <v>3</v>
      </c>
      <c r="F7" s="864">
        <v>4</v>
      </c>
      <c r="G7" s="864">
        <v>5</v>
      </c>
      <c r="H7" s="864" t="s">
        <v>990</v>
      </c>
      <c r="I7" s="864">
        <v>7</v>
      </c>
      <c r="J7" s="864">
        <v>8</v>
      </c>
      <c r="K7" s="864" t="s">
        <v>991</v>
      </c>
    </row>
    <row r="8" spans="1:11" ht="15.75">
      <c r="A8" s="1059" t="s">
        <v>992</v>
      </c>
      <c r="B8" s="1059"/>
      <c r="C8" s="910">
        <f>SUM(C9:C26)</f>
        <v>15476000</v>
      </c>
      <c r="D8" s="910">
        <f t="shared" ref="D8:K8" si="0">SUM(D9:D26)</f>
        <v>3683228</v>
      </c>
      <c r="E8" s="910">
        <f t="shared" si="0"/>
        <v>1479100</v>
      </c>
      <c r="F8" s="910">
        <f>SUM(F9:F26)</f>
        <v>2204128</v>
      </c>
      <c r="G8" s="910">
        <f>SUM(G9:G26)</f>
        <v>262998</v>
      </c>
      <c r="H8" s="910">
        <f>SUM(H9:H26)</f>
        <v>3420230</v>
      </c>
      <c r="I8" s="910">
        <f t="shared" si="0"/>
        <v>2775849</v>
      </c>
      <c r="J8" s="910">
        <f t="shared" si="0"/>
        <v>2374874</v>
      </c>
      <c r="K8" s="910">
        <f t="shared" si="0"/>
        <v>8570953</v>
      </c>
    </row>
    <row r="9" spans="1:11" ht="18" customHeight="1">
      <c r="A9" s="915">
        <v>1</v>
      </c>
      <c r="B9" s="911" t="s">
        <v>673</v>
      </c>
      <c r="C9" s="829">
        <v>1251321</v>
      </c>
      <c r="D9" s="829">
        <v>554404</v>
      </c>
      <c r="E9" s="829">
        <v>258549</v>
      </c>
      <c r="F9" s="829">
        <v>295855</v>
      </c>
      <c r="G9" s="829"/>
      <c r="H9" s="829">
        <v>554404</v>
      </c>
      <c r="I9" s="829">
        <v>0</v>
      </c>
      <c r="J9" s="829">
        <v>117578</v>
      </c>
      <c r="K9" s="829">
        <v>671982</v>
      </c>
    </row>
    <row r="10" spans="1:11" ht="18" customHeight="1">
      <c r="A10" s="473">
        <v>2</v>
      </c>
      <c r="B10" s="912" t="s">
        <v>674</v>
      </c>
      <c r="C10" s="823">
        <v>820522</v>
      </c>
      <c r="D10" s="829">
        <v>582621</v>
      </c>
      <c r="E10" s="823">
        <v>335367</v>
      </c>
      <c r="F10" s="823">
        <v>247254</v>
      </c>
      <c r="G10" s="823"/>
      <c r="H10" s="829">
        <v>582621</v>
      </c>
      <c r="I10" s="823">
        <v>0</v>
      </c>
      <c r="J10" s="823">
        <v>97793</v>
      </c>
      <c r="K10" s="829">
        <v>680414</v>
      </c>
    </row>
    <row r="11" spans="1:11" ht="18" customHeight="1">
      <c r="A11" s="473">
        <v>3</v>
      </c>
      <c r="B11" s="912" t="s">
        <v>675</v>
      </c>
      <c r="C11" s="823">
        <v>1679437</v>
      </c>
      <c r="D11" s="829">
        <v>889349</v>
      </c>
      <c r="E11" s="823">
        <v>140753</v>
      </c>
      <c r="F11" s="823">
        <v>748596</v>
      </c>
      <c r="G11" s="823">
        <v>209949</v>
      </c>
      <c r="H11" s="829">
        <v>679400</v>
      </c>
      <c r="I11" s="823">
        <v>0</v>
      </c>
      <c r="J11" s="823">
        <v>224169</v>
      </c>
      <c r="K11" s="829">
        <v>903569</v>
      </c>
    </row>
    <row r="12" spans="1:11" ht="18" customHeight="1">
      <c r="A12" s="473">
        <v>4</v>
      </c>
      <c r="B12" s="912" t="s">
        <v>676</v>
      </c>
      <c r="C12" s="823">
        <v>9697197</v>
      </c>
      <c r="D12" s="829">
        <v>468845</v>
      </c>
      <c r="E12" s="823">
        <v>76568</v>
      </c>
      <c r="F12" s="823">
        <v>392277</v>
      </c>
      <c r="G12" s="823"/>
      <c r="H12" s="829">
        <v>468845</v>
      </c>
      <c r="I12" s="823">
        <v>0</v>
      </c>
      <c r="J12" s="823">
        <v>171530</v>
      </c>
      <c r="K12" s="829">
        <v>640375</v>
      </c>
    </row>
    <row r="13" spans="1:11" ht="18" customHeight="1">
      <c r="A13" s="473">
        <v>5</v>
      </c>
      <c r="B13" s="912" t="s">
        <v>677</v>
      </c>
      <c r="C13" s="823">
        <v>421814</v>
      </c>
      <c r="D13" s="829">
        <v>156724</v>
      </c>
      <c r="E13" s="823">
        <v>58259</v>
      </c>
      <c r="F13" s="823">
        <v>98465</v>
      </c>
      <c r="G13" s="823"/>
      <c r="H13" s="829">
        <v>156724</v>
      </c>
      <c r="I13" s="823">
        <v>268335</v>
      </c>
      <c r="J13" s="823">
        <v>149822</v>
      </c>
      <c r="K13" s="829">
        <v>574881</v>
      </c>
    </row>
    <row r="14" spans="1:11" ht="18" customHeight="1">
      <c r="A14" s="473">
        <v>6</v>
      </c>
      <c r="B14" s="912" t="s">
        <v>678</v>
      </c>
      <c r="C14" s="823">
        <v>201734</v>
      </c>
      <c r="D14" s="829">
        <v>127800</v>
      </c>
      <c r="E14" s="823">
        <v>73111</v>
      </c>
      <c r="F14" s="823">
        <v>54689</v>
      </c>
      <c r="G14" s="823"/>
      <c r="H14" s="829">
        <v>127800</v>
      </c>
      <c r="I14" s="823">
        <v>361974</v>
      </c>
      <c r="J14" s="823">
        <v>214699</v>
      </c>
      <c r="K14" s="829">
        <v>704473</v>
      </c>
    </row>
    <row r="15" spans="1:11" ht="18" customHeight="1">
      <c r="A15" s="473">
        <v>7</v>
      </c>
      <c r="B15" s="912" t="s">
        <v>679</v>
      </c>
      <c r="C15" s="823">
        <v>187015</v>
      </c>
      <c r="D15" s="829">
        <v>111098</v>
      </c>
      <c r="E15" s="823">
        <v>60521</v>
      </c>
      <c r="F15" s="823">
        <v>50577</v>
      </c>
      <c r="G15" s="823"/>
      <c r="H15" s="829">
        <v>111098</v>
      </c>
      <c r="I15" s="823">
        <v>421208</v>
      </c>
      <c r="J15" s="823">
        <v>192884</v>
      </c>
      <c r="K15" s="829">
        <v>725190</v>
      </c>
    </row>
    <row r="16" spans="1:11" ht="18" customHeight="1">
      <c r="A16" s="473">
        <v>8</v>
      </c>
      <c r="B16" s="912" t="s">
        <v>680</v>
      </c>
      <c r="C16" s="823">
        <v>102038</v>
      </c>
      <c r="D16" s="829">
        <v>51411</v>
      </c>
      <c r="E16" s="823">
        <v>30786</v>
      </c>
      <c r="F16" s="823">
        <v>20625</v>
      </c>
      <c r="G16" s="823"/>
      <c r="H16" s="829">
        <v>51411</v>
      </c>
      <c r="I16" s="823">
        <v>200991</v>
      </c>
      <c r="J16" s="823">
        <v>103787</v>
      </c>
      <c r="K16" s="829">
        <v>356189</v>
      </c>
    </row>
    <row r="17" spans="1:11" ht="18" customHeight="1">
      <c r="A17" s="473">
        <v>9</v>
      </c>
      <c r="B17" s="912" t="s">
        <v>681</v>
      </c>
      <c r="C17" s="823">
        <v>84815</v>
      </c>
      <c r="D17" s="829">
        <v>53982</v>
      </c>
      <c r="E17" s="823">
        <v>31429</v>
      </c>
      <c r="F17" s="823">
        <v>22553</v>
      </c>
      <c r="G17" s="823"/>
      <c r="H17" s="829">
        <v>53982</v>
      </c>
      <c r="I17" s="823">
        <v>254882</v>
      </c>
      <c r="J17" s="823">
        <v>177096</v>
      </c>
      <c r="K17" s="829">
        <v>485960</v>
      </c>
    </row>
    <row r="18" spans="1:11" ht="18" customHeight="1">
      <c r="A18" s="473">
        <v>10</v>
      </c>
      <c r="B18" s="912" t="s">
        <v>682</v>
      </c>
      <c r="C18" s="823">
        <v>59150</v>
      </c>
      <c r="D18" s="829">
        <v>34849</v>
      </c>
      <c r="E18" s="823">
        <v>17933</v>
      </c>
      <c r="F18" s="823">
        <v>16916</v>
      </c>
      <c r="G18" s="823"/>
      <c r="H18" s="829">
        <v>34849</v>
      </c>
      <c r="I18" s="823">
        <v>117551</v>
      </c>
      <c r="J18" s="823">
        <v>81459</v>
      </c>
      <c r="K18" s="829">
        <v>233859</v>
      </c>
    </row>
    <row r="19" spans="1:11" ht="18" customHeight="1">
      <c r="A19" s="473">
        <v>11</v>
      </c>
      <c r="B19" s="912" t="s">
        <v>683</v>
      </c>
      <c r="C19" s="823">
        <v>56690</v>
      </c>
      <c r="D19" s="829">
        <v>36951</v>
      </c>
      <c r="E19" s="823">
        <v>21723</v>
      </c>
      <c r="F19" s="823">
        <v>15228</v>
      </c>
      <c r="G19" s="823">
        <v>12600</v>
      </c>
      <c r="H19" s="829">
        <v>24351</v>
      </c>
      <c r="I19" s="823">
        <v>269168</v>
      </c>
      <c r="J19" s="823">
        <v>129760</v>
      </c>
      <c r="K19" s="829">
        <v>423279</v>
      </c>
    </row>
    <row r="20" spans="1:11" ht="18" customHeight="1">
      <c r="A20" s="473">
        <v>12</v>
      </c>
      <c r="B20" s="912" t="s">
        <v>684</v>
      </c>
      <c r="C20" s="823">
        <v>18629</v>
      </c>
      <c r="D20" s="829">
        <v>11499</v>
      </c>
      <c r="E20" s="823">
        <v>6714</v>
      </c>
      <c r="F20" s="823">
        <v>4785</v>
      </c>
      <c r="G20" s="823"/>
      <c r="H20" s="829">
        <v>11499</v>
      </c>
      <c r="I20" s="823">
        <v>202001</v>
      </c>
      <c r="J20" s="823">
        <v>100573</v>
      </c>
      <c r="K20" s="829">
        <v>314073</v>
      </c>
    </row>
    <row r="21" spans="1:11" ht="18" customHeight="1">
      <c r="A21" s="473">
        <v>13</v>
      </c>
      <c r="B21" s="912" t="s">
        <v>685</v>
      </c>
      <c r="C21" s="823">
        <v>248918</v>
      </c>
      <c r="D21" s="829">
        <v>167191</v>
      </c>
      <c r="E21" s="823">
        <v>101199</v>
      </c>
      <c r="F21" s="823">
        <v>65992</v>
      </c>
      <c r="G21" s="823">
        <v>29673</v>
      </c>
      <c r="H21" s="829">
        <v>137518</v>
      </c>
      <c r="I21" s="823">
        <v>77223</v>
      </c>
      <c r="J21" s="823">
        <v>124132</v>
      </c>
      <c r="K21" s="829">
        <v>338873</v>
      </c>
    </row>
    <row r="22" spans="1:11" ht="18" customHeight="1">
      <c r="A22" s="473">
        <v>14</v>
      </c>
      <c r="B22" s="912" t="s">
        <v>686</v>
      </c>
      <c r="C22" s="823">
        <v>206507</v>
      </c>
      <c r="D22" s="829">
        <v>142556</v>
      </c>
      <c r="E22" s="823">
        <v>90696</v>
      </c>
      <c r="F22" s="823">
        <v>51860</v>
      </c>
      <c r="G22" s="823">
        <v>10776</v>
      </c>
      <c r="H22" s="829">
        <v>131780</v>
      </c>
      <c r="I22" s="823">
        <v>69286</v>
      </c>
      <c r="J22" s="823">
        <v>71416</v>
      </c>
      <c r="K22" s="829">
        <v>272482</v>
      </c>
    </row>
    <row r="23" spans="1:11" ht="18" customHeight="1">
      <c r="A23" s="473">
        <v>15</v>
      </c>
      <c r="B23" s="912" t="s">
        <v>687</v>
      </c>
      <c r="C23" s="823">
        <v>260441</v>
      </c>
      <c r="D23" s="829">
        <v>167171</v>
      </c>
      <c r="E23" s="823">
        <v>91220</v>
      </c>
      <c r="F23" s="823">
        <v>75951</v>
      </c>
      <c r="G23" s="823"/>
      <c r="H23" s="829">
        <v>167171</v>
      </c>
      <c r="I23" s="823">
        <v>11112</v>
      </c>
      <c r="J23" s="823">
        <v>74160</v>
      </c>
      <c r="K23" s="829">
        <v>252443</v>
      </c>
    </row>
    <row r="24" spans="1:11" ht="18" customHeight="1">
      <c r="A24" s="473">
        <v>16</v>
      </c>
      <c r="B24" s="912" t="s">
        <v>688</v>
      </c>
      <c r="C24" s="823">
        <v>18655</v>
      </c>
      <c r="D24" s="829">
        <v>14830</v>
      </c>
      <c r="E24" s="823">
        <v>11826</v>
      </c>
      <c r="F24" s="823">
        <v>3004</v>
      </c>
      <c r="G24" s="823"/>
      <c r="H24" s="829">
        <v>14830</v>
      </c>
      <c r="I24" s="823">
        <v>192027</v>
      </c>
      <c r="J24" s="823">
        <v>99785</v>
      </c>
      <c r="K24" s="829">
        <v>306642</v>
      </c>
    </row>
    <row r="25" spans="1:11" ht="18" customHeight="1">
      <c r="A25" s="473">
        <v>17</v>
      </c>
      <c r="B25" s="912" t="s">
        <v>689</v>
      </c>
      <c r="C25" s="823">
        <v>123277</v>
      </c>
      <c r="D25" s="829">
        <v>81926</v>
      </c>
      <c r="E25" s="823">
        <v>48631</v>
      </c>
      <c r="F25" s="823">
        <v>33295</v>
      </c>
      <c r="G25" s="823"/>
      <c r="H25" s="829">
        <v>81926</v>
      </c>
      <c r="I25" s="823">
        <v>168984</v>
      </c>
      <c r="J25" s="823">
        <v>115963</v>
      </c>
      <c r="K25" s="829">
        <v>366873</v>
      </c>
    </row>
    <row r="26" spans="1:11" ht="18" customHeight="1">
      <c r="A26" s="907">
        <v>18</v>
      </c>
      <c r="B26" s="913" t="s">
        <v>690</v>
      </c>
      <c r="C26" s="846">
        <v>37840</v>
      </c>
      <c r="D26" s="846">
        <v>30021</v>
      </c>
      <c r="E26" s="846">
        <v>23815</v>
      </c>
      <c r="F26" s="846">
        <v>6206</v>
      </c>
      <c r="G26" s="846"/>
      <c r="H26" s="846">
        <v>30021</v>
      </c>
      <c r="I26" s="846">
        <v>161107</v>
      </c>
      <c r="J26" s="846">
        <v>128268</v>
      </c>
      <c r="K26" s="846">
        <v>319396</v>
      </c>
    </row>
  </sheetData>
  <mergeCells count="15">
    <mergeCell ref="A8:B8"/>
    <mergeCell ref="J1:K1"/>
    <mergeCell ref="A2:K2"/>
    <mergeCell ref="A3:K3"/>
    <mergeCell ref="J4:K4"/>
    <mergeCell ref="A5:A6"/>
    <mergeCell ref="B5:B6"/>
    <mergeCell ref="C5:C6"/>
    <mergeCell ref="D5:D6"/>
    <mergeCell ref="E5:F5"/>
    <mergeCell ref="G5:G6"/>
    <mergeCell ref="H5:H6"/>
    <mergeCell ref="I5:I6"/>
    <mergeCell ref="J5:J6"/>
    <mergeCell ref="K5:K6"/>
  </mergeCells>
  <printOptions horizontalCentered="1"/>
  <pageMargins left="0.45" right="0.45" top="0.5" bottom="0.2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48"/>
  <sheetViews>
    <sheetView workbookViewId="0">
      <selection activeCell="AC8" sqref="AC8"/>
    </sheetView>
  </sheetViews>
  <sheetFormatPr defaultColWidth="9.140625" defaultRowHeight="16.5"/>
  <cols>
    <col min="1" max="1" width="5.42578125" style="580" customWidth="1"/>
    <col min="2" max="2" width="25" style="580" customWidth="1"/>
    <col min="3" max="3" width="14" style="580" customWidth="1"/>
    <col min="4" max="4" width="15.5703125" style="580" customWidth="1"/>
    <col min="5" max="5" width="15.85546875" style="580" customWidth="1"/>
    <col min="6" max="6" width="14" style="580" customWidth="1"/>
    <col min="7" max="7" width="9.140625" style="580"/>
    <col min="8" max="8" width="0" style="580" hidden="1" customWidth="1"/>
    <col min="9" max="9" width="13.140625" style="584" hidden="1" customWidth="1"/>
    <col min="10" max="27" width="8.7109375" style="580" hidden="1" customWidth="1"/>
    <col min="28" max="28" width="0" style="580" hidden="1" customWidth="1"/>
    <col min="29" max="16384" width="9.140625" style="580"/>
  </cols>
  <sheetData>
    <row r="1" spans="1:28" ht="22.5" customHeight="1">
      <c r="A1" s="1027" t="s">
        <v>901</v>
      </c>
      <c r="B1" s="1027"/>
      <c r="C1" s="1027"/>
      <c r="D1" s="896"/>
      <c r="E1" s="1015" t="s">
        <v>968</v>
      </c>
      <c r="F1" s="1015"/>
    </row>
    <row r="2" spans="1:28">
      <c r="A2" s="898"/>
      <c r="B2" s="898"/>
      <c r="C2" s="898"/>
      <c r="D2" s="896"/>
      <c r="E2" s="859"/>
      <c r="F2" s="859"/>
    </row>
    <row r="3" spans="1:28" ht="42.75" customHeight="1">
      <c r="A3" s="1016" t="s">
        <v>645</v>
      </c>
      <c r="B3" s="1016"/>
      <c r="C3" s="1016"/>
      <c r="D3" s="1016"/>
      <c r="E3" s="1016"/>
      <c r="F3" s="1016"/>
    </row>
    <row r="4" spans="1:28" ht="23.25" customHeight="1">
      <c r="A4" s="1067" t="s">
        <v>1049</v>
      </c>
      <c r="B4" s="1067"/>
      <c r="C4" s="1067"/>
      <c r="D4" s="1067"/>
      <c r="E4" s="1067"/>
      <c r="F4" s="1067"/>
    </row>
    <row r="5" spans="1:28">
      <c r="A5" s="1012" t="s">
        <v>199</v>
      </c>
      <c r="B5" s="1012"/>
      <c r="C5" s="1012"/>
      <c r="D5" s="1012"/>
      <c r="E5" s="1012"/>
      <c r="F5" s="1012"/>
    </row>
    <row r="6" spans="1:28" ht="115.5">
      <c r="A6" s="751" t="s">
        <v>11</v>
      </c>
      <c r="B6" s="751" t="s">
        <v>779</v>
      </c>
      <c r="C6" s="751" t="s">
        <v>615</v>
      </c>
      <c r="D6" s="751" t="s">
        <v>617</v>
      </c>
      <c r="E6" s="751" t="s">
        <v>627</v>
      </c>
      <c r="F6" s="751" t="s">
        <v>619</v>
      </c>
      <c r="I6" s="734" t="s">
        <v>737</v>
      </c>
      <c r="J6" s="734" t="s">
        <v>738</v>
      </c>
      <c r="K6" s="734" t="s">
        <v>739</v>
      </c>
      <c r="L6" s="734" t="s">
        <v>740</v>
      </c>
      <c r="M6" s="734" t="s">
        <v>741</v>
      </c>
      <c r="N6" s="734" t="s">
        <v>742</v>
      </c>
      <c r="O6" s="734" t="s">
        <v>743</v>
      </c>
      <c r="P6" s="734" t="s">
        <v>744</v>
      </c>
      <c r="Q6" s="734" t="s">
        <v>745</v>
      </c>
      <c r="R6" s="734" t="s">
        <v>746</v>
      </c>
      <c r="S6" s="734" t="s">
        <v>747</v>
      </c>
      <c r="T6" s="734" t="s">
        <v>748</v>
      </c>
      <c r="U6" s="734" t="s">
        <v>749</v>
      </c>
      <c r="V6" s="734" t="s">
        <v>750</v>
      </c>
      <c r="W6" s="734" t="s">
        <v>751</v>
      </c>
      <c r="X6" s="734" t="s">
        <v>752</v>
      </c>
      <c r="Y6" s="734" t="s">
        <v>753</v>
      </c>
      <c r="Z6" s="734" t="s">
        <v>754</v>
      </c>
      <c r="AA6" s="734" t="s">
        <v>755</v>
      </c>
    </row>
    <row r="7" spans="1:28">
      <c r="A7" s="751" t="s">
        <v>12</v>
      </c>
      <c r="B7" s="751" t="s">
        <v>13</v>
      </c>
      <c r="C7" s="751" t="s">
        <v>628</v>
      </c>
      <c r="D7" s="751">
        <v>2</v>
      </c>
      <c r="E7" s="751">
        <v>3</v>
      </c>
      <c r="F7" s="751">
        <v>4</v>
      </c>
      <c r="I7" s="738">
        <f>I8+I9</f>
        <v>2374874</v>
      </c>
      <c r="J7" s="738">
        <f t="shared" ref="J7:AA7" si="0">J8+J9</f>
        <v>117578</v>
      </c>
      <c r="K7" s="738">
        <f t="shared" si="0"/>
        <v>97793</v>
      </c>
      <c r="L7" s="738">
        <f t="shared" si="0"/>
        <v>224169</v>
      </c>
      <c r="M7" s="738">
        <f t="shared" si="0"/>
        <v>149822</v>
      </c>
      <c r="N7" s="738">
        <f t="shared" si="0"/>
        <v>214699</v>
      </c>
      <c r="O7" s="738">
        <f t="shared" si="0"/>
        <v>171530</v>
      </c>
      <c r="P7" s="738">
        <f t="shared" si="0"/>
        <v>192884</v>
      </c>
      <c r="Q7" s="738">
        <f t="shared" si="0"/>
        <v>103787</v>
      </c>
      <c r="R7" s="738">
        <f t="shared" si="0"/>
        <v>177096</v>
      </c>
      <c r="S7" s="738">
        <f t="shared" si="0"/>
        <v>81459</v>
      </c>
      <c r="T7" s="738">
        <f t="shared" si="0"/>
        <v>129760</v>
      </c>
      <c r="U7" s="738">
        <f t="shared" si="0"/>
        <v>100573</v>
      </c>
      <c r="V7" s="738">
        <f t="shared" si="0"/>
        <v>124132</v>
      </c>
      <c r="W7" s="738">
        <f t="shared" si="0"/>
        <v>71416</v>
      </c>
      <c r="X7" s="738">
        <f t="shared" si="0"/>
        <v>74160</v>
      </c>
      <c r="Y7" s="738">
        <f t="shared" si="0"/>
        <v>99785</v>
      </c>
      <c r="Z7" s="738">
        <f t="shared" si="0"/>
        <v>115963</v>
      </c>
      <c r="AA7" s="738">
        <f t="shared" si="0"/>
        <v>128268</v>
      </c>
    </row>
    <row r="8" spans="1:28">
      <c r="A8" s="766"/>
      <c r="B8" s="766" t="s">
        <v>626</v>
      </c>
      <c r="C8" s="784">
        <f>SUM(C9:C26)</f>
        <v>2374874</v>
      </c>
      <c r="D8" s="784">
        <f>SUM(D9:D26)</f>
        <v>532838</v>
      </c>
      <c r="E8" s="784">
        <f>SUM(E9:E26)</f>
        <v>1842036</v>
      </c>
      <c r="F8" s="784">
        <f t="shared" ref="F8" si="1">SUM(F9:F26)</f>
        <v>0</v>
      </c>
      <c r="H8" s="737" t="s">
        <v>563</v>
      </c>
      <c r="I8" s="736">
        <f>SUM(J8:AA8)</f>
        <v>1842036</v>
      </c>
      <c r="J8" s="735">
        <f>[1]MT2018!D5</f>
        <v>93625</v>
      </c>
      <c r="K8" s="735">
        <f>[1]MT2018!E5</f>
        <v>53378</v>
      </c>
      <c r="L8" s="735">
        <f>[1]MT2018!F5</f>
        <v>182701</v>
      </c>
      <c r="M8" s="735">
        <f>[1]MT2018!G5</f>
        <v>136437</v>
      </c>
      <c r="N8" s="735">
        <f>[1]MT2018!H5</f>
        <v>171455</v>
      </c>
      <c r="O8" s="735">
        <f>[1]MT2018!I5</f>
        <v>129385</v>
      </c>
      <c r="P8" s="735">
        <f>[1]MT2018!J5</f>
        <v>167286</v>
      </c>
      <c r="Q8" s="735">
        <f>[1]MT2018!K5</f>
        <v>83748</v>
      </c>
      <c r="R8" s="735">
        <f>[1]MT2018!L5</f>
        <v>132938</v>
      </c>
      <c r="S8" s="735">
        <f>[1]MT2018!M5</f>
        <v>65190</v>
      </c>
      <c r="T8" s="735">
        <f>[1]MT2018!N5</f>
        <v>102678</v>
      </c>
      <c r="U8" s="735">
        <f>[1]MT2018!O5</f>
        <v>78358</v>
      </c>
      <c r="V8" s="735">
        <f>[1]MT2018!P5</f>
        <v>70873</v>
      </c>
      <c r="W8" s="735">
        <f>[1]MT2018!Q5</f>
        <v>55656</v>
      </c>
      <c r="X8" s="735">
        <f>[1]MT2018!R5</f>
        <v>63446</v>
      </c>
      <c r="Y8" s="735">
        <f>[1]MT2018!S5</f>
        <v>78518</v>
      </c>
      <c r="Z8" s="735">
        <f>[1]MT2018!T5</f>
        <v>96735</v>
      </c>
      <c r="AA8" s="735">
        <f>[1]MT2018!U5</f>
        <v>79629</v>
      </c>
    </row>
    <row r="9" spans="1:28">
      <c r="A9" s="637">
        <v>1</v>
      </c>
      <c r="B9" s="777" t="s">
        <v>673</v>
      </c>
      <c r="C9" s="775">
        <f>D9+E9+F9</f>
        <v>117578</v>
      </c>
      <c r="D9" s="775">
        <f>J9</f>
        <v>23953</v>
      </c>
      <c r="E9" s="775">
        <f>J8</f>
        <v>93625</v>
      </c>
      <c r="F9" s="775"/>
      <c r="H9" s="737" t="s">
        <v>559</v>
      </c>
      <c r="I9" s="736">
        <f t="shared" ref="I9:I11" si="2">SUM(J9:AA9)</f>
        <v>532838</v>
      </c>
      <c r="J9" s="735">
        <f>J10+J11</f>
        <v>23953</v>
      </c>
      <c r="K9" s="735">
        <f t="shared" ref="K9:AA9" si="3">K10+K11</f>
        <v>44415</v>
      </c>
      <c r="L9" s="735">
        <f t="shared" si="3"/>
        <v>41468</v>
      </c>
      <c r="M9" s="735">
        <f t="shared" si="3"/>
        <v>13385</v>
      </c>
      <c r="N9" s="735">
        <f t="shared" si="3"/>
        <v>43244</v>
      </c>
      <c r="O9" s="735">
        <f t="shared" si="3"/>
        <v>42145</v>
      </c>
      <c r="P9" s="735">
        <f t="shared" si="3"/>
        <v>25598</v>
      </c>
      <c r="Q9" s="735">
        <f t="shared" si="3"/>
        <v>20039</v>
      </c>
      <c r="R9" s="735">
        <f t="shared" si="3"/>
        <v>44158</v>
      </c>
      <c r="S9" s="735">
        <f t="shared" si="3"/>
        <v>16269</v>
      </c>
      <c r="T9" s="735">
        <f t="shared" si="3"/>
        <v>27082</v>
      </c>
      <c r="U9" s="735">
        <f t="shared" si="3"/>
        <v>22215</v>
      </c>
      <c r="V9" s="735">
        <f t="shared" si="3"/>
        <v>53259</v>
      </c>
      <c r="W9" s="735">
        <f t="shared" si="3"/>
        <v>15760</v>
      </c>
      <c r="X9" s="735">
        <f t="shared" si="3"/>
        <v>10714</v>
      </c>
      <c r="Y9" s="735">
        <f t="shared" si="3"/>
        <v>21267</v>
      </c>
      <c r="Z9" s="735">
        <f t="shared" si="3"/>
        <v>19228</v>
      </c>
      <c r="AA9" s="735">
        <f t="shared" si="3"/>
        <v>48639</v>
      </c>
    </row>
    <row r="10" spans="1:28">
      <c r="A10" s="637">
        <v>2</v>
      </c>
      <c r="B10" s="777" t="s">
        <v>674</v>
      </c>
      <c r="C10" s="775">
        <f t="shared" ref="C10:C26" si="4">D10+E10+F10</f>
        <v>97793</v>
      </c>
      <c r="D10" s="775">
        <f>K9</f>
        <v>44415</v>
      </c>
      <c r="E10" s="775">
        <f>K8</f>
        <v>53378</v>
      </c>
      <c r="F10" s="775"/>
      <c r="H10" s="609" t="s">
        <v>756</v>
      </c>
      <c r="I10" s="746">
        <f t="shared" si="2"/>
        <v>12650</v>
      </c>
      <c r="J10" s="746">
        <f>[1]MT2018!D120</f>
        <v>0</v>
      </c>
      <c r="K10" s="746">
        <f>[1]MT2018!E120</f>
        <v>0</v>
      </c>
      <c r="L10" s="746">
        <f>[1]MT2018!F120</f>
        <v>0</v>
      </c>
      <c r="M10" s="746">
        <f>[1]MT2018!G120</f>
        <v>0</v>
      </c>
      <c r="N10" s="746">
        <f>[1]MT2018!H120</f>
        <v>1920</v>
      </c>
      <c r="O10" s="746">
        <f>[1]MT2018!I120</f>
        <v>0</v>
      </c>
      <c r="P10" s="746">
        <f>[1]MT2018!J120</f>
        <v>0</v>
      </c>
      <c r="Q10" s="746">
        <f>[1]MT2018!K120</f>
        <v>0</v>
      </c>
      <c r="R10" s="746">
        <f>[1]MT2018!L120</f>
        <v>1460</v>
      </c>
      <c r="S10" s="746">
        <f>[1]MT2018!M120</f>
        <v>42</v>
      </c>
      <c r="T10" s="746">
        <f>[1]MT2018!N120</f>
        <v>1358</v>
      </c>
      <c r="U10" s="746">
        <f>[1]MT2018!O120</f>
        <v>1460</v>
      </c>
      <c r="V10" s="746">
        <f>[1]MT2018!P120</f>
        <v>0</v>
      </c>
      <c r="W10" s="746">
        <f>[1]MT2018!Q120</f>
        <v>1610</v>
      </c>
      <c r="X10" s="746">
        <f>[1]MT2018!R120</f>
        <v>0</v>
      </c>
      <c r="Y10" s="746">
        <f>[1]MT2018!S120</f>
        <v>1560</v>
      </c>
      <c r="Z10" s="746">
        <f>[1]MT2018!T120</f>
        <v>1610</v>
      </c>
      <c r="AA10" s="746">
        <f>[1]MT2018!U120</f>
        <v>1630</v>
      </c>
      <c r="AB10" s="582"/>
    </row>
    <row r="11" spans="1:28">
      <c r="A11" s="637">
        <v>3</v>
      </c>
      <c r="B11" s="777" t="s">
        <v>675</v>
      </c>
      <c r="C11" s="775">
        <f t="shared" si="4"/>
        <v>224169</v>
      </c>
      <c r="D11" s="775">
        <f>L9</f>
        <v>41468</v>
      </c>
      <c r="E11" s="775">
        <f>L8</f>
        <v>182701</v>
      </c>
      <c r="F11" s="775"/>
      <c r="H11" s="580" t="s">
        <v>757</v>
      </c>
      <c r="I11" s="746">
        <f t="shared" si="2"/>
        <v>520188</v>
      </c>
      <c r="J11" s="746">
        <f>[1]MT2018!D121</f>
        <v>23953</v>
      </c>
      <c r="K11" s="746">
        <f>[1]MT2018!E121</f>
        <v>44415</v>
      </c>
      <c r="L11" s="746">
        <f>[1]MT2018!F121</f>
        <v>41468</v>
      </c>
      <c r="M11" s="746">
        <f>[1]MT2018!G121</f>
        <v>13385</v>
      </c>
      <c r="N11" s="746">
        <f>[1]MT2018!H121</f>
        <v>41324</v>
      </c>
      <c r="O11" s="746">
        <f>[1]MT2018!I121</f>
        <v>42145</v>
      </c>
      <c r="P11" s="746">
        <f>[1]MT2018!J121</f>
        <v>25598</v>
      </c>
      <c r="Q11" s="746">
        <f>[1]MT2018!K121</f>
        <v>20039</v>
      </c>
      <c r="R11" s="746">
        <f>[1]MT2018!L121</f>
        <v>42698</v>
      </c>
      <c r="S11" s="746">
        <f>[1]MT2018!M121</f>
        <v>16227</v>
      </c>
      <c r="T11" s="746">
        <f>[1]MT2018!N121</f>
        <v>25724</v>
      </c>
      <c r="U11" s="746">
        <f>[1]MT2018!O121</f>
        <v>20755</v>
      </c>
      <c r="V11" s="746">
        <f>[1]MT2018!P121</f>
        <v>53259</v>
      </c>
      <c r="W11" s="746">
        <f>[1]MT2018!Q121</f>
        <v>14150</v>
      </c>
      <c r="X11" s="746">
        <f>[1]MT2018!R121</f>
        <v>10714</v>
      </c>
      <c r="Y11" s="746">
        <f>[1]MT2018!S121</f>
        <v>19707</v>
      </c>
      <c r="Z11" s="746">
        <f>[1]MT2018!T121</f>
        <v>17618</v>
      </c>
      <c r="AA11" s="746">
        <f>[1]MT2018!U121</f>
        <v>47009</v>
      </c>
      <c r="AB11" s="582"/>
    </row>
    <row r="12" spans="1:28">
      <c r="A12" s="637">
        <v>4</v>
      </c>
      <c r="B12" s="777" t="s">
        <v>677</v>
      </c>
      <c r="C12" s="775">
        <f t="shared" si="4"/>
        <v>149822</v>
      </c>
      <c r="D12" s="775">
        <f>M9</f>
        <v>13385</v>
      </c>
      <c r="E12" s="775">
        <f>M8</f>
        <v>136437</v>
      </c>
      <c r="F12" s="775"/>
    </row>
    <row r="13" spans="1:28">
      <c r="A13" s="637">
        <v>5</v>
      </c>
      <c r="B13" s="777" t="s">
        <v>678</v>
      </c>
      <c r="C13" s="775">
        <f t="shared" si="4"/>
        <v>214699</v>
      </c>
      <c r="D13" s="775">
        <f>N9</f>
        <v>43244</v>
      </c>
      <c r="E13" s="775">
        <f>N8</f>
        <v>171455</v>
      </c>
      <c r="F13" s="775"/>
    </row>
    <row r="14" spans="1:28">
      <c r="A14" s="637">
        <v>6</v>
      </c>
      <c r="B14" s="777" t="s">
        <v>676</v>
      </c>
      <c r="C14" s="775">
        <f t="shared" si="4"/>
        <v>171530</v>
      </c>
      <c r="D14" s="775">
        <f>O9</f>
        <v>42145</v>
      </c>
      <c r="E14" s="775">
        <f>O8</f>
        <v>129385</v>
      </c>
      <c r="F14" s="775"/>
    </row>
    <row r="15" spans="1:28">
      <c r="A15" s="637">
        <v>7</v>
      </c>
      <c r="B15" s="777" t="s">
        <v>679</v>
      </c>
      <c r="C15" s="775">
        <f t="shared" si="4"/>
        <v>192884</v>
      </c>
      <c r="D15" s="775">
        <f>P9</f>
        <v>25598</v>
      </c>
      <c r="E15" s="775">
        <f>P8</f>
        <v>167286</v>
      </c>
      <c r="F15" s="775"/>
    </row>
    <row r="16" spans="1:28">
      <c r="A16" s="637">
        <v>8</v>
      </c>
      <c r="B16" s="777" t="s">
        <v>680</v>
      </c>
      <c r="C16" s="775">
        <f t="shared" si="4"/>
        <v>103787</v>
      </c>
      <c r="D16" s="775">
        <f>Q9</f>
        <v>20039</v>
      </c>
      <c r="E16" s="775">
        <f>Q8</f>
        <v>83748</v>
      </c>
      <c r="F16" s="775"/>
    </row>
    <row r="17" spans="1:6">
      <c r="A17" s="637">
        <v>9</v>
      </c>
      <c r="B17" s="777" t="s">
        <v>681</v>
      </c>
      <c r="C17" s="775">
        <f t="shared" si="4"/>
        <v>177096</v>
      </c>
      <c r="D17" s="775">
        <f>R9</f>
        <v>44158</v>
      </c>
      <c r="E17" s="775">
        <f>R8</f>
        <v>132938</v>
      </c>
      <c r="F17" s="775"/>
    </row>
    <row r="18" spans="1:6">
      <c r="A18" s="637">
        <v>10</v>
      </c>
      <c r="B18" s="777" t="s">
        <v>682</v>
      </c>
      <c r="C18" s="775">
        <f t="shared" si="4"/>
        <v>81459</v>
      </c>
      <c r="D18" s="775">
        <f>S9</f>
        <v>16269</v>
      </c>
      <c r="E18" s="775">
        <f>S8</f>
        <v>65190</v>
      </c>
      <c r="F18" s="775"/>
    </row>
    <row r="19" spans="1:6">
      <c r="A19" s="637">
        <v>11</v>
      </c>
      <c r="B19" s="777" t="s">
        <v>683</v>
      </c>
      <c r="C19" s="775">
        <f t="shared" si="4"/>
        <v>129760</v>
      </c>
      <c r="D19" s="775">
        <f>T9</f>
        <v>27082</v>
      </c>
      <c r="E19" s="775">
        <f>T8</f>
        <v>102678</v>
      </c>
      <c r="F19" s="775"/>
    </row>
    <row r="20" spans="1:6">
      <c r="A20" s="637">
        <v>12</v>
      </c>
      <c r="B20" s="777" t="s">
        <v>684</v>
      </c>
      <c r="C20" s="775">
        <f t="shared" si="4"/>
        <v>100573</v>
      </c>
      <c r="D20" s="775">
        <f>U9</f>
        <v>22215</v>
      </c>
      <c r="E20" s="775">
        <f>U8</f>
        <v>78358</v>
      </c>
      <c r="F20" s="775"/>
    </row>
    <row r="21" spans="1:6">
      <c r="A21" s="637">
        <v>13</v>
      </c>
      <c r="B21" s="777" t="s">
        <v>685</v>
      </c>
      <c r="C21" s="775">
        <f t="shared" si="4"/>
        <v>124132</v>
      </c>
      <c r="D21" s="775">
        <f>V9</f>
        <v>53259</v>
      </c>
      <c r="E21" s="775">
        <f>V8</f>
        <v>70873</v>
      </c>
      <c r="F21" s="775"/>
    </row>
    <row r="22" spans="1:6">
      <c r="A22" s="637">
        <v>14</v>
      </c>
      <c r="B22" s="777" t="s">
        <v>686</v>
      </c>
      <c r="C22" s="775">
        <f t="shared" si="4"/>
        <v>71416</v>
      </c>
      <c r="D22" s="775">
        <f>W9</f>
        <v>15760</v>
      </c>
      <c r="E22" s="775">
        <f>W8</f>
        <v>55656</v>
      </c>
      <c r="F22" s="775"/>
    </row>
    <row r="23" spans="1:6">
      <c r="A23" s="637">
        <v>15</v>
      </c>
      <c r="B23" s="777" t="s">
        <v>687</v>
      </c>
      <c r="C23" s="775">
        <f t="shared" si="4"/>
        <v>74160</v>
      </c>
      <c r="D23" s="775">
        <f>X9</f>
        <v>10714</v>
      </c>
      <c r="E23" s="775">
        <f>X8</f>
        <v>63446</v>
      </c>
      <c r="F23" s="775"/>
    </row>
    <row r="24" spans="1:6">
      <c r="A24" s="637">
        <v>16</v>
      </c>
      <c r="B24" s="777" t="s">
        <v>688</v>
      </c>
      <c r="C24" s="775">
        <f t="shared" si="4"/>
        <v>99785</v>
      </c>
      <c r="D24" s="775">
        <f>Y9</f>
        <v>21267</v>
      </c>
      <c r="E24" s="775">
        <f>Y8</f>
        <v>78518</v>
      </c>
      <c r="F24" s="775"/>
    </row>
    <row r="25" spans="1:6">
      <c r="A25" s="637">
        <v>17</v>
      </c>
      <c r="B25" s="777" t="s">
        <v>689</v>
      </c>
      <c r="C25" s="775">
        <f t="shared" si="4"/>
        <v>115963</v>
      </c>
      <c r="D25" s="775">
        <f>Z9</f>
        <v>19228</v>
      </c>
      <c r="E25" s="775">
        <f>Z8</f>
        <v>96735</v>
      </c>
      <c r="F25" s="775"/>
    </row>
    <row r="26" spans="1:6">
      <c r="A26" s="637">
        <v>18</v>
      </c>
      <c r="B26" s="777" t="s">
        <v>690</v>
      </c>
      <c r="C26" s="775">
        <f t="shared" si="4"/>
        <v>128268</v>
      </c>
      <c r="D26" s="775">
        <f>AA9</f>
        <v>48639</v>
      </c>
      <c r="E26" s="775">
        <f>AA8</f>
        <v>79629</v>
      </c>
      <c r="F26" s="775"/>
    </row>
    <row r="27" spans="1:6">
      <c r="A27" s="763"/>
      <c r="B27" s="764"/>
      <c r="C27" s="763"/>
      <c r="D27" s="763"/>
      <c r="E27" s="763"/>
      <c r="F27" s="763"/>
    </row>
    <row r="28" spans="1:6" ht="38.25" customHeight="1">
      <c r="A28" s="1066"/>
      <c r="B28" s="1066"/>
      <c r="C28" s="1066"/>
      <c r="D28" s="1066"/>
      <c r="E28" s="1066"/>
      <c r="F28" s="1066"/>
    </row>
    <row r="29" spans="1:6">
      <c r="A29" s="607"/>
    </row>
    <row r="46" ht="19.5" customHeight="1"/>
    <row r="47" ht="19.5" customHeight="1"/>
    <row r="48" ht="24.75" customHeight="1"/>
  </sheetData>
  <mergeCells count="6">
    <mergeCell ref="A28:F28"/>
    <mergeCell ref="A3:F3"/>
    <mergeCell ref="A4:F4"/>
    <mergeCell ref="A5:F5"/>
    <mergeCell ref="E1:F1"/>
    <mergeCell ref="A1:C1"/>
  </mergeCells>
  <printOptions horizontalCentered="1"/>
  <pageMargins left="0.761811024" right="0" top="0.74803149606299202" bottom="0.55118110236220497" header="0.31496062992126" footer="0.3149606299212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1068" t="s">
        <v>783</v>
      </c>
      <c r="B1" s="1068"/>
      <c r="C1" s="1068"/>
      <c r="D1" s="1068"/>
      <c r="E1" s="1068"/>
      <c r="F1" s="1068"/>
    </row>
    <row r="2" spans="1:10" ht="18.75">
      <c r="A2" s="1051" t="s">
        <v>536</v>
      </c>
      <c r="B2" s="1051"/>
      <c r="C2" s="1051"/>
      <c r="D2" s="1051"/>
      <c r="E2" s="1051"/>
      <c r="F2" s="1051"/>
    </row>
    <row r="3" spans="1:10">
      <c r="A3" s="1070" t="s">
        <v>872</v>
      </c>
      <c r="B3" s="1070"/>
      <c r="C3" s="1070"/>
      <c r="D3" s="1070"/>
      <c r="E3" s="1070"/>
      <c r="F3" s="1070"/>
      <c r="G3" s="747"/>
    </row>
    <row r="4" spans="1:10">
      <c r="A4" s="1071" t="s">
        <v>199</v>
      </c>
      <c r="B4" s="1071"/>
      <c r="C4" s="1071"/>
      <c r="D4" s="1071"/>
      <c r="E4" s="1071"/>
      <c r="F4" s="1071"/>
    </row>
    <row r="5" spans="1:10">
      <c r="A5" s="1008" t="s">
        <v>11</v>
      </c>
      <c r="B5" s="1008" t="s">
        <v>289</v>
      </c>
      <c r="C5" s="1008" t="s">
        <v>400</v>
      </c>
      <c r="D5" s="1008" t="s">
        <v>472</v>
      </c>
      <c r="E5" s="1008" t="s">
        <v>371</v>
      </c>
      <c r="F5" s="1008"/>
    </row>
    <row r="6" spans="1:10" ht="33">
      <c r="A6" s="1008"/>
      <c r="B6" s="1008"/>
      <c r="C6" s="1008"/>
      <c r="D6" s="1008"/>
      <c r="E6" s="751" t="s">
        <v>537</v>
      </c>
      <c r="F6" s="751" t="s">
        <v>538</v>
      </c>
    </row>
    <row r="7" spans="1:10">
      <c r="A7" s="751" t="s">
        <v>12</v>
      </c>
      <c r="B7" s="751" t="s">
        <v>13</v>
      </c>
      <c r="C7" s="751">
        <v>1</v>
      </c>
      <c r="D7" s="751">
        <v>2</v>
      </c>
      <c r="E7" s="751" t="s">
        <v>539</v>
      </c>
      <c r="F7" s="751" t="s">
        <v>540</v>
      </c>
      <c r="J7" s="621">
        <f>D8+469500-76300</f>
        <v>20461070</v>
      </c>
    </row>
    <row r="8" spans="1:10" s="584" customFormat="1">
      <c r="A8" s="757"/>
      <c r="B8" s="767" t="s">
        <v>383</v>
      </c>
      <c r="C8" s="758">
        <f>C9+C49+C73</f>
        <v>20389234</v>
      </c>
      <c r="D8" s="758">
        <f>D9+D49+D73</f>
        <v>20067870</v>
      </c>
      <c r="E8" s="758">
        <f>D8-C8</f>
        <v>-321364</v>
      </c>
      <c r="F8" s="759">
        <f>D8/C8</f>
        <v>0.98423854471433303</v>
      </c>
      <c r="H8" s="585">
        <f>D8-20291571</f>
        <v>-223701</v>
      </c>
      <c r="J8" s="585">
        <f>13681573+D49+'ngay 27-11'!V8+3000000</f>
        <v>20461072</v>
      </c>
    </row>
    <row r="9" spans="1:10" s="584" customFormat="1">
      <c r="A9" s="655" t="s">
        <v>12</v>
      </c>
      <c r="B9" s="635" t="s">
        <v>541</v>
      </c>
      <c r="C9" s="636">
        <f>C10+C25+C44+C45+C46+C47+C48</f>
        <v>18924328</v>
      </c>
      <c r="D9" s="636">
        <f>D10+D25+D44+D45+D46+D47+D48</f>
        <v>17603196</v>
      </c>
      <c r="E9" s="636">
        <f t="shared" ref="E9:E73" si="0">D9-C9</f>
        <v>-1321132</v>
      </c>
      <c r="F9" s="656">
        <f t="shared" ref="F9:F62" si="1">D9/C9</f>
        <v>0.93018869679282667</v>
      </c>
      <c r="H9" s="584">
        <v>76300</v>
      </c>
      <c r="J9" s="585">
        <f>J7-469500</f>
        <v>19991570</v>
      </c>
    </row>
    <row r="10" spans="1:10" s="584" customFormat="1">
      <c r="A10" s="655" t="s">
        <v>17</v>
      </c>
      <c r="B10" s="635" t="s">
        <v>542</v>
      </c>
      <c r="C10" s="636">
        <f>C11+C23+C24</f>
        <v>3594051</v>
      </c>
      <c r="D10" s="636">
        <f>D11+D23+D24</f>
        <v>2461938</v>
      </c>
      <c r="E10" s="636">
        <f t="shared" si="0"/>
        <v>-1132113</v>
      </c>
      <c r="F10" s="656">
        <f t="shared" si="1"/>
        <v>0.68500363517379137</v>
      </c>
      <c r="H10" s="585">
        <f>H8-H9</f>
        <v>-300001</v>
      </c>
    </row>
    <row r="11" spans="1:10">
      <c r="A11" s="641">
        <v>1</v>
      </c>
      <c r="B11" s="638" t="s">
        <v>543</v>
      </c>
      <c r="C11" s="639">
        <f>790680+500000+70000+197700+50000+145000+17500+1758171</f>
        <v>3529051</v>
      </c>
      <c r="D11" s="639">
        <f>'ngay 27-11'!E11+'ngay 27-11'!E15+'ngay 27-11'!E25+'ngay 27-11'!E26+'ngay 27-11'!E27+'ngay 27-11'!E31</f>
        <v>2381938</v>
      </c>
      <c r="E11" s="639">
        <f t="shared" si="0"/>
        <v>-1147113</v>
      </c>
      <c r="F11" s="657">
        <f t="shared" si="1"/>
        <v>0.67495142461811974</v>
      </c>
    </row>
    <row r="12" spans="1:10" hidden="1">
      <c r="A12" s="641"/>
      <c r="B12" s="640" t="s">
        <v>544</v>
      </c>
      <c r="C12" s="639"/>
      <c r="D12" s="639"/>
      <c r="E12" s="636">
        <f t="shared" si="0"/>
        <v>0</v>
      </c>
      <c r="F12" s="656"/>
    </row>
    <row r="13" spans="1:10" ht="33" hidden="1">
      <c r="A13" s="641" t="s">
        <v>257</v>
      </c>
      <c r="B13" s="640" t="s">
        <v>545</v>
      </c>
      <c r="C13" s="639"/>
      <c r="D13" s="639"/>
      <c r="E13" s="636">
        <f t="shared" si="0"/>
        <v>0</v>
      </c>
      <c r="F13" s="656"/>
    </row>
    <row r="14" spans="1:10" hidden="1">
      <c r="A14" s="641" t="s">
        <v>257</v>
      </c>
      <c r="B14" s="640" t="s">
        <v>546</v>
      </c>
      <c r="C14" s="639"/>
      <c r="D14" s="639"/>
      <c r="E14" s="636">
        <f t="shared" si="0"/>
        <v>0</v>
      </c>
      <c r="F14" s="656"/>
    </row>
    <row r="15" spans="1:10" s="584" customFormat="1" ht="33">
      <c r="A15" s="655"/>
      <c r="B15" s="635" t="s">
        <v>547</v>
      </c>
      <c r="C15" s="636"/>
      <c r="D15" s="636"/>
      <c r="E15" s="636">
        <f t="shared" si="0"/>
        <v>0</v>
      </c>
      <c r="F15" s="656"/>
    </row>
    <row r="16" spans="1:10" ht="33">
      <c r="A16" s="641" t="s">
        <v>433</v>
      </c>
      <c r="B16" s="640" t="s">
        <v>409</v>
      </c>
      <c r="C16" s="639">
        <v>790680</v>
      </c>
      <c r="D16" s="639">
        <f>'ngay 27-11'!E11</f>
        <v>869860</v>
      </c>
      <c r="E16" s="639">
        <f t="shared" si="0"/>
        <v>79180</v>
      </c>
      <c r="F16" s="657">
        <f t="shared" si="1"/>
        <v>1.1001416502251227</v>
      </c>
    </row>
    <row r="17" spans="1:11" ht="33">
      <c r="A17" s="641" t="s">
        <v>433</v>
      </c>
      <c r="B17" s="640" t="s">
        <v>873</v>
      </c>
      <c r="C17" s="639">
        <v>50000</v>
      </c>
      <c r="D17" s="639">
        <f>'ngay 27-11'!E17</f>
        <v>15000</v>
      </c>
      <c r="E17" s="639">
        <f t="shared" si="0"/>
        <v>-35000</v>
      </c>
      <c r="F17" s="657">
        <f t="shared" si="1"/>
        <v>0.3</v>
      </c>
    </row>
    <row r="18" spans="1:11" ht="33">
      <c r="A18" s="641" t="s">
        <v>257</v>
      </c>
      <c r="B18" s="640" t="s">
        <v>548</v>
      </c>
      <c r="C18" s="639">
        <v>500000</v>
      </c>
      <c r="D18" s="639">
        <f>'ngay 27-11'!E25</f>
        <v>865000</v>
      </c>
      <c r="E18" s="639">
        <f t="shared" si="0"/>
        <v>365000</v>
      </c>
      <c r="F18" s="657">
        <f t="shared" si="1"/>
        <v>1.73</v>
      </c>
    </row>
    <row r="19" spans="1:11" ht="33">
      <c r="A19" s="641" t="s">
        <v>257</v>
      </c>
      <c r="B19" s="640" t="s">
        <v>549</v>
      </c>
      <c r="C19" s="639">
        <v>70000</v>
      </c>
      <c r="D19" s="639">
        <f>'ngay 27-11'!E26</f>
        <v>76000</v>
      </c>
      <c r="E19" s="639">
        <f t="shared" si="0"/>
        <v>6000</v>
      </c>
      <c r="F19" s="657">
        <f t="shared" si="1"/>
        <v>1.0857142857142856</v>
      </c>
    </row>
    <row r="20" spans="1:11" ht="33">
      <c r="A20" s="641" t="s">
        <v>433</v>
      </c>
      <c r="B20" s="640" t="s">
        <v>666</v>
      </c>
      <c r="C20" s="639">
        <f>145000+17500</f>
        <v>162500</v>
      </c>
      <c r="D20" s="639">
        <f>'ngay 27-11'!E18</f>
        <v>12500</v>
      </c>
      <c r="E20" s="639">
        <f t="shared" si="0"/>
        <v>-150000</v>
      </c>
      <c r="F20" s="657">
        <f t="shared" si="1"/>
        <v>7.6923076923076927E-2</v>
      </c>
    </row>
    <row r="21" spans="1:11">
      <c r="A21" s="641" t="s">
        <v>470</v>
      </c>
      <c r="B21" s="640" t="s">
        <v>573</v>
      </c>
      <c r="C21" s="639">
        <v>197700</v>
      </c>
      <c r="D21" s="639">
        <v>76300</v>
      </c>
      <c r="E21" s="639">
        <f t="shared" si="0"/>
        <v>-121400</v>
      </c>
      <c r="F21" s="657">
        <f t="shared" si="1"/>
        <v>0.38593829033889732</v>
      </c>
    </row>
    <row r="22" spans="1:11" ht="49.5">
      <c r="A22" s="641" t="s">
        <v>433</v>
      </c>
      <c r="B22" s="640" t="s">
        <v>665</v>
      </c>
      <c r="C22" s="639">
        <v>1758171</v>
      </c>
      <c r="D22" s="639">
        <f>'ngay 27-11'!E24+'ngay 27-11'!E20+'ngay 27-11'!E21</f>
        <v>467278</v>
      </c>
      <c r="E22" s="639">
        <f t="shared" si="0"/>
        <v>-1290893</v>
      </c>
      <c r="F22" s="657">
        <f t="shared" si="1"/>
        <v>0.26577505828500186</v>
      </c>
    </row>
    <row r="23" spans="1:11" ht="115.5">
      <c r="A23" s="641">
        <v>2</v>
      </c>
      <c r="B23" s="638" t="s">
        <v>550</v>
      </c>
      <c r="C23" s="639"/>
      <c r="D23" s="639"/>
      <c r="E23" s="636"/>
      <c r="F23" s="656"/>
    </row>
    <row r="24" spans="1:11">
      <c r="A24" s="641">
        <v>3</v>
      </c>
      <c r="B24" s="638" t="s">
        <v>670</v>
      </c>
      <c r="C24" s="639">
        <v>65000</v>
      </c>
      <c r="D24" s="639">
        <f>'ngay 27-11'!E30</f>
        <v>80000</v>
      </c>
      <c r="E24" s="639"/>
      <c r="F24" s="657"/>
    </row>
    <row r="25" spans="1:11" s="584" customFormat="1">
      <c r="A25" s="655" t="s">
        <v>18</v>
      </c>
      <c r="B25" s="635" t="s">
        <v>551</v>
      </c>
      <c r="C25" s="636">
        <f>C26+C27+C28+C30+C31+C32+C33+C34+C35+C37+C39+C40+C42+C43</f>
        <v>11696920</v>
      </c>
      <c r="D25" s="636">
        <f>D26+D27+D28+D30+D31+D32+D33+D34+D35+D37+D39+D40+D42+D43</f>
        <v>11543671</v>
      </c>
      <c r="E25" s="636">
        <f>D25-C25</f>
        <v>-153249</v>
      </c>
      <c r="F25" s="656">
        <f t="shared" si="1"/>
        <v>0.98689834588934522</v>
      </c>
      <c r="G25" s="585"/>
      <c r="H25" s="667">
        <f>H28+H40+H35</f>
        <v>300000</v>
      </c>
    </row>
    <row r="26" spans="1:11">
      <c r="A26" s="641">
        <v>1</v>
      </c>
      <c r="B26" s="665" t="s">
        <v>110</v>
      </c>
      <c r="C26" s="639">
        <v>157011</v>
      </c>
      <c r="D26" s="639">
        <f>'ngay 27-11'!E34</f>
        <v>182554</v>
      </c>
      <c r="E26" s="639">
        <f t="shared" si="0"/>
        <v>25543</v>
      </c>
      <c r="F26" s="657">
        <f t="shared" si="1"/>
        <v>1.1626828693531026</v>
      </c>
    </row>
    <row r="27" spans="1:11">
      <c r="A27" s="641">
        <v>2</v>
      </c>
      <c r="B27" s="666" t="s">
        <v>388</v>
      </c>
      <c r="C27" s="639">
        <v>78850</v>
      </c>
      <c r="D27" s="639">
        <f>'ngay 27-11'!E42</f>
        <v>82512</v>
      </c>
      <c r="E27" s="639">
        <f t="shared" si="0"/>
        <v>3662</v>
      </c>
      <c r="F27" s="657">
        <f t="shared" si="1"/>
        <v>1.0464426125554851</v>
      </c>
    </row>
    <row r="28" spans="1:11">
      <c r="A28" s="641">
        <v>3</v>
      </c>
      <c r="B28" s="666" t="s">
        <v>389</v>
      </c>
      <c r="C28" s="639">
        <f>4153720+50000+100000</f>
        <v>4303720</v>
      </c>
      <c r="D28" s="639">
        <f>'ngay 27-11'!E50</f>
        <v>4328909</v>
      </c>
      <c r="E28" s="639">
        <f t="shared" si="0"/>
        <v>25189</v>
      </c>
      <c r="F28" s="657">
        <f t="shared" si="1"/>
        <v>1.0058528435864786</v>
      </c>
      <c r="H28" s="669">
        <v>50000</v>
      </c>
      <c r="I28" s="580">
        <v>100000</v>
      </c>
    </row>
    <row r="29" spans="1:11" s="582" customFormat="1" ht="33" hidden="1">
      <c r="A29" s="658"/>
      <c r="B29" s="851" t="s">
        <v>667</v>
      </c>
      <c r="C29" s="688">
        <v>4153720</v>
      </c>
      <c r="D29" s="688">
        <f>D28</f>
        <v>4328909</v>
      </c>
      <c r="E29" s="688">
        <f>D29-C29</f>
        <v>175189</v>
      </c>
      <c r="F29" s="657">
        <f t="shared" si="1"/>
        <v>1.0421764105428386</v>
      </c>
      <c r="H29" s="686"/>
      <c r="J29" s="691">
        <v>4126432</v>
      </c>
      <c r="K29" s="582" t="s">
        <v>404</v>
      </c>
    </row>
    <row r="30" spans="1:11">
      <c r="A30" s="641">
        <v>4</v>
      </c>
      <c r="B30" s="666" t="s">
        <v>60</v>
      </c>
      <c r="C30" s="639">
        <v>1055467</v>
      </c>
      <c r="D30" s="639">
        <f>'ngay 27-11'!E72</f>
        <v>1109456</v>
      </c>
      <c r="E30" s="639">
        <f t="shared" si="0"/>
        <v>53989</v>
      </c>
      <c r="F30" s="657">
        <f t="shared" si="1"/>
        <v>1.0511517650480782</v>
      </c>
    </row>
    <row r="31" spans="1:11">
      <c r="A31" s="641">
        <v>5</v>
      </c>
      <c r="B31" s="666" t="s">
        <v>390</v>
      </c>
      <c r="C31" s="639">
        <v>40290</v>
      </c>
      <c r="D31" s="639">
        <f>'ngay 27-11'!E90</f>
        <v>40290</v>
      </c>
      <c r="E31" s="639">
        <f t="shared" si="0"/>
        <v>0</v>
      </c>
      <c r="F31" s="657">
        <f t="shared" si="1"/>
        <v>1</v>
      </c>
    </row>
    <row r="32" spans="1:11">
      <c r="A32" s="641">
        <v>6</v>
      </c>
      <c r="B32" s="666" t="s">
        <v>391</v>
      </c>
      <c r="C32" s="639">
        <f>184232+50000</f>
        <v>234232</v>
      </c>
      <c r="D32" s="639">
        <f>'ngay 27-11'!E93</f>
        <v>217724</v>
      </c>
      <c r="E32" s="639">
        <f t="shared" si="0"/>
        <v>-16508</v>
      </c>
      <c r="F32" s="657">
        <f t="shared" si="1"/>
        <v>0.92952286621810853</v>
      </c>
      <c r="H32" s="668">
        <v>50000</v>
      </c>
    </row>
    <row r="33" spans="1:12">
      <c r="A33" s="641">
        <v>7</v>
      </c>
      <c r="B33" s="666" t="s">
        <v>392</v>
      </c>
      <c r="C33" s="639">
        <v>48072</v>
      </c>
      <c r="D33" s="639">
        <f>'ngay 27-11'!E104</f>
        <v>48417</v>
      </c>
      <c r="E33" s="639">
        <f t="shared" si="0"/>
        <v>345</v>
      </c>
      <c r="F33" s="657">
        <f t="shared" si="1"/>
        <v>1.0071767348976535</v>
      </c>
    </row>
    <row r="34" spans="1:12">
      <c r="A34" s="641">
        <v>8</v>
      </c>
      <c r="B34" s="666" t="s">
        <v>393</v>
      </c>
      <c r="C34" s="639">
        <v>56983</v>
      </c>
      <c r="D34" s="639">
        <f>'ngay 27-11'!E109</f>
        <v>86851</v>
      </c>
      <c r="E34" s="639">
        <f t="shared" si="0"/>
        <v>29868</v>
      </c>
      <c r="F34" s="657">
        <f t="shared" si="1"/>
        <v>1.5241563273256937</v>
      </c>
    </row>
    <row r="35" spans="1:12">
      <c r="A35" s="641">
        <v>9</v>
      </c>
      <c r="B35" s="666" t="s">
        <v>394</v>
      </c>
      <c r="C35" s="639">
        <f>988158-580+150000</f>
        <v>1137578</v>
      </c>
      <c r="D35" s="639">
        <f>'ngay 27-11'!E118</f>
        <v>1025896</v>
      </c>
      <c r="E35" s="639">
        <f t="shared" si="0"/>
        <v>-111682</v>
      </c>
      <c r="F35" s="657">
        <f t="shared" si="1"/>
        <v>0.90182475399489093</v>
      </c>
      <c r="H35" s="669">
        <v>150000</v>
      </c>
    </row>
    <row r="36" spans="1:12" ht="33" hidden="1">
      <c r="A36" s="641"/>
      <c r="B36" s="666" t="s">
        <v>667</v>
      </c>
      <c r="C36" s="696">
        <v>988158</v>
      </c>
      <c r="D36" s="696">
        <f>D35</f>
        <v>1025896</v>
      </c>
      <c r="E36" s="696">
        <f>D36-C36</f>
        <v>37738</v>
      </c>
      <c r="F36" s="657">
        <f t="shared" si="1"/>
        <v>1.038190248927803</v>
      </c>
      <c r="H36" s="669"/>
    </row>
    <row r="37" spans="1:12">
      <c r="A37" s="641">
        <v>10</v>
      </c>
      <c r="B37" s="666" t="s">
        <v>20</v>
      </c>
      <c r="C37" s="639">
        <f>1809844+11000+331354+17500</f>
        <v>2169698</v>
      </c>
      <c r="D37" s="639">
        <f>'ngay 27-11'!E137+'ngay 27-11'!M215</f>
        <v>2034780</v>
      </c>
      <c r="E37" s="639">
        <f t="shared" si="0"/>
        <v>-134918</v>
      </c>
      <c r="F37" s="657">
        <f t="shared" si="1"/>
        <v>0.93781715243319574</v>
      </c>
      <c r="H37" s="668">
        <v>331000</v>
      </c>
      <c r="I37" s="580">
        <v>17500</v>
      </c>
    </row>
    <row r="38" spans="1:12" s="582" customFormat="1" ht="33" hidden="1">
      <c r="A38" s="658"/>
      <c r="B38" s="851" t="s">
        <v>667</v>
      </c>
      <c r="C38" s="688">
        <v>1809844</v>
      </c>
      <c r="D38" s="688">
        <f>D37</f>
        <v>2034780</v>
      </c>
      <c r="E38" s="688">
        <f>D38-C38</f>
        <v>224936</v>
      </c>
      <c r="F38" s="657">
        <f t="shared" si="1"/>
        <v>1.1242847449835456</v>
      </c>
      <c r="H38" s="687"/>
    </row>
    <row r="39" spans="1:12">
      <c r="A39" s="641">
        <v>11</v>
      </c>
      <c r="B39" s="666" t="s">
        <v>131</v>
      </c>
      <c r="C39" s="639">
        <v>154006</v>
      </c>
      <c r="D39" s="639">
        <f>'ngay 27-11'!E151</f>
        <v>171528</v>
      </c>
      <c r="E39" s="639">
        <f t="shared" si="0"/>
        <v>17522</v>
      </c>
      <c r="F39" s="657">
        <f t="shared" si="1"/>
        <v>1.1137747879952729</v>
      </c>
    </row>
    <row r="40" spans="1:12">
      <c r="A40" s="641">
        <v>12</v>
      </c>
      <c r="B40" s="666" t="s">
        <v>659</v>
      </c>
      <c r="C40" s="639">
        <f>2097557+100000</f>
        <v>2197557</v>
      </c>
      <c r="D40" s="639">
        <f>'ngay 27-11'!E156</f>
        <v>2150852</v>
      </c>
      <c r="E40" s="639">
        <f t="shared" si="0"/>
        <v>-46705</v>
      </c>
      <c r="F40" s="657">
        <f t="shared" si="1"/>
        <v>0.97874685389275451</v>
      </c>
      <c r="H40" s="669">
        <v>100000</v>
      </c>
    </row>
    <row r="41" spans="1:12" s="582" customFormat="1" ht="33" hidden="1">
      <c r="A41" s="658"/>
      <c r="B41" s="851" t="s">
        <v>667</v>
      </c>
      <c r="C41" s="688">
        <v>2097557</v>
      </c>
      <c r="D41" s="688">
        <f>D40</f>
        <v>2150852</v>
      </c>
      <c r="E41" s="688">
        <f>D41-C41</f>
        <v>53295</v>
      </c>
      <c r="F41" s="657">
        <f t="shared" si="1"/>
        <v>1.0254081295526176</v>
      </c>
      <c r="H41" s="686"/>
    </row>
    <row r="42" spans="1:12">
      <c r="A42" s="641">
        <v>13</v>
      </c>
      <c r="B42" s="666" t="s">
        <v>397</v>
      </c>
      <c r="C42" s="639">
        <v>63456</v>
      </c>
      <c r="D42" s="639">
        <f>'ngay 27-11'!E169</f>
        <v>63902</v>
      </c>
      <c r="E42" s="639">
        <f t="shared" si="0"/>
        <v>446</v>
      </c>
      <c r="F42" s="657">
        <f t="shared" si="1"/>
        <v>1.0070284921835602</v>
      </c>
    </row>
    <row r="43" spans="1:12" hidden="1">
      <c r="A43" s="641"/>
      <c r="B43" s="666"/>
      <c r="C43" s="639"/>
      <c r="D43" s="639"/>
      <c r="E43" s="639">
        <f t="shared" ref="E43" si="2">D43-C43</f>
        <v>0</v>
      </c>
      <c r="F43" s="657"/>
    </row>
    <row r="44" spans="1:12" s="584" customFormat="1" ht="33">
      <c r="A44" s="655" t="s">
        <v>196</v>
      </c>
      <c r="B44" s="635" t="s">
        <v>763</v>
      </c>
      <c r="C44" s="636">
        <v>3942</v>
      </c>
      <c r="D44" s="636">
        <v>11901</v>
      </c>
      <c r="E44" s="636">
        <f t="shared" si="0"/>
        <v>7959</v>
      </c>
      <c r="F44" s="656">
        <f t="shared" si="1"/>
        <v>3.0190258751902586</v>
      </c>
    </row>
    <row r="45" spans="1:12" s="584" customFormat="1" ht="33">
      <c r="A45" s="655" t="s">
        <v>197</v>
      </c>
      <c r="B45" s="635" t="s">
        <v>572</v>
      </c>
      <c r="C45" s="636">
        <v>1450</v>
      </c>
      <c r="D45" s="636">
        <v>1450</v>
      </c>
      <c r="E45" s="636">
        <f t="shared" si="0"/>
        <v>0</v>
      </c>
      <c r="F45" s="656">
        <f t="shared" si="1"/>
        <v>1</v>
      </c>
    </row>
    <row r="46" spans="1:12" s="584" customFormat="1">
      <c r="A46" s="655" t="s">
        <v>419</v>
      </c>
      <c r="B46" s="635" t="s">
        <v>552</v>
      </c>
      <c r="C46" s="636">
        <v>507965</v>
      </c>
      <c r="D46" s="636">
        <f>'ngay 27-11'!E175</f>
        <v>512325</v>
      </c>
      <c r="E46" s="636">
        <f t="shared" si="0"/>
        <v>4360</v>
      </c>
      <c r="F46" s="656">
        <f t="shared" si="1"/>
        <v>1.0085832685322809</v>
      </c>
      <c r="L46" s="585">
        <f>L47-D47</f>
        <v>0</v>
      </c>
    </row>
    <row r="47" spans="1:12" s="584" customFormat="1" ht="33">
      <c r="A47" s="655" t="s">
        <v>422</v>
      </c>
      <c r="B47" s="635" t="s">
        <v>694</v>
      </c>
      <c r="C47" s="636">
        <v>3120000</v>
      </c>
      <c r="D47" s="636">
        <f>L47</f>
        <v>3032462</v>
      </c>
      <c r="E47" s="636">
        <f t="shared" si="0"/>
        <v>-87538</v>
      </c>
      <c r="F47" s="656">
        <f t="shared" si="1"/>
        <v>0.97194294871794873</v>
      </c>
      <c r="H47" s="675">
        <v>155403</v>
      </c>
      <c r="I47" s="691">
        <f>3000000-469500</f>
        <v>2530500</v>
      </c>
      <c r="J47" s="675">
        <v>215059</v>
      </c>
      <c r="K47" s="675">
        <v>131500</v>
      </c>
      <c r="L47" s="676">
        <f>H47+I47+J47+K47</f>
        <v>3032462</v>
      </c>
    </row>
    <row r="48" spans="1:12" s="584" customFormat="1" ht="33">
      <c r="A48" s="655" t="s">
        <v>423</v>
      </c>
      <c r="B48" s="635" t="s">
        <v>671</v>
      </c>
      <c r="C48" s="636"/>
      <c r="D48" s="636">
        <f>'ngay 27-11'!E174</f>
        <v>39449</v>
      </c>
      <c r="E48" s="636"/>
      <c r="F48" s="656"/>
      <c r="H48" s="675"/>
      <c r="I48" s="691">
        <f>'ngay 27-11'!V8</f>
        <v>1314825</v>
      </c>
      <c r="J48" s="675"/>
      <c r="K48" s="675"/>
      <c r="L48" s="676"/>
    </row>
    <row r="49" spans="1:11" s="584" customFormat="1" ht="33">
      <c r="A49" s="655" t="s">
        <v>13</v>
      </c>
      <c r="B49" s="635" t="s">
        <v>553</v>
      </c>
      <c r="C49" s="636">
        <f>C50+C57</f>
        <v>1464906</v>
      </c>
      <c r="D49" s="636">
        <f>D50+D57</f>
        <v>2464674</v>
      </c>
      <c r="E49" s="636">
        <f t="shared" si="0"/>
        <v>999768</v>
      </c>
      <c r="F49" s="656">
        <f t="shared" si="1"/>
        <v>1.6824792853602892</v>
      </c>
      <c r="I49" s="585">
        <f>I47+I48</f>
        <v>3845325</v>
      </c>
      <c r="K49" s="584">
        <v>501961</v>
      </c>
    </row>
    <row r="50" spans="1:11" s="584" customFormat="1" ht="33">
      <c r="A50" s="655" t="s">
        <v>17</v>
      </c>
      <c r="B50" s="635" t="s">
        <v>554</v>
      </c>
      <c r="C50" s="636">
        <f>393751+124440</f>
        <v>518191</v>
      </c>
      <c r="D50" s="636">
        <f>D51+D54</f>
        <v>472921</v>
      </c>
      <c r="E50" s="636">
        <f t="shared" si="0"/>
        <v>-45270</v>
      </c>
      <c r="F50" s="656">
        <f t="shared" si="1"/>
        <v>0.91263839009168435</v>
      </c>
      <c r="K50" s="584">
        <f>[3]Sheet3!$D$21</f>
        <v>595060</v>
      </c>
    </row>
    <row r="51" spans="1:11" ht="33">
      <c r="A51" s="641">
        <v>1</v>
      </c>
      <c r="B51" s="638" t="s">
        <v>874</v>
      </c>
      <c r="C51" s="639">
        <f>C52+C53</f>
        <v>296191</v>
      </c>
      <c r="D51" s="639">
        <f>D52+D53</f>
        <v>226021</v>
      </c>
      <c r="E51" s="639">
        <f t="shared" si="0"/>
        <v>-70170</v>
      </c>
      <c r="F51" s="657">
        <f t="shared" si="1"/>
        <v>0.76309205884041043</v>
      </c>
      <c r="H51" s="621">
        <f>D52+D55+D58</f>
        <v>2195131</v>
      </c>
      <c r="K51" s="580">
        <f>K50-K49</f>
        <v>93099</v>
      </c>
    </row>
    <row r="52" spans="1:11" s="582" customFormat="1">
      <c r="A52" s="658"/>
      <c r="B52" s="640" t="s">
        <v>557</v>
      </c>
      <c r="C52" s="659">
        <v>222751</v>
      </c>
      <c r="D52" s="659">
        <v>192854</v>
      </c>
      <c r="E52" s="659">
        <f t="shared" si="0"/>
        <v>-29897</v>
      </c>
      <c r="F52" s="660">
        <f t="shared" si="1"/>
        <v>0.86578286966164009</v>
      </c>
    </row>
    <row r="53" spans="1:11" s="582" customFormat="1">
      <c r="A53" s="658"/>
      <c r="B53" s="640" t="s">
        <v>558</v>
      </c>
      <c r="C53" s="659">
        <v>73440</v>
      </c>
      <c r="D53" s="659">
        <v>33167</v>
      </c>
      <c r="E53" s="659">
        <f t="shared" si="0"/>
        <v>-40273</v>
      </c>
      <c r="F53" s="660">
        <f t="shared" si="1"/>
        <v>0.45162037037037039</v>
      </c>
    </row>
    <row r="54" spans="1:11" ht="33">
      <c r="A54" s="641">
        <v>2</v>
      </c>
      <c r="B54" s="638" t="s">
        <v>875</v>
      </c>
      <c r="C54" s="639">
        <f>C55+C56</f>
        <v>222000</v>
      </c>
      <c r="D54" s="639">
        <f>D55+D56</f>
        <v>246900</v>
      </c>
      <c r="E54" s="639">
        <f t="shared" si="0"/>
        <v>24900</v>
      </c>
      <c r="F54" s="657">
        <f t="shared" si="1"/>
        <v>1.1121621621621622</v>
      </c>
    </row>
    <row r="55" spans="1:11" s="582" customFormat="1">
      <c r="A55" s="658"/>
      <c r="B55" s="640" t="s">
        <v>557</v>
      </c>
      <c r="C55" s="659">
        <v>171000</v>
      </c>
      <c r="D55" s="659">
        <v>177100</v>
      </c>
      <c r="E55" s="659">
        <f t="shared" si="0"/>
        <v>6100</v>
      </c>
      <c r="F55" s="660">
        <f t="shared" si="1"/>
        <v>1.0356725146198831</v>
      </c>
    </row>
    <row r="56" spans="1:11" s="582" customFormat="1">
      <c r="A56" s="658"/>
      <c r="B56" s="640" t="s">
        <v>558</v>
      </c>
      <c r="C56" s="659">
        <v>51000</v>
      </c>
      <c r="D56" s="659">
        <v>69800</v>
      </c>
      <c r="E56" s="659">
        <f t="shared" si="0"/>
        <v>18800</v>
      </c>
      <c r="F56" s="660">
        <f t="shared" si="1"/>
        <v>1.3686274509803922</v>
      </c>
    </row>
    <row r="57" spans="1:11" ht="33">
      <c r="A57" s="655" t="s">
        <v>18</v>
      </c>
      <c r="B57" s="635" t="s">
        <v>555</v>
      </c>
      <c r="C57" s="636">
        <f>C58+C62</f>
        <v>946715</v>
      </c>
      <c r="D57" s="636">
        <f>D58+D62</f>
        <v>1991753</v>
      </c>
      <c r="E57" s="636">
        <f t="shared" si="0"/>
        <v>1045038</v>
      </c>
      <c r="F57" s="656">
        <f t="shared" si="1"/>
        <v>2.1038570213844716</v>
      </c>
    </row>
    <row r="58" spans="1:11">
      <c r="A58" s="641">
        <v>1</v>
      </c>
      <c r="B58" s="638" t="s">
        <v>559</v>
      </c>
      <c r="C58" s="639">
        <f>C59+C60+C61</f>
        <v>894113</v>
      </c>
      <c r="D58" s="639">
        <f>D59+D60+D61</f>
        <v>1825177</v>
      </c>
      <c r="E58" s="639">
        <f t="shared" si="0"/>
        <v>931064</v>
      </c>
      <c r="F58" s="657">
        <f t="shared" si="1"/>
        <v>2.0413269911073879</v>
      </c>
    </row>
    <row r="59" spans="1:11" s="582" customFormat="1">
      <c r="A59" s="658"/>
      <c r="B59" s="640" t="s">
        <v>560</v>
      </c>
      <c r="C59" s="659">
        <v>333673</v>
      </c>
      <c r="D59" s="659">
        <v>489799</v>
      </c>
      <c r="E59" s="639">
        <f t="shared" si="0"/>
        <v>156126</v>
      </c>
      <c r="F59" s="657">
        <f t="shared" si="1"/>
        <v>1.4679012086683669</v>
      </c>
      <c r="H59" s="622">
        <f>D52+D55</f>
        <v>369954</v>
      </c>
    </row>
    <row r="60" spans="1:11" s="582" customFormat="1">
      <c r="A60" s="658"/>
      <c r="B60" s="640" t="s">
        <v>561</v>
      </c>
      <c r="C60" s="659">
        <f>572440-12000</f>
        <v>560440</v>
      </c>
      <c r="D60" s="659">
        <v>972378</v>
      </c>
      <c r="E60" s="639">
        <f t="shared" si="0"/>
        <v>411938</v>
      </c>
      <c r="F60" s="657">
        <f t="shared" si="1"/>
        <v>1.73502605095996</v>
      </c>
    </row>
    <row r="61" spans="1:11" s="582" customFormat="1">
      <c r="A61" s="658"/>
      <c r="B61" s="640" t="s">
        <v>562</v>
      </c>
      <c r="C61" s="659"/>
      <c r="D61" s="659">
        <v>363000</v>
      </c>
      <c r="E61" s="639">
        <f t="shared" si="0"/>
        <v>363000</v>
      </c>
      <c r="F61" s="657"/>
    </row>
    <row r="62" spans="1:11">
      <c r="A62" s="641">
        <v>2</v>
      </c>
      <c r="B62" s="638" t="s">
        <v>563</v>
      </c>
      <c r="C62" s="639">
        <f>40022+580+12000</f>
        <v>52602</v>
      </c>
      <c r="D62" s="639">
        <f>D63+D71+D72</f>
        <v>166576</v>
      </c>
      <c r="E62" s="639">
        <f t="shared" si="0"/>
        <v>113974</v>
      </c>
      <c r="F62" s="657">
        <f t="shared" si="1"/>
        <v>3.16672369871868</v>
      </c>
    </row>
    <row r="63" spans="1:11">
      <c r="A63" s="641" t="s">
        <v>61</v>
      </c>
      <c r="B63" s="638" t="s">
        <v>482</v>
      </c>
      <c r="C63" s="639"/>
      <c r="D63" s="639">
        <f>SUM(D64:D70)</f>
        <v>49988</v>
      </c>
      <c r="E63" s="639">
        <f t="shared" si="0"/>
        <v>49988</v>
      </c>
      <c r="F63" s="657"/>
    </row>
    <row r="64" spans="1:11" s="582" customFormat="1" ht="33">
      <c r="A64" s="658"/>
      <c r="B64" s="640" t="s">
        <v>565</v>
      </c>
      <c r="C64" s="659"/>
      <c r="D64" s="659">
        <v>4535</v>
      </c>
      <c r="E64" s="639">
        <f t="shared" si="0"/>
        <v>4535</v>
      </c>
      <c r="F64" s="657"/>
    </row>
    <row r="65" spans="1:6" s="582" customFormat="1" ht="33">
      <c r="A65" s="658"/>
      <c r="B65" s="640" t="s">
        <v>571</v>
      </c>
      <c r="C65" s="659"/>
      <c r="D65" s="659">
        <v>25000</v>
      </c>
      <c r="E65" s="639">
        <f t="shared" si="0"/>
        <v>25000</v>
      </c>
      <c r="F65" s="657"/>
    </row>
    <row r="66" spans="1:6" s="582" customFormat="1" ht="33">
      <c r="A66" s="658"/>
      <c r="B66" s="640" t="s">
        <v>570</v>
      </c>
      <c r="C66" s="659"/>
      <c r="D66" s="659">
        <v>5782</v>
      </c>
      <c r="E66" s="639">
        <f t="shared" si="0"/>
        <v>5782</v>
      </c>
      <c r="F66" s="657"/>
    </row>
    <row r="67" spans="1:6" s="582" customFormat="1" ht="66">
      <c r="A67" s="658"/>
      <c r="B67" s="640" t="s">
        <v>567</v>
      </c>
      <c r="C67" s="659"/>
      <c r="D67" s="659">
        <v>2000</v>
      </c>
      <c r="E67" s="639">
        <f t="shared" si="0"/>
        <v>2000</v>
      </c>
      <c r="F67" s="657"/>
    </row>
    <row r="68" spans="1:6" s="582" customFormat="1">
      <c r="A68" s="658"/>
      <c r="B68" s="640" t="s">
        <v>568</v>
      </c>
      <c r="C68" s="659"/>
      <c r="D68" s="659">
        <v>1293</v>
      </c>
      <c r="E68" s="639">
        <f t="shared" si="0"/>
        <v>1293</v>
      </c>
      <c r="F68" s="657"/>
    </row>
    <row r="69" spans="1:6" s="582" customFormat="1">
      <c r="A69" s="658"/>
      <c r="B69" s="640" t="s">
        <v>569</v>
      </c>
      <c r="C69" s="659"/>
      <c r="D69" s="659">
        <v>8988</v>
      </c>
      <c r="E69" s="639">
        <f t="shared" si="0"/>
        <v>8988</v>
      </c>
      <c r="F69" s="657"/>
    </row>
    <row r="70" spans="1:6" s="582" customFormat="1" ht="49.5">
      <c r="A70" s="658"/>
      <c r="B70" s="640" t="s">
        <v>566</v>
      </c>
      <c r="C70" s="659"/>
      <c r="D70" s="659">
        <v>2390</v>
      </c>
      <c r="E70" s="639">
        <f t="shared" si="0"/>
        <v>2390</v>
      </c>
      <c r="F70" s="657"/>
    </row>
    <row r="71" spans="1:6">
      <c r="A71" s="641" t="s">
        <v>63</v>
      </c>
      <c r="B71" s="638" t="s">
        <v>564</v>
      </c>
      <c r="C71" s="639"/>
      <c r="D71" s="639">
        <v>37098</v>
      </c>
      <c r="E71" s="639">
        <f t="shared" si="0"/>
        <v>37098</v>
      </c>
      <c r="F71" s="657"/>
    </row>
    <row r="72" spans="1:6">
      <c r="A72" s="641" t="s">
        <v>64</v>
      </c>
      <c r="B72" s="638" t="s">
        <v>560</v>
      </c>
      <c r="C72" s="639"/>
      <c r="D72" s="639">
        <v>79490</v>
      </c>
      <c r="E72" s="639">
        <f t="shared" si="0"/>
        <v>79490</v>
      </c>
      <c r="F72" s="656"/>
    </row>
    <row r="73" spans="1:6" ht="33">
      <c r="A73" s="753" t="s">
        <v>273</v>
      </c>
      <c r="B73" s="852" t="s">
        <v>556</v>
      </c>
      <c r="C73" s="754"/>
      <c r="D73" s="754"/>
      <c r="E73" s="755">
        <f t="shared" si="0"/>
        <v>0</v>
      </c>
      <c r="F73" s="756"/>
    </row>
    <row r="74" spans="1:6" ht="17.25">
      <c r="A74" s="1069"/>
      <c r="B74" s="1069"/>
      <c r="C74" s="1069"/>
      <c r="D74" s="1069"/>
      <c r="E74" s="1069"/>
      <c r="F74" s="1069"/>
    </row>
    <row r="75" spans="1:6">
      <c r="A75" s="1011"/>
      <c r="B75" s="1011"/>
      <c r="C75" s="1011"/>
      <c r="D75" s="1011"/>
      <c r="E75" s="1011"/>
      <c r="F75" s="1011"/>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807" customWidth="1"/>
    <col min="2" max="2" width="27.5703125" style="807" customWidth="1"/>
    <col min="3" max="3" width="10.28515625" style="807" hidden="1" customWidth="1"/>
    <col min="4" max="17" width="9.140625" style="807"/>
    <col min="18" max="18" width="9.42578125" style="807" customWidth="1"/>
    <col min="19" max="20" width="9.140625" style="807"/>
    <col min="21" max="21" width="9.140625" style="808"/>
    <col min="22" max="16384" width="9.140625" style="807"/>
  </cols>
  <sheetData>
    <row r="1" spans="1:21" s="810" customFormat="1" ht="16.5">
      <c r="A1" s="1047" t="s">
        <v>784</v>
      </c>
      <c r="B1" s="1047"/>
      <c r="C1" s="1047"/>
      <c r="D1" s="1047"/>
      <c r="E1" s="1047"/>
      <c r="F1" s="1047"/>
      <c r="G1" s="1047"/>
      <c r="H1" s="1047"/>
      <c r="I1" s="1047"/>
      <c r="J1" s="1047"/>
      <c r="K1" s="1047"/>
      <c r="L1" s="1047"/>
      <c r="M1" s="1047"/>
      <c r="N1" s="1047"/>
      <c r="O1" s="1047"/>
      <c r="P1" s="1047"/>
      <c r="Q1" s="1047"/>
      <c r="R1" s="1047"/>
      <c r="S1" s="1047"/>
      <c r="T1" s="1047"/>
      <c r="U1" s="809"/>
    </row>
    <row r="2" spans="1:21" s="810" customFormat="1" ht="16.5">
      <c r="A2" s="1048" t="s">
        <v>886</v>
      </c>
      <c r="B2" s="1048"/>
      <c r="C2" s="1048"/>
      <c r="D2" s="1048"/>
      <c r="E2" s="1048"/>
      <c r="F2" s="1048"/>
      <c r="G2" s="1048"/>
      <c r="H2" s="1048"/>
      <c r="I2" s="1048"/>
      <c r="J2" s="1048"/>
      <c r="K2" s="1048"/>
      <c r="L2" s="1048"/>
      <c r="M2" s="1048"/>
      <c r="N2" s="1048"/>
      <c r="O2" s="1048"/>
      <c r="P2" s="1048"/>
      <c r="Q2" s="1048"/>
      <c r="R2" s="1048"/>
      <c r="S2" s="1048"/>
      <c r="T2" s="1048"/>
      <c r="U2" s="809"/>
    </row>
    <row r="3" spans="1:21" ht="19.5" customHeight="1">
      <c r="Q3" s="1049" t="s">
        <v>885</v>
      </c>
      <c r="R3" s="1049"/>
      <c r="S3" s="1049"/>
      <c r="T3" s="858"/>
    </row>
    <row r="4" spans="1:21" ht="21" customHeight="1">
      <c r="A4" s="1045" t="s">
        <v>378</v>
      </c>
      <c r="B4" s="1045" t="s">
        <v>785</v>
      </c>
      <c r="C4" s="1045" t="s">
        <v>786</v>
      </c>
      <c r="D4" s="1045" t="s">
        <v>787</v>
      </c>
      <c r="E4" s="1072" t="s">
        <v>471</v>
      </c>
      <c r="F4" s="1073"/>
      <c r="G4" s="1073"/>
      <c r="H4" s="1073"/>
      <c r="I4" s="1073"/>
      <c r="J4" s="1073"/>
      <c r="K4" s="1073"/>
      <c r="L4" s="1073"/>
      <c r="M4" s="1073"/>
      <c r="N4" s="1073"/>
      <c r="O4" s="1073"/>
      <c r="P4" s="1073"/>
      <c r="Q4" s="1073"/>
      <c r="R4" s="1073"/>
      <c r="S4" s="1073"/>
      <c r="T4" s="850"/>
    </row>
    <row r="5" spans="1:21" ht="35.25" customHeight="1">
      <c r="A5" s="1045"/>
      <c r="B5" s="1045"/>
      <c r="C5" s="1045"/>
      <c r="D5" s="1045"/>
      <c r="E5" s="1045" t="s">
        <v>788</v>
      </c>
      <c r="F5" s="1045" t="s">
        <v>545</v>
      </c>
      <c r="G5" s="1045"/>
      <c r="H5" s="1045"/>
      <c r="I5" s="1046" t="s">
        <v>599</v>
      </c>
      <c r="J5" s="1045" t="s">
        <v>789</v>
      </c>
      <c r="K5" s="1045" t="s">
        <v>790</v>
      </c>
      <c r="L5" s="1045" t="s">
        <v>606</v>
      </c>
      <c r="M5" s="1045" t="s">
        <v>604</v>
      </c>
      <c r="N5" s="1045" t="s">
        <v>603</v>
      </c>
      <c r="O5" s="1045" t="s">
        <v>110</v>
      </c>
      <c r="P5" s="1045" t="s">
        <v>598</v>
      </c>
      <c r="Q5" s="1045" t="s">
        <v>791</v>
      </c>
      <c r="R5" s="1045" t="s">
        <v>792</v>
      </c>
      <c r="S5" s="1045" t="s">
        <v>793</v>
      </c>
      <c r="T5" s="1045" t="s">
        <v>794</v>
      </c>
    </row>
    <row r="6" spans="1:21" ht="126.75" customHeight="1">
      <c r="A6" s="1045"/>
      <c r="B6" s="1045"/>
      <c r="C6" s="1045"/>
      <c r="D6" s="1045"/>
      <c r="E6" s="1045"/>
      <c r="F6" s="811" t="s">
        <v>795</v>
      </c>
      <c r="G6" s="811" t="s">
        <v>717</v>
      </c>
      <c r="H6" s="811" t="s">
        <v>796</v>
      </c>
      <c r="I6" s="1046"/>
      <c r="J6" s="1045"/>
      <c r="K6" s="1045"/>
      <c r="L6" s="1045"/>
      <c r="M6" s="1045"/>
      <c r="N6" s="1045"/>
      <c r="O6" s="1045"/>
      <c r="P6" s="1045"/>
      <c r="Q6" s="1045"/>
      <c r="R6" s="1045"/>
      <c r="S6" s="1045"/>
      <c r="T6" s="1045"/>
    </row>
    <row r="7" spans="1:21" s="817" customFormat="1" ht="15.75" customHeight="1">
      <c r="A7" s="812"/>
      <c r="B7" s="813" t="s">
        <v>405</v>
      </c>
      <c r="C7" s="814" t="e">
        <f t="shared" ref="C7:T7" si="0">C8+C81</f>
        <v>#REF!</v>
      </c>
      <c r="D7" s="815">
        <f>D8+D81</f>
        <v>3628215.2491726973</v>
      </c>
      <c r="E7" s="815">
        <f>E8+E81</f>
        <v>610678.98940000008</v>
      </c>
      <c r="F7" s="815">
        <f>F8+F81</f>
        <v>765497.9639443903</v>
      </c>
      <c r="G7" s="815">
        <f>G8+G81</f>
        <v>217166.65599999999</v>
      </c>
      <c r="H7" s="815">
        <f>H8+H81</f>
        <v>982664.61994439026</v>
      </c>
      <c r="I7" s="815">
        <f t="shared" ref="I7:J7" si="1">I8+I81</f>
        <v>958949.29119999998</v>
      </c>
      <c r="J7" s="815">
        <f t="shared" si="1"/>
        <v>32650</v>
      </c>
      <c r="K7" s="815">
        <f t="shared" si="0"/>
        <v>168674.9936923077</v>
      </c>
      <c r="L7" s="815">
        <f t="shared" si="0"/>
        <v>137078.32800000001</v>
      </c>
      <c r="M7" s="815">
        <f t="shared" si="0"/>
        <v>467204.31493599998</v>
      </c>
      <c r="N7" s="815">
        <f t="shared" si="0"/>
        <v>54610.584000000003</v>
      </c>
      <c r="O7" s="815">
        <f t="shared" si="0"/>
        <v>53753</v>
      </c>
      <c r="P7" s="815">
        <f t="shared" si="0"/>
        <v>15349</v>
      </c>
      <c r="Q7" s="815">
        <f t="shared" si="0"/>
        <v>80000</v>
      </c>
      <c r="R7" s="815">
        <f t="shared" si="0"/>
        <v>16839.127999999997</v>
      </c>
      <c r="S7" s="815">
        <f t="shared" si="0"/>
        <v>49763</v>
      </c>
      <c r="T7" s="815">
        <f t="shared" si="0"/>
        <v>0</v>
      </c>
      <c r="U7" s="816"/>
    </row>
    <row r="8" spans="1:21" s="817" customFormat="1" ht="31.5" hidden="1">
      <c r="A8" s="818" t="s">
        <v>17</v>
      </c>
      <c r="B8" s="819" t="s">
        <v>797</v>
      </c>
      <c r="C8" s="820" t="e">
        <f>SUM(C9:C80)</f>
        <v>#REF!</v>
      </c>
      <c r="D8" s="821">
        <f>SUM(D9:D43)+SUM(D77:D80)</f>
        <v>2959493.1211726973</v>
      </c>
      <c r="E8" s="821">
        <f>SUM(E9:E43)+SUM(E77:E80)</f>
        <v>610678.98940000008</v>
      </c>
      <c r="F8" s="821">
        <f>SUM(F9:F43)+SUM(F77:F80)</f>
        <v>765497.9639443903</v>
      </c>
      <c r="G8" s="821">
        <f t="shared" ref="G8:T8" si="2">SUM(G9:G43)+SUM(G77:G80)</f>
        <v>208049.65599999999</v>
      </c>
      <c r="H8" s="821">
        <f>SUM(H9:H43)+SUM(H77:H80)</f>
        <v>973547.61994439026</v>
      </c>
      <c r="I8" s="821">
        <f>SUM(I9:I43)+SUM(I77:I80)</f>
        <v>507615.29119999998</v>
      </c>
      <c r="J8" s="821">
        <f t="shared" si="2"/>
        <v>32650</v>
      </c>
      <c r="K8" s="821">
        <f t="shared" si="2"/>
        <v>168354.9936923077</v>
      </c>
      <c r="L8" s="821">
        <f t="shared" si="2"/>
        <v>136578.32800000001</v>
      </c>
      <c r="M8" s="821">
        <f t="shared" si="2"/>
        <v>419173.31493599998</v>
      </c>
      <c r="N8" s="821">
        <f t="shared" si="2"/>
        <v>54210.584000000003</v>
      </c>
      <c r="O8" s="821">
        <f t="shared" si="2"/>
        <v>6257</v>
      </c>
      <c r="P8" s="821">
        <f t="shared" si="2"/>
        <v>1249</v>
      </c>
      <c r="Q8" s="821">
        <f t="shared" si="2"/>
        <v>0</v>
      </c>
      <c r="R8" s="821">
        <f t="shared" si="2"/>
        <v>0</v>
      </c>
      <c r="S8" s="821">
        <f t="shared" si="2"/>
        <v>49178</v>
      </c>
      <c r="T8" s="821">
        <f t="shared" si="2"/>
        <v>0</v>
      </c>
      <c r="U8" s="816"/>
    </row>
    <row r="9" spans="1:21" s="827" customFormat="1" ht="15.75">
      <c r="A9" s="822">
        <v>1</v>
      </c>
      <c r="B9" s="823" t="s">
        <v>798</v>
      </c>
      <c r="C9" s="824"/>
      <c r="D9" s="821">
        <f>SUM(E9:T9)-H9</f>
        <v>15404.851200000001</v>
      </c>
      <c r="E9" s="825">
        <v>15378.851200000001</v>
      </c>
      <c r="F9" s="825"/>
      <c r="G9" s="825"/>
      <c r="H9" s="825">
        <f>F9+G9</f>
        <v>0</v>
      </c>
      <c r="I9" s="825"/>
      <c r="J9" s="825"/>
      <c r="K9" s="825"/>
      <c r="L9" s="825"/>
      <c r="M9" s="825"/>
      <c r="N9" s="825"/>
      <c r="O9" s="825">
        <v>26</v>
      </c>
      <c r="P9" s="825"/>
      <c r="Q9" s="825"/>
      <c r="R9" s="825"/>
      <c r="S9" s="825"/>
      <c r="T9" s="825"/>
      <c r="U9" s="826"/>
    </row>
    <row r="10" spans="1:21" s="827" customFormat="1" ht="15.75">
      <c r="A10" s="822">
        <v>2</v>
      </c>
      <c r="B10" s="823" t="s">
        <v>799</v>
      </c>
      <c r="C10" s="828"/>
      <c r="D10" s="821">
        <f t="shared" ref="D10:D80" si="3">SUM(E10:T10)-H10</f>
        <v>26140.394199999999</v>
      </c>
      <c r="E10" s="825">
        <v>23050.194199999998</v>
      </c>
      <c r="F10" s="825"/>
      <c r="G10" s="825"/>
      <c r="H10" s="825">
        <f t="shared" ref="H10:H73" si="4">F10+G10</f>
        <v>0</v>
      </c>
      <c r="I10" s="825"/>
      <c r="J10" s="825"/>
      <c r="K10" s="825"/>
      <c r="L10" s="825"/>
      <c r="M10" s="825">
        <v>1064.2</v>
      </c>
      <c r="N10" s="825">
        <v>2000</v>
      </c>
      <c r="O10" s="825">
        <v>26</v>
      </c>
      <c r="P10" s="825"/>
      <c r="Q10" s="825"/>
      <c r="R10" s="825"/>
      <c r="S10" s="825"/>
      <c r="T10" s="825"/>
      <c r="U10" s="826"/>
    </row>
    <row r="11" spans="1:21" s="827" customFormat="1" ht="15.75">
      <c r="A11" s="822">
        <v>3</v>
      </c>
      <c r="B11" s="823" t="s">
        <v>800</v>
      </c>
      <c r="C11" s="828"/>
      <c r="D11" s="821">
        <f t="shared" si="3"/>
        <v>96913.002692307709</v>
      </c>
      <c r="E11" s="825">
        <v>77691.795000000013</v>
      </c>
      <c r="F11" s="825"/>
      <c r="G11" s="825"/>
      <c r="H11" s="825">
        <f t="shared" si="4"/>
        <v>0</v>
      </c>
      <c r="I11" s="825"/>
      <c r="J11" s="825"/>
      <c r="K11" s="825">
        <v>19195.207692307693</v>
      </c>
      <c r="L11" s="825"/>
      <c r="M11" s="825"/>
      <c r="N11" s="825"/>
      <c r="O11" s="825">
        <v>26</v>
      </c>
      <c r="P11" s="825"/>
      <c r="Q11" s="825"/>
      <c r="R11" s="825"/>
      <c r="S11" s="825"/>
      <c r="T11" s="825"/>
      <c r="U11" s="826"/>
    </row>
    <row r="12" spans="1:21" s="827" customFormat="1" ht="31.5">
      <c r="A12" s="822">
        <v>4</v>
      </c>
      <c r="B12" s="823" t="s">
        <v>801</v>
      </c>
      <c r="C12" s="828">
        <f>[2]HC!J29</f>
        <v>12589</v>
      </c>
      <c r="D12" s="821">
        <f t="shared" si="3"/>
        <v>187972.25880000001</v>
      </c>
      <c r="E12" s="825">
        <v>92620.574800000002</v>
      </c>
      <c r="F12" s="825"/>
      <c r="G12" s="825"/>
      <c r="H12" s="825">
        <f t="shared" si="4"/>
        <v>0</v>
      </c>
      <c r="I12" s="825"/>
      <c r="J12" s="825">
        <v>710</v>
      </c>
      <c r="K12" s="825"/>
      <c r="L12" s="825"/>
      <c r="M12" s="825">
        <v>67086.684000000008</v>
      </c>
      <c r="N12" s="825">
        <v>500</v>
      </c>
      <c r="O12" s="825">
        <v>55</v>
      </c>
      <c r="P12" s="825"/>
      <c r="Q12" s="825"/>
      <c r="R12" s="825"/>
      <c r="S12" s="825">
        <v>27000</v>
      </c>
      <c r="T12" s="825"/>
      <c r="U12" s="826"/>
    </row>
    <row r="13" spans="1:21" s="827" customFormat="1" ht="31.5">
      <c r="A13" s="822">
        <v>5</v>
      </c>
      <c r="B13" s="823" t="s">
        <v>802</v>
      </c>
      <c r="C13" s="828">
        <f>[2]HC!J42</f>
        <v>140</v>
      </c>
      <c r="D13" s="821">
        <f t="shared" si="3"/>
        <v>108131.96699999998</v>
      </c>
      <c r="E13" s="825">
        <v>11238.668</v>
      </c>
      <c r="F13" s="825">
        <v>143</v>
      </c>
      <c r="G13" s="825">
        <v>30942.686999999998</v>
      </c>
      <c r="H13" s="825">
        <f t="shared" si="4"/>
        <v>31085.686999999998</v>
      </c>
      <c r="I13" s="825"/>
      <c r="J13" s="825"/>
      <c r="K13" s="825"/>
      <c r="L13" s="825">
        <f>55951.612-500</f>
        <v>55451.612000000001</v>
      </c>
      <c r="M13" s="825"/>
      <c r="N13" s="825"/>
      <c r="O13" s="825">
        <v>39</v>
      </c>
      <c r="P13" s="825"/>
      <c r="Q13" s="825"/>
      <c r="R13" s="825"/>
      <c r="S13" s="825">
        <v>10317</v>
      </c>
      <c r="T13" s="825"/>
      <c r="U13" s="826"/>
    </row>
    <row r="14" spans="1:21" s="827" customFormat="1" ht="31.5">
      <c r="A14" s="822">
        <v>6</v>
      </c>
      <c r="B14" s="823" t="s">
        <v>803</v>
      </c>
      <c r="C14" s="828">
        <f>[2]HC!J77</f>
        <v>28</v>
      </c>
      <c r="D14" s="821">
        <f t="shared" si="3"/>
        <v>15292.0834</v>
      </c>
      <c r="E14" s="825">
        <v>9491.9697999999989</v>
      </c>
      <c r="F14" s="825"/>
      <c r="G14" s="825">
        <v>250</v>
      </c>
      <c r="H14" s="825">
        <f t="shared" si="4"/>
        <v>250</v>
      </c>
      <c r="I14" s="825"/>
      <c r="J14" s="825"/>
      <c r="K14" s="825"/>
      <c r="L14" s="825"/>
      <c r="M14" s="825">
        <v>4865.1135999999997</v>
      </c>
      <c r="N14" s="825">
        <v>685</v>
      </c>
      <c r="O14" s="825"/>
      <c r="P14" s="825"/>
      <c r="Q14" s="825"/>
      <c r="R14" s="825"/>
      <c r="S14" s="825"/>
      <c r="T14" s="825"/>
      <c r="U14" s="826"/>
    </row>
    <row r="15" spans="1:21" s="827" customFormat="1" ht="15.75">
      <c r="A15" s="822">
        <v>7</v>
      </c>
      <c r="B15" s="823" t="s">
        <v>804</v>
      </c>
      <c r="C15" s="828">
        <f>[2]HC!J68</f>
        <v>670</v>
      </c>
      <c r="D15" s="821">
        <f t="shared" si="3"/>
        <v>9196.0347359999996</v>
      </c>
      <c r="E15" s="825">
        <v>8459.6005999999998</v>
      </c>
      <c r="F15" s="825"/>
      <c r="G15" s="825"/>
      <c r="H15" s="825">
        <f t="shared" si="4"/>
        <v>0</v>
      </c>
      <c r="I15" s="825"/>
      <c r="J15" s="825"/>
      <c r="K15" s="825"/>
      <c r="L15" s="825"/>
      <c r="M15" s="825">
        <v>697.43413599999997</v>
      </c>
      <c r="N15" s="825"/>
      <c r="O15" s="825">
        <v>39</v>
      </c>
      <c r="P15" s="825"/>
      <c r="Q15" s="825"/>
      <c r="R15" s="825"/>
      <c r="S15" s="825"/>
      <c r="T15" s="825"/>
      <c r="U15" s="826"/>
    </row>
    <row r="16" spans="1:21" s="827" customFormat="1" ht="15.75">
      <c r="A16" s="822">
        <v>8</v>
      </c>
      <c r="B16" s="823" t="s">
        <v>805</v>
      </c>
      <c r="C16" s="828">
        <f>[2]HC!J50</f>
        <v>6617</v>
      </c>
      <c r="D16" s="821">
        <f t="shared" si="3"/>
        <v>64569.519</v>
      </c>
      <c r="E16" s="825">
        <v>9861.1810000000005</v>
      </c>
      <c r="F16" s="825"/>
      <c r="G16" s="825"/>
      <c r="H16" s="825">
        <f t="shared" si="4"/>
        <v>0</v>
      </c>
      <c r="I16" s="825"/>
      <c r="J16" s="825"/>
      <c r="K16" s="825"/>
      <c r="L16" s="825"/>
      <c r="M16" s="825">
        <v>30893.753999999997</v>
      </c>
      <c r="N16" s="825">
        <v>23775.583999999999</v>
      </c>
      <c r="O16" s="825">
        <v>39</v>
      </c>
      <c r="P16" s="825"/>
      <c r="Q16" s="825"/>
      <c r="R16" s="825"/>
      <c r="S16" s="825"/>
      <c r="T16" s="825"/>
      <c r="U16" s="826"/>
    </row>
    <row r="17" spans="1:21" s="827" customFormat="1" ht="15.75">
      <c r="A17" s="822">
        <v>9</v>
      </c>
      <c r="B17" s="823" t="s">
        <v>806</v>
      </c>
      <c r="C17" s="828">
        <f>[2]HC!J55+[2]YT!O6</f>
        <v>600</v>
      </c>
      <c r="D17" s="821">
        <f t="shared" si="3"/>
        <v>536938.04960000003</v>
      </c>
      <c r="E17" s="825">
        <v>11295.758400000001</v>
      </c>
      <c r="F17" s="825"/>
      <c r="G17" s="825"/>
      <c r="H17" s="825">
        <f t="shared" si="4"/>
        <v>0</v>
      </c>
      <c r="I17" s="825">
        <f>526615.2912-19000</f>
        <v>507615.29119999998</v>
      </c>
      <c r="J17" s="825"/>
      <c r="K17" s="825"/>
      <c r="L17" s="825"/>
      <c r="M17" s="825"/>
      <c r="N17" s="825">
        <v>9000</v>
      </c>
      <c r="O17" s="825">
        <v>39</v>
      </c>
      <c r="P17" s="825"/>
      <c r="Q17" s="825"/>
      <c r="R17" s="825"/>
      <c r="S17" s="825">
        <v>8988</v>
      </c>
      <c r="T17" s="825"/>
      <c r="U17" s="826"/>
    </row>
    <row r="18" spans="1:21" s="827" customFormat="1" ht="15.75">
      <c r="A18" s="822">
        <v>10</v>
      </c>
      <c r="B18" s="823" t="s">
        <v>807</v>
      </c>
      <c r="C18" s="828"/>
      <c r="D18" s="821">
        <f t="shared" si="3"/>
        <v>10473.125200000002</v>
      </c>
      <c r="E18" s="825">
        <v>6343.9372000000003</v>
      </c>
      <c r="F18" s="825"/>
      <c r="G18" s="825">
        <v>1348.3</v>
      </c>
      <c r="H18" s="825">
        <f t="shared" si="4"/>
        <v>1348.3</v>
      </c>
      <c r="I18" s="825"/>
      <c r="J18" s="825">
        <v>210</v>
      </c>
      <c r="K18" s="825"/>
      <c r="L18" s="825"/>
      <c r="M18" s="825">
        <v>2570.8879999999999</v>
      </c>
      <c r="N18" s="825"/>
      <c r="O18" s="825"/>
      <c r="P18" s="825"/>
      <c r="Q18" s="825"/>
      <c r="R18" s="825"/>
      <c r="S18" s="825"/>
      <c r="T18" s="825"/>
      <c r="U18" s="826"/>
    </row>
    <row r="19" spans="1:21" s="827" customFormat="1" ht="15.75">
      <c r="A19" s="822">
        <v>11</v>
      </c>
      <c r="B19" s="823" t="s">
        <v>808</v>
      </c>
      <c r="C19" s="828">
        <f>[2]HC!J62</f>
        <v>7000</v>
      </c>
      <c r="D19" s="821">
        <f t="shared" si="3"/>
        <v>21307.834199999998</v>
      </c>
      <c r="E19" s="825">
        <v>11733.9722</v>
      </c>
      <c r="F19" s="825"/>
      <c r="G19" s="825"/>
      <c r="H19" s="825">
        <f t="shared" si="4"/>
        <v>0</v>
      </c>
      <c r="I19" s="825"/>
      <c r="J19" s="825"/>
      <c r="K19" s="825"/>
      <c r="L19" s="825"/>
      <c r="M19" s="825">
        <v>9547.8619999999992</v>
      </c>
      <c r="N19" s="825"/>
      <c r="O19" s="825">
        <v>26</v>
      </c>
      <c r="P19" s="825"/>
      <c r="Q19" s="825"/>
      <c r="R19" s="825"/>
      <c r="S19" s="825"/>
      <c r="T19" s="825"/>
      <c r="U19" s="826"/>
    </row>
    <row r="20" spans="1:21" s="827" customFormat="1" ht="15.75">
      <c r="A20" s="822">
        <v>12</v>
      </c>
      <c r="B20" s="823" t="s">
        <v>809</v>
      </c>
      <c r="C20" s="828"/>
      <c r="D20" s="821">
        <f t="shared" si="3"/>
        <v>532969.94174439029</v>
      </c>
      <c r="E20" s="825">
        <v>7278.9777999999997</v>
      </c>
      <c r="F20" s="825">
        <v>525664.9639443903</v>
      </c>
      <c r="G20" s="825"/>
      <c r="H20" s="825">
        <f t="shared" si="4"/>
        <v>525664.9639443903</v>
      </c>
      <c r="I20" s="825"/>
      <c r="J20" s="825"/>
      <c r="K20" s="825"/>
      <c r="L20" s="825"/>
      <c r="M20" s="825"/>
      <c r="N20" s="825"/>
      <c r="O20" s="825">
        <v>26</v>
      </c>
      <c r="P20" s="825"/>
      <c r="Q20" s="825"/>
      <c r="R20" s="825"/>
      <c r="S20" s="825"/>
      <c r="T20" s="825"/>
      <c r="U20" s="826"/>
    </row>
    <row r="21" spans="1:21" s="827" customFormat="1" ht="16.5" customHeight="1">
      <c r="A21" s="822">
        <v>13</v>
      </c>
      <c r="B21" s="823" t="s">
        <v>810</v>
      </c>
      <c r="C21" s="828"/>
      <c r="D21" s="821">
        <f t="shared" si="3"/>
        <v>28190.858600000003</v>
      </c>
      <c r="E21" s="825">
        <v>24952.620600000002</v>
      </c>
      <c r="F21" s="825"/>
      <c r="G21" s="825">
        <v>2200</v>
      </c>
      <c r="H21" s="825">
        <f t="shared" si="4"/>
        <v>2200</v>
      </c>
      <c r="I21" s="825"/>
      <c r="J21" s="825"/>
      <c r="K21" s="825"/>
      <c r="L21" s="825"/>
      <c r="M21" s="825">
        <v>1012.2380000000001</v>
      </c>
      <c r="N21" s="825"/>
      <c r="O21" s="825">
        <v>26</v>
      </c>
      <c r="P21" s="825"/>
      <c r="Q21" s="825"/>
      <c r="R21" s="825"/>
      <c r="S21" s="825"/>
      <c r="T21" s="825"/>
      <c r="U21" s="826"/>
    </row>
    <row r="22" spans="1:21" s="827" customFormat="1" ht="16.5" customHeight="1">
      <c r="A22" s="822">
        <v>14</v>
      </c>
      <c r="B22" s="823" t="s">
        <v>811</v>
      </c>
      <c r="C22" s="828">
        <f>[2]HC!J65</f>
        <v>62</v>
      </c>
      <c r="D22" s="821">
        <f t="shared" si="3"/>
        <v>37210.638200000001</v>
      </c>
      <c r="E22" s="825">
        <v>6134.6382000000012</v>
      </c>
      <c r="F22" s="825"/>
      <c r="G22" s="825"/>
      <c r="H22" s="825">
        <f t="shared" si="4"/>
        <v>0</v>
      </c>
      <c r="I22" s="825"/>
      <c r="J22" s="825">
        <v>31050</v>
      </c>
      <c r="K22" s="825"/>
      <c r="L22" s="825"/>
      <c r="M22" s="825"/>
      <c r="N22" s="825"/>
      <c r="O22" s="825">
        <v>26</v>
      </c>
      <c r="P22" s="825"/>
      <c r="Q22" s="825"/>
      <c r="R22" s="825"/>
      <c r="S22" s="825"/>
      <c r="T22" s="825"/>
      <c r="U22" s="826"/>
    </row>
    <row r="23" spans="1:21" s="827" customFormat="1" ht="15.75">
      <c r="A23" s="822">
        <v>15</v>
      </c>
      <c r="B23" s="823" t="s">
        <v>812</v>
      </c>
      <c r="C23" s="828">
        <f>[2]HC!J46</f>
        <v>4925</v>
      </c>
      <c r="D23" s="821">
        <f t="shared" si="3"/>
        <v>42053.233200000002</v>
      </c>
      <c r="E23" s="825">
        <v>28290.131200000003</v>
      </c>
      <c r="F23" s="825"/>
      <c r="G23" s="825"/>
      <c r="H23" s="825">
        <f t="shared" si="4"/>
        <v>0</v>
      </c>
      <c r="I23" s="825"/>
      <c r="J23" s="825"/>
      <c r="K23" s="825">
        <v>100</v>
      </c>
      <c r="L23" s="825"/>
      <c r="M23" s="825">
        <v>13474.101999999999</v>
      </c>
      <c r="N23" s="825">
        <v>150</v>
      </c>
      <c r="O23" s="825">
        <v>39</v>
      </c>
      <c r="P23" s="825"/>
      <c r="Q23" s="825"/>
      <c r="R23" s="825"/>
      <c r="S23" s="825"/>
      <c r="T23" s="825"/>
      <c r="U23" s="826"/>
    </row>
    <row r="24" spans="1:21" s="827" customFormat="1" ht="15.75">
      <c r="A24" s="822">
        <v>16</v>
      </c>
      <c r="B24" s="823" t="s">
        <v>813</v>
      </c>
      <c r="C24" s="828"/>
      <c r="D24" s="821">
        <f t="shared" si="3"/>
        <v>15225.4084</v>
      </c>
      <c r="E24" s="825">
        <v>13899.4084</v>
      </c>
      <c r="F24" s="825"/>
      <c r="G24" s="825">
        <v>1000</v>
      </c>
      <c r="H24" s="825">
        <f t="shared" si="4"/>
        <v>1000</v>
      </c>
      <c r="I24" s="825"/>
      <c r="J24" s="825"/>
      <c r="K24" s="825">
        <v>300</v>
      </c>
      <c r="L24" s="825"/>
      <c r="M24" s="825"/>
      <c r="N24" s="825"/>
      <c r="O24" s="825">
        <v>26</v>
      </c>
      <c r="P24" s="825"/>
      <c r="Q24" s="825"/>
      <c r="R24" s="825"/>
      <c r="S24" s="825"/>
      <c r="T24" s="825"/>
      <c r="U24" s="826"/>
    </row>
    <row r="25" spans="1:21" s="827" customFormat="1" ht="31.5">
      <c r="A25" s="822">
        <v>17</v>
      </c>
      <c r="B25" s="823" t="s">
        <v>814</v>
      </c>
      <c r="C25" s="828">
        <f>[2]HC!J80</f>
        <v>450</v>
      </c>
      <c r="D25" s="821">
        <f>SUM(E25:T25)-H25</f>
        <v>106633.0572</v>
      </c>
      <c r="E25" s="825">
        <v>11478.0272</v>
      </c>
      <c r="F25" s="825"/>
      <c r="G25" s="825">
        <v>16453.351999999999</v>
      </c>
      <c r="H25" s="825">
        <f t="shared" si="4"/>
        <v>16453.351999999999</v>
      </c>
      <c r="I25" s="825"/>
      <c r="J25" s="825"/>
      <c r="K25" s="825">
        <v>68065.203999999998</v>
      </c>
      <c r="L25" s="825"/>
      <c r="M25" s="825">
        <v>5704.4740000000002</v>
      </c>
      <c r="N25" s="825">
        <v>3000</v>
      </c>
      <c r="O25" s="825">
        <v>39</v>
      </c>
      <c r="P25" s="825"/>
      <c r="Q25" s="825"/>
      <c r="R25" s="825"/>
      <c r="S25" s="825">
        <v>1893</v>
      </c>
      <c r="T25" s="825"/>
      <c r="U25" s="826"/>
    </row>
    <row r="26" spans="1:21" s="827" customFormat="1" ht="16.5" customHeight="1">
      <c r="A26" s="822">
        <v>18</v>
      </c>
      <c r="B26" s="823" t="s">
        <v>815</v>
      </c>
      <c r="C26" s="828">
        <f>[2]HC!J81</f>
        <v>460</v>
      </c>
      <c r="D26" s="821">
        <f t="shared" si="3"/>
        <v>11169.437399999999</v>
      </c>
      <c r="E26" s="825">
        <v>9926.0973999999987</v>
      </c>
      <c r="F26" s="825"/>
      <c r="G26" s="825"/>
      <c r="H26" s="825">
        <f t="shared" si="4"/>
        <v>0</v>
      </c>
      <c r="I26" s="825"/>
      <c r="J26" s="825"/>
      <c r="K26" s="825"/>
      <c r="L26" s="825"/>
      <c r="M26" s="825">
        <v>1217.3400000000001</v>
      </c>
      <c r="N26" s="825"/>
      <c r="O26" s="825">
        <v>26</v>
      </c>
      <c r="P26" s="825"/>
      <c r="Q26" s="825"/>
      <c r="R26" s="825"/>
      <c r="S26" s="825"/>
      <c r="T26" s="825"/>
      <c r="U26" s="826"/>
    </row>
    <row r="27" spans="1:21" s="827" customFormat="1" ht="16.5" customHeight="1">
      <c r="A27" s="822">
        <v>19</v>
      </c>
      <c r="B27" s="823" t="s">
        <v>816</v>
      </c>
      <c r="C27" s="828">
        <f>[2]HC!J79+[2]KT!I59</f>
        <v>1630</v>
      </c>
      <c r="D27" s="821">
        <f t="shared" si="3"/>
        <v>11188.466200000001</v>
      </c>
      <c r="E27" s="825">
        <v>5487.0110000000004</v>
      </c>
      <c r="F27" s="825">
        <v>220</v>
      </c>
      <c r="G27" s="825"/>
      <c r="H27" s="825">
        <f t="shared" si="4"/>
        <v>220</v>
      </c>
      <c r="I27" s="825"/>
      <c r="J27" s="825"/>
      <c r="K27" s="825"/>
      <c r="L27" s="825">
        <v>3826.7160000000003</v>
      </c>
      <c r="M27" s="825">
        <v>648.7392000000001</v>
      </c>
      <c r="N27" s="825"/>
      <c r="O27" s="825">
        <v>26</v>
      </c>
      <c r="P27" s="825"/>
      <c r="Q27" s="825"/>
      <c r="R27" s="825"/>
      <c r="S27" s="825">
        <v>980</v>
      </c>
      <c r="T27" s="825"/>
      <c r="U27" s="826"/>
    </row>
    <row r="28" spans="1:21" s="827" customFormat="1" ht="16.5" customHeight="1">
      <c r="A28" s="822">
        <v>20</v>
      </c>
      <c r="B28" s="823" t="s">
        <v>817</v>
      </c>
      <c r="C28" s="828">
        <f>[2]HC!J82</f>
        <v>3500</v>
      </c>
      <c r="D28" s="821">
        <f t="shared" si="3"/>
        <v>8388.5747999999985</v>
      </c>
      <c r="E28" s="825">
        <v>8362.5747999999985</v>
      </c>
      <c r="F28" s="825"/>
      <c r="G28" s="825"/>
      <c r="H28" s="825">
        <f t="shared" si="4"/>
        <v>0</v>
      </c>
      <c r="I28" s="825"/>
      <c r="J28" s="825"/>
      <c r="K28" s="825"/>
      <c r="L28" s="825"/>
      <c r="M28" s="825"/>
      <c r="N28" s="825"/>
      <c r="O28" s="825">
        <v>26</v>
      </c>
      <c r="P28" s="825"/>
      <c r="Q28" s="825"/>
      <c r="R28" s="825"/>
      <c r="S28" s="825"/>
      <c r="T28" s="825"/>
      <c r="U28" s="826"/>
    </row>
    <row r="29" spans="1:21" s="827" customFormat="1" ht="15.75">
      <c r="A29" s="822">
        <v>21</v>
      </c>
      <c r="B29" s="823" t="s">
        <v>818</v>
      </c>
      <c r="C29" s="828" t="e">
        <f>[2]HC!J83</f>
        <v>#REF!</v>
      </c>
      <c r="D29" s="821">
        <f t="shared" si="3"/>
        <v>9075.2828000000009</v>
      </c>
      <c r="E29" s="825">
        <v>8633.7968000000001</v>
      </c>
      <c r="F29" s="825"/>
      <c r="G29" s="825"/>
      <c r="H29" s="825">
        <f t="shared" si="4"/>
        <v>0</v>
      </c>
      <c r="I29" s="825"/>
      <c r="J29" s="825"/>
      <c r="K29" s="825">
        <v>130</v>
      </c>
      <c r="L29" s="825"/>
      <c r="M29" s="825">
        <v>285.48599999999999</v>
      </c>
      <c r="N29" s="825"/>
      <c r="O29" s="825">
        <v>26</v>
      </c>
      <c r="P29" s="825"/>
      <c r="Q29" s="825"/>
      <c r="R29" s="825"/>
      <c r="S29" s="825"/>
      <c r="T29" s="825"/>
      <c r="U29" s="826"/>
    </row>
    <row r="30" spans="1:21" s="827" customFormat="1" ht="15.75">
      <c r="A30" s="822">
        <v>22</v>
      </c>
      <c r="B30" s="823" t="s">
        <v>819</v>
      </c>
      <c r="C30" s="828"/>
      <c r="D30" s="821">
        <f t="shared" si="3"/>
        <v>6644.0798000000004</v>
      </c>
      <c r="E30" s="825">
        <v>5261.2718000000004</v>
      </c>
      <c r="F30" s="825"/>
      <c r="G30" s="825">
        <v>947.80799999999999</v>
      </c>
      <c r="H30" s="825">
        <f t="shared" si="4"/>
        <v>947.80799999999999</v>
      </c>
      <c r="I30" s="825"/>
      <c r="J30" s="825">
        <v>400</v>
      </c>
      <c r="K30" s="825"/>
      <c r="L30" s="825"/>
      <c r="M30" s="825">
        <v>35</v>
      </c>
      <c r="N30" s="825"/>
      <c r="O30" s="825"/>
      <c r="P30" s="825"/>
      <c r="Q30" s="825"/>
      <c r="R30" s="825"/>
      <c r="S30" s="825"/>
      <c r="T30" s="825"/>
      <c r="U30" s="826"/>
    </row>
    <row r="31" spans="1:21" s="827" customFormat="1" ht="31.5">
      <c r="A31" s="822">
        <v>23</v>
      </c>
      <c r="B31" s="823" t="s">
        <v>883</v>
      </c>
      <c r="C31" s="828"/>
      <c r="D31" s="821">
        <f t="shared" si="3"/>
        <v>10039.7922</v>
      </c>
      <c r="E31" s="825">
        <v>9859.7921999999999</v>
      </c>
      <c r="F31" s="825"/>
      <c r="G31" s="825"/>
      <c r="H31" s="825">
        <f t="shared" si="4"/>
        <v>0</v>
      </c>
      <c r="I31" s="825"/>
      <c r="J31" s="825">
        <v>180</v>
      </c>
      <c r="K31" s="825"/>
      <c r="L31" s="825"/>
      <c r="M31" s="825"/>
      <c r="N31" s="825"/>
      <c r="O31" s="825"/>
      <c r="P31" s="825"/>
      <c r="Q31" s="825"/>
      <c r="R31" s="825"/>
      <c r="S31" s="825"/>
      <c r="T31" s="825"/>
      <c r="U31" s="826"/>
    </row>
    <row r="32" spans="1:21" s="827" customFormat="1" ht="21.75" customHeight="1">
      <c r="A32" s="822">
        <v>24</v>
      </c>
      <c r="B32" s="823" t="s">
        <v>820</v>
      </c>
      <c r="C32" s="828">
        <f>[2]HC!J86</f>
        <v>45</v>
      </c>
      <c r="D32" s="821">
        <f t="shared" si="3"/>
        <v>22205.735000000001</v>
      </c>
      <c r="E32" s="825">
        <v>3962.8810000000003</v>
      </c>
      <c r="F32" s="825"/>
      <c r="G32" s="825"/>
      <c r="H32" s="825">
        <f t="shared" si="4"/>
        <v>0</v>
      </c>
      <c r="I32" s="825"/>
      <c r="J32" s="825"/>
      <c r="K32" s="825">
        <v>18116.853999999999</v>
      </c>
      <c r="L32" s="825"/>
      <c r="M32" s="825"/>
      <c r="N32" s="825">
        <v>100</v>
      </c>
      <c r="O32" s="825">
        <v>26</v>
      </c>
      <c r="P32" s="825"/>
      <c r="Q32" s="825"/>
      <c r="R32" s="825"/>
      <c r="S32" s="825"/>
      <c r="T32" s="825"/>
      <c r="U32" s="826"/>
    </row>
    <row r="33" spans="1:21" s="827" customFormat="1" ht="15.75">
      <c r="A33" s="822">
        <v>25</v>
      </c>
      <c r="B33" s="823" t="s">
        <v>821</v>
      </c>
      <c r="C33" s="828"/>
      <c r="D33" s="821">
        <f t="shared" si="3"/>
        <v>5048.7338000000009</v>
      </c>
      <c r="E33" s="825">
        <v>5048.7338000000009</v>
      </c>
      <c r="F33" s="825"/>
      <c r="G33" s="825"/>
      <c r="H33" s="825">
        <f t="shared" si="4"/>
        <v>0</v>
      </c>
      <c r="I33" s="825"/>
      <c r="J33" s="825"/>
      <c r="K33" s="825"/>
      <c r="L33" s="825"/>
      <c r="M33" s="825"/>
      <c r="N33" s="825"/>
      <c r="O33" s="825"/>
      <c r="P33" s="825"/>
      <c r="Q33" s="825"/>
      <c r="R33" s="825"/>
      <c r="S33" s="825"/>
      <c r="T33" s="825"/>
      <c r="U33" s="826"/>
    </row>
    <row r="34" spans="1:21" s="827" customFormat="1" ht="15.75">
      <c r="A34" s="822">
        <v>26</v>
      </c>
      <c r="B34" s="829" t="s">
        <v>822</v>
      </c>
      <c r="C34" s="830"/>
      <c r="D34" s="831">
        <f t="shared" si="3"/>
        <v>6708.0217999999986</v>
      </c>
      <c r="E34" s="825">
        <v>5688.0217999999986</v>
      </c>
      <c r="F34" s="825">
        <v>170</v>
      </c>
      <c r="G34" s="825"/>
      <c r="H34" s="825">
        <f t="shared" si="4"/>
        <v>170</v>
      </c>
      <c r="I34" s="825"/>
      <c r="J34" s="825">
        <v>100</v>
      </c>
      <c r="K34" s="825">
        <v>350</v>
      </c>
      <c r="L34" s="825"/>
      <c r="M34" s="825">
        <v>400</v>
      </c>
      <c r="N34" s="825"/>
      <c r="O34" s="825"/>
      <c r="P34" s="825"/>
      <c r="Q34" s="825"/>
      <c r="R34" s="825"/>
      <c r="S34" s="825"/>
      <c r="T34" s="832"/>
      <c r="U34" s="826"/>
    </row>
    <row r="35" spans="1:21" s="827" customFormat="1" ht="15.75">
      <c r="A35" s="822">
        <v>27</v>
      </c>
      <c r="B35" s="823" t="s">
        <v>880</v>
      </c>
      <c r="C35" s="828"/>
      <c r="D35" s="821">
        <f t="shared" si="3"/>
        <v>2458.6738</v>
      </c>
      <c r="E35" s="825">
        <v>2458.6738</v>
      </c>
      <c r="F35" s="825"/>
      <c r="G35" s="825"/>
      <c r="H35" s="825">
        <f t="shared" si="4"/>
        <v>0</v>
      </c>
      <c r="I35" s="825"/>
      <c r="J35" s="825"/>
      <c r="K35" s="825"/>
      <c r="L35" s="825"/>
      <c r="M35" s="825"/>
      <c r="N35" s="825"/>
      <c r="O35" s="825"/>
      <c r="P35" s="825"/>
      <c r="Q35" s="825"/>
      <c r="R35" s="825"/>
      <c r="S35" s="825"/>
      <c r="T35" s="825"/>
      <c r="U35" s="826"/>
    </row>
    <row r="36" spans="1:21" s="827" customFormat="1" ht="33.75" customHeight="1">
      <c r="A36" s="822">
        <v>28</v>
      </c>
      <c r="B36" s="823" t="s">
        <v>823</v>
      </c>
      <c r="C36" s="828"/>
      <c r="D36" s="821">
        <f t="shared" si="3"/>
        <v>1032.4304</v>
      </c>
      <c r="E36" s="825">
        <v>1032.4304</v>
      </c>
      <c r="F36" s="825"/>
      <c r="G36" s="825"/>
      <c r="H36" s="825">
        <f t="shared" si="4"/>
        <v>0</v>
      </c>
      <c r="I36" s="825"/>
      <c r="J36" s="825"/>
      <c r="K36" s="825"/>
      <c r="L36" s="825"/>
      <c r="M36" s="825"/>
      <c r="N36" s="825"/>
      <c r="O36" s="825"/>
      <c r="P36" s="825"/>
      <c r="Q36" s="825"/>
      <c r="R36" s="825"/>
      <c r="S36" s="825"/>
      <c r="T36" s="825"/>
      <c r="U36" s="826"/>
    </row>
    <row r="37" spans="1:21" s="827" customFormat="1" ht="16.5" customHeight="1">
      <c r="A37" s="822">
        <v>29</v>
      </c>
      <c r="B37" s="823" t="s">
        <v>824</v>
      </c>
      <c r="C37" s="828"/>
      <c r="D37" s="821">
        <f t="shared" si="3"/>
        <v>709.62799999999993</v>
      </c>
      <c r="E37" s="825">
        <v>709.62799999999993</v>
      </c>
      <c r="F37" s="825"/>
      <c r="G37" s="825"/>
      <c r="H37" s="825">
        <f t="shared" si="4"/>
        <v>0</v>
      </c>
      <c r="I37" s="825"/>
      <c r="J37" s="825"/>
      <c r="K37" s="825"/>
      <c r="L37" s="825"/>
      <c r="M37" s="825"/>
      <c r="N37" s="825"/>
      <c r="O37" s="825"/>
      <c r="P37" s="825"/>
      <c r="Q37" s="825"/>
      <c r="R37" s="825"/>
      <c r="S37" s="825"/>
      <c r="T37" s="825"/>
      <c r="U37" s="826"/>
    </row>
    <row r="38" spans="1:21" s="827" customFormat="1" ht="15.75">
      <c r="A38" s="822">
        <v>30</v>
      </c>
      <c r="B38" s="823" t="s">
        <v>825</v>
      </c>
      <c r="C38" s="828"/>
      <c r="D38" s="821">
        <f t="shared" si="3"/>
        <v>37850.163</v>
      </c>
      <c r="E38" s="825"/>
      <c r="F38" s="825"/>
      <c r="G38" s="825">
        <v>37811.163</v>
      </c>
      <c r="H38" s="825">
        <f t="shared" si="4"/>
        <v>37811.163</v>
      </c>
      <c r="I38" s="825"/>
      <c r="J38" s="825"/>
      <c r="K38" s="825"/>
      <c r="L38" s="825"/>
      <c r="M38" s="825"/>
      <c r="N38" s="825"/>
      <c r="O38" s="825">
        <v>39</v>
      </c>
      <c r="P38" s="825"/>
      <c r="Q38" s="825"/>
      <c r="R38" s="825"/>
      <c r="S38" s="825"/>
      <c r="T38" s="825"/>
      <c r="U38" s="826"/>
    </row>
    <row r="39" spans="1:21" s="827" customFormat="1" ht="16.5" customHeight="1">
      <c r="A39" s="822">
        <v>31</v>
      </c>
      <c r="B39" s="823" t="s">
        <v>826</v>
      </c>
      <c r="C39" s="828"/>
      <c r="D39" s="821">
        <f t="shared" si="3"/>
        <v>25318.873</v>
      </c>
      <c r="E39" s="825"/>
      <c r="F39" s="825"/>
      <c r="G39" s="825">
        <v>25318.873</v>
      </c>
      <c r="H39" s="825">
        <f t="shared" si="4"/>
        <v>25318.873</v>
      </c>
      <c r="I39" s="825"/>
      <c r="J39" s="825"/>
      <c r="K39" s="825"/>
      <c r="L39" s="825"/>
      <c r="M39" s="825"/>
      <c r="N39" s="825"/>
      <c r="O39" s="825"/>
      <c r="P39" s="825"/>
      <c r="Q39" s="825"/>
      <c r="R39" s="825"/>
      <c r="S39" s="825"/>
      <c r="T39" s="825"/>
      <c r="U39" s="826"/>
    </row>
    <row r="40" spans="1:21" s="827" customFormat="1" ht="31.5">
      <c r="A40" s="822">
        <v>32</v>
      </c>
      <c r="B40" s="823" t="s">
        <v>827</v>
      </c>
      <c r="C40" s="828"/>
      <c r="D40" s="821">
        <f t="shared" si="3"/>
        <v>19107.493000000002</v>
      </c>
      <c r="E40" s="825"/>
      <c r="F40" s="825"/>
      <c r="G40" s="825">
        <v>19068.493000000002</v>
      </c>
      <c r="H40" s="825">
        <f t="shared" si="4"/>
        <v>19068.493000000002</v>
      </c>
      <c r="I40" s="825"/>
      <c r="J40" s="825"/>
      <c r="K40" s="825"/>
      <c r="L40" s="825"/>
      <c r="M40" s="825"/>
      <c r="N40" s="825"/>
      <c r="O40" s="825">
        <v>39</v>
      </c>
      <c r="P40" s="825"/>
      <c r="Q40" s="825"/>
      <c r="R40" s="825"/>
      <c r="S40" s="825"/>
      <c r="T40" s="825"/>
      <c r="U40" s="826"/>
    </row>
    <row r="41" spans="1:21" s="827" customFormat="1" ht="15.75">
      <c r="A41" s="822">
        <v>33</v>
      </c>
      <c r="B41" s="823" t="s">
        <v>828</v>
      </c>
      <c r="C41" s="828"/>
      <c r="D41" s="821">
        <f t="shared" si="3"/>
        <v>10878.880000000001</v>
      </c>
      <c r="E41" s="825"/>
      <c r="F41" s="825"/>
      <c r="G41" s="825">
        <v>10878.880000000001</v>
      </c>
      <c r="H41" s="825">
        <f t="shared" si="4"/>
        <v>10878.880000000001</v>
      </c>
      <c r="I41" s="825"/>
      <c r="J41" s="825"/>
      <c r="K41" s="825"/>
      <c r="L41" s="825"/>
      <c r="M41" s="825"/>
      <c r="N41" s="825"/>
      <c r="O41" s="825"/>
      <c r="P41" s="825"/>
      <c r="Q41" s="825"/>
      <c r="R41" s="825"/>
      <c r="S41" s="825"/>
      <c r="T41" s="825"/>
      <c r="U41" s="826"/>
    </row>
    <row r="42" spans="1:21" s="827" customFormat="1" ht="15.75">
      <c r="A42" s="822">
        <v>34</v>
      </c>
      <c r="B42" s="823" t="s">
        <v>829</v>
      </c>
      <c r="C42" s="828"/>
      <c r="D42" s="821">
        <f>SUM(E42:T42)-H42</f>
        <v>11856.099999999999</v>
      </c>
      <c r="E42" s="825"/>
      <c r="F42" s="825"/>
      <c r="G42" s="825">
        <v>11830.099999999999</v>
      </c>
      <c r="H42" s="825">
        <f t="shared" si="4"/>
        <v>11830.099999999999</v>
      </c>
      <c r="I42" s="825"/>
      <c r="J42" s="825"/>
      <c r="K42" s="825"/>
      <c r="L42" s="825"/>
      <c r="M42" s="825"/>
      <c r="N42" s="825"/>
      <c r="O42" s="825">
        <v>26</v>
      </c>
      <c r="P42" s="825"/>
      <c r="Q42" s="825"/>
      <c r="R42" s="825"/>
      <c r="S42" s="825"/>
      <c r="T42" s="825"/>
      <c r="U42" s="826"/>
    </row>
    <row r="43" spans="1:21" s="827" customFormat="1" ht="47.25">
      <c r="A43" s="822">
        <v>35</v>
      </c>
      <c r="B43" s="823" t="s">
        <v>830</v>
      </c>
      <c r="C43" s="828"/>
      <c r="D43" s="821">
        <f>SUM(E43:T43)-H43</f>
        <v>837790</v>
      </c>
      <c r="E43" s="825">
        <f>E44+E49+E51+E54+E58+E64+E71+E72</f>
        <v>168971</v>
      </c>
      <c r="F43" s="825">
        <f>F44+F49+F51+F54+F58+F64+F71+F72</f>
        <v>239300</v>
      </c>
      <c r="G43" s="825">
        <f>G44+G49+G51+G54+G58+G64+G71+G72</f>
        <v>50000</v>
      </c>
      <c r="H43" s="825">
        <f>F43+G43</f>
        <v>289300</v>
      </c>
      <c r="I43" s="825">
        <f t="shared" ref="I43:T43" si="5">I44+I49+I51+I54+I58+I64+I71+I72</f>
        <v>0</v>
      </c>
      <c r="J43" s="825">
        <f t="shared" si="5"/>
        <v>0</v>
      </c>
      <c r="K43" s="825">
        <f t="shared" si="5"/>
        <v>44950</v>
      </c>
      <c r="L43" s="825">
        <f t="shared" si="5"/>
        <v>77300</v>
      </c>
      <c r="M43" s="825">
        <f t="shared" si="5"/>
        <v>235520</v>
      </c>
      <c r="N43" s="825">
        <f t="shared" si="5"/>
        <v>15000</v>
      </c>
      <c r="O43" s="825">
        <f t="shared" si="5"/>
        <v>5500</v>
      </c>
      <c r="P43" s="825">
        <f t="shared" si="5"/>
        <v>1249</v>
      </c>
      <c r="Q43" s="825">
        <f t="shared" si="5"/>
        <v>0</v>
      </c>
      <c r="R43" s="825">
        <f t="shared" si="5"/>
        <v>0</v>
      </c>
      <c r="S43" s="825">
        <f t="shared" si="5"/>
        <v>0</v>
      </c>
      <c r="T43" s="825">
        <f t="shared" si="5"/>
        <v>0</v>
      </c>
      <c r="U43" s="826"/>
    </row>
    <row r="44" spans="1:21" s="827" customFormat="1" ht="16.5" customHeight="1">
      <c r="A44" s="822" t="s">
        <v>433</v>
      </c>
      <c r="B44" s="823" t="s">
        <v>831</v>
      </c>
      <c r="C44" s="828"/>
      <c r="D44" s="821">
        <f t="shared" si="3"/>
        <v>289300</v>
      </c>
      <c r="E44" s="825"/>
      <c r="F44" s="825">
        <f>SUM(F45:F48)</f>
        <v>239300</v>
      </c>
      <c r="G44" s="825">
        <f>SUM(G45:G48)</f>
        <v>50000</v>
      </c>
      <c r="H44" s="825">
        <f t="shared" si="4"/>
        <v>289300</v>
      </c>
      <c r="I44" s="825"/>
      <c r="J44" s="825"/>
      <c r="K44" s="825"/>
      <c r="L44" s="825"/>
      <c r="M44" s="825"/>
      <c r="N44" s="825"/>
      <c r="O44" s="825"/>
      <c r="P44" s="825"/>
      <c r="Q44" s="825"/>
      <c r="R44" s="825"/>
      <c r="S44" s="825"/>
      <c r="T44" s="825"/>
      <c r="U44" s="826"/>
    </row>
    <row r="45" spans="1:21" s="839" customFormat="1" ht="78.75">
      <c r="A45" s="833"/>
      <c r="B45" s="834" t="s">
        <v>832</v>
      </c>
      <c r="C45" s="835"/>
      <c r="D45" s="836">
        <f t="shared" si="3"/>
        <v>200000</v>
      </c>
      <c r="E45" s="837"/>
      <c r="F45" s="837">
        <v>200000</v>
      </c>
      <c r="G45" s="837"/>
      <c r="H45" s="825">
        <f t="shared" si="4"/>
        <v>200000</v>
      </c>
      <c r="I45" s="837"/>
      <c r="J45" s="837"/>
      <c r="K45" s="837"/>
      <c r="L45" s="837"/>
      <c r="M45" s="837"/>
      <c r="N45" s="837"/>
      <c r="O45" s="837"/>
      <c r="P45" s="837"/>
      <c r="Q45" s="837"/>
      <c r="R45" s="837"/>
      <c r="S45" s="837"/>
      <c r="T45" s="837"/>
      <c r="U45" s="838"/>
    </row>
    <row r="46" spans="1:21" s="839" customFormat="1" ht="31.5">
      <c r="A46" s="833"/>
      <c r="B46" s="834" t="s">
        <v>833</v>
      </c>
      <c r="C46" s="835"/>
      <c r="D46" s="836">
        <f t="shared" si="3"/>
        <v>22300</v>
      </c>
      <c r="E46" s="837"/>
      <c r="F46" s="837">
        <v>22300</v>
      </c>
      <c r="G46" s="837"/>
      <c r="H46" s="825">
        <f t="shared" si="4"/>
        <v>22300</v>
      </c>
      <c r="I46" s="837"/>
      <c r="J46" s="837"/>
      <c r="K46" s="837"/>
      <c r="L46" s="837"/>
      <c r="M46" s="837"/>
      <c r="N46" s="837"/>
      <c r="O46" s="837"/>
      <c r="P46" s="837"/>
      <c r="Q46" s="837"/>
      <c r="R46" s="837"/>
      <c r="S46" s="837"/>
      <c r="T46" s="837"/>
      <c r="U46" s="838"/>
    </row>
    <row r="47" spans="1:21" s="839" customFormat="1" ht="31.5">
      <c r="A47" s="833"/>
      <c r="B47" s="834" t="s">
        <v>834</v>
      </c>
      <c r="C47" s="835"/>
      <c r="D47" s="836">
        <f t="shared" si="3"/>
        <v>17000</v>
      </c>
      <c r="E47" s="837"/>
      <c r="F47" s="837">
        <v>17000</v>
      </c>
      <c r="G47" s="837"/>
      <c r="H47" s="825">
        <f t="shared" si="4"/>
        <v>17000</v>
      </c>
      <c r="I47" s="837"/>
      <c r="J47" s="837"/>
      <c r="K47" s="837"/>
      <c r="L47" s="837"/>
      <c r="M47" s="837"/>
      <c r="N47" s="837"/>
      <c r="O47" s="837"/>
      <c r="P47" s="837"/>
      <c r="Q47" s="837"/>
      <c r="R47" s="837"/>
      <c r="S47" s="837"/>
      <c r="T47" s="837"/>
      <c r="U47" s="838"/>
    </row>
    <row r="48" spans="1:21" s="839" customFormat="1" ht="15.75">
      <c r="A48" s="833"/>
      <c r="B48" s="834" t="s">
        <v>835</v>
      </c>
      <c r="C48" s="835"/>
      <c r="D48" s="836">
        <f t="shared" si="3"/>
        <v>50000</v>
      </c>
      <c r="E48" s="837"/>
      <c r="F48" s="837"/>
      <c r="G48" s="837">
        <v>50000</v>
      </c>
      <c r="H48" s="825">
        <f t="shared" si="4"/>
        <v>50000</v>
      </c>
      <c r="I48" s="837"/>
      <c r="J48" s="837"/>
      <c r="K48" s="837"/>
      <c r="L48" s="837"/>
      <c r="M48" s="837"/>
      <c r="N48" s="837"/>
      <c r="O48" s="837"/>
      <c r="P48" s="837"/>
      <c r="Q48" s="837"/>
      <c r="R48" s="837"/>
      <c r="S48" s="837"/>
      <c r="T48" s="837"/>
      <c r="U48" s="838"/>
    </row>
    <row r="49" spans="1:21" s="827" customFormat="1" ht="15.75">
      <c r="A49" s="822" t="s">
        <v>433</v>
      </c>
      <c r="B49" s="823" t="s">
        <v>836</v>
      </c>
      <c r="C49" s="828"/>
      <c r="D49" s="821">
        <f t="shared" si="3"/>
        <v>0</v>
      </c>
      <c r="E49" s="825"/>
      <c r="F49" s="825"/>
      <c r="G49" s="825"/>
      <c r="H49" s="825">
        <f t="shared" si="4"/>
        <v>0</v>
      </c>
      <c r="I49" s="825"/>
      <c r="J49" s="825"/>
      <c r="K49" s="825"/>
      <c r="L49" s="825"/>
      <c r="M49" s="825"/>
      <c r="N49" s="825"/>
      <c r="O49" s="825"/>
      <c r="P49" s="825"/>
      <c r="Q49" s="825"/>
      <c r="R49" s="825"/>
      <c r="S49" s="825"/>
      <c r="T49" s="825"/>
      <c r="U49" s="826"/>
    </row>
    <row r="50" spans="1:21" s="827" customFormat="1" ht="31.5">
      <c r="A50" s="822"/>
      <c r="B50" s="834" t="s">
        <v>834</v>
      </c>
      <c r="C50" s="828"/>
      <c r="D50" s="821">
        <f t="shared" si="3"/>
        <v>13000</v>
      </c>
      <c r="E50" s="825"/>
      <c r="F50" s="825"/>
      <c r="G50" s="825"/>
      <c r="H50" s="825">
        <f t="shared" si="4"/>
        <v>0</v>
      </c>
      <c r="I50" s="825">
        <v>13000</v>
      </c>
      <c r="J50" s="825"/>
      <c r="K50" s="825"/>
      <c r="L50" s="825"/>
      <c r="M50" s="825"/>
      <c r="N50" s="825"/>
      <c r="O50" s="825"/>
      <c r="P50" s="825"/>
      <c r="Q50" s="825"/>
      <c r="R50" s="825"/>
      <c r="S50" s="825"/>
      <c r="T50" s="825"/>
      <c r="U50" s="826"/>
    </row>
    <row r="51" spans="1:21" s="827" customFormat="1" ht="15.75">
      <c r="A51" s="822" t="s">
        <v>433</v>
      </c>
      <c r="B51" s="823" t="s">
        <v>837</v>
      </c>
      <c r="C51" s="828"/>
      <c r="D51" s="821">
        <f t="shared" si="3"/>
        <v>6749</v>
      </c>
      <c r="E51" s="825">
        <f>E52+E53</f>
        <v>0</v>
      </c>
      <c r="F51" s="825">
        <f t="shared" ref="F51:T51" si="6">F52+F53</f>
        <v>0</v>
      </c>
      <c r="G51" s="825">
        <f t="shared" si="6"/>
        <v>0</v>
      </c>
      <c r="H51" s="825">
        <f t="shared" si="4"/>
        <v>0</v>
      </c>
      <c r="I51" s="825">
        <f t="shared" si="6"/>
        <v>0</v>
      </c>
      <c r="J51" s="825">
        <f t="shared" si="6"/>
        <v>0</v>
      </c>
      <c r="K51" s="825">
        <f t="shared" si="6"/>
        <v>0</v>
      </c>
      <c r="L51" s="825">
        <f t="shared" si="6"/>
        <v>0</v>
      </c>
      <c r="M51" s="825">
        <f t="shared" si="6"/>
        <v>0</v>
      </c>
      <c r="N51" s="825">
        <f t="shared" si="6"/>
        <v>0</v>
      </c>
      <c r="O51" s="825">
        <f t="shared" si="6"/>
        <v>5500</v>
      </c>
      <c r="P51" s="825">
        <f t="shared" si="6"/>
        <v>1249</v>
      </c>
      <c r="Q51" s="825">
        <f t="shared" si="6"/>
        <v>0</v>
      </c>
      <c r="R51" s="825">
        <f t="shared" si="6"/>
        <v>0</v>
      </c>
      <c r="S51" s="825">
        <f t="shared" si="6"/>
        <v>0</v>
      </c>
      <c r="T51" s="825">
        <f t="shared" si="6"/>
        <v>0</v>
      </c>
      <c r="U51" s="826"/>
    </row>
    <row r="52" spans="1:21" s="839" customFormat="1" ht="15.75">
      <c r="A52" s="833"/>
      <c r="B52" s="834" t="s">
        <v>838</v>
      </c>
      <c r="C52" s="835"/>
      <c r="D52" s="836">
        <f t="shared" si="3"/>
        <v>5500</v>
      </c>
      <c r="E52" s="837"/>
      <c r="F52" s="837"/>
      <c r="G52" s="837"/>
      <c r="H52" s="825">
        <f t="shared" si="4"/>
        <v>0</v>
      </c>
      <c r="I52" s="837"/>
      <c r="J52" s="837"/>
      <c r="K52" s="837"/>
      <c r="L52" s="837"/>
      <c r="M52" s="837"/>
      <c r="N52" s="837"/>
      <c r="O52" s="837">
        <f>2500+3000</f>
        <v>5500</v>
      </c>
      <c r="P52" s="837"/>
      <c r="Q52" s="837"/>
      <c r="R52" s="837"/>
      <c r="S52" s="837"/>
      <c r="T52" s="837"/>
      <c r="U52" s="838"/>
    </row>
    <row r="53" spans="1:21" s="839" customFormat="1" ht="47.25">
      <c r="A53" s="833"/>
      <c r="B53" s="834" t="s">
        <v>839</v>
      </c>
      <c r="C53" s="835"/>
      <c r="D53" s="836">
        <f t="shared" si="3"/>
        <v>1249</v>
      </c>
      <c r="E53" s="837"/>
      <c r="F53" s="837"/>
      <c r="G53" s="837"/>
      <c r="H53" s="825">
        <f t="shared" si="4"/>
        <v>0</v>
      </c>
      <c r="I53" s="837"/>
      <c r="J53" s="837"/>
      <c r="K53" s="837"/>
      <c r="L53" s="837"/>
      <c r="M53" s="837"/>
      <c r="N53" s="837"/>
      <c r="O53" s="837"/>
      <c r="P53" s="837">
        <v>1249</v>
      </c>
      <c r="Q53" s="837"/>
      <c r="R53" s="837"/>
      <c r="S53" s="837"/>
      <c r="T53" s="837"/>
      <c r="U53" s="838"/>
    </row>
    <row r="54" spans="1:21" s="827" customFormat="1" ht="31.5">
      <c r="A54" s="822" t="s">
        <v>433</v>
      </c>
      <c r="B54" s="823" t="s">
        <v>840</v>
      </c>
      <c r="C54" s="828"/>
      <c r="D54" s="821">
        <f>SUM(E54:T54)-H54</f>
        <v>44950</v>
      </c>
      <c r="E54" s="825"/>
      <c r="F54" s="825"/>
      <c r="G54" s="825"/>
      <c r="H54" s="825">
        <f t="shared" si="4"/>
        <v>0</v>
      </c>
      <c r="I54" s="825"/>
      <c r="J54" s="825"/>
      <c r="K54" s="825">
        <f>SUM(K55:K57)</f>
        <v>44950</v>
      </c>
      <c r="L54" s="825"/>
      <c r="M54" s="825"/>
      <c r="N54" s="825"/>
      <c r="O54" s="825"/>
      <c r="P54" s="825"/>
      <c r="Q54" s="825"/>
      <c r="R54" s="825"/>
      <c r="S54" s="825"/>
      <c r="T54" s="825"/>
      <c r="U54" s="826"/>
    </row>
    <row r="55" spans="1:21" s="839" customFormat="1" ht="31.5">
      <c r="A55" s="833"/>
      <c r="B55" s="834" t="s">
        <v>841</v>
      </c>
      <c r="C55" s="835"/>
      <c r="D55" s="836">
        <f t="shared" si="3"/>
        <v>15000</v>
      </c>
      <c r="E55" s="837"/>
      <c r="F55" s="837"/>
      <c r="G55" s="837"/>
      <c r="H55" s="825">
        <f t="shared" si="4"/>
        <v>0</v>
      </c>
      <c r="I55" s="837"/>
      <c r="J55" s="837"/>
      <c r="K55" s="837">
        <v>15000</v>
      </c>
      <c r="L55" s="837"/>
      <c r="M55" s="837"/>
      <c r="N55" s="837"/>
      <c r="O55" s="837"/>
      <c r="P55" s="837"/>
      <c r="Q55" s="837"/>
      <c r="R55" s="837"/>
      <c r="S55" s="837"/>
      <c r="T55" s="837"/>
      <c r="U55" s="838"/>
    </row>
    <row r="56" spans="1:21" s="839" customFormat="1" ht="31.5">
      <c r="A56" s="833"/>
      <c r="B56" s="834" t="s">
        <v>842</v>
      </c>
      <c r="C56" s="835"/>
      <c r="D56" s="836">
        <f t="shared" si="3"/>
        <v>24950</v>
      </c>
      <c r="E56" s="837"/>
      <c r="F56" s="837"/>
      <c r="G56" s="837"/>
      <c r="H56" s="825">
        <f t="shared" si="4"/>
        <v>0</v>
      </c>
      <c r="I56" s="837"/>
      <c r="J56" s="837"/>
      <c r="K56" s="837">
        <f>25000-50</f>
        <v>24950</v>
      </c>
      <c r="L56" s="837"/>
      <c r="M56" s="837"/>
      <c r="N56" s="837"/>
      <c r="O56" s="837"/>
      <c r="P56" s="837"/>
      <c r="Q56" s="837"/>
      <c r="R56" s="837"/>
      <c r="S56" s="837"/>
      <c r="T56" s="837"/>
      <c r="U56" s="838"/>
    </row>
    <row r="57" spans="1:21" s="839" customFormat="1" ht="47.25">
      <c r="A57" s="833" t="s">
        <v>433</v>
      </c>
      <c r="B57" s="834" t="s">
        <v>843</v>
      </c>
      <c r="C57" s="835"/>
      <c r="D57" s="836">
        <f t="shared" si="3"/>
        <v>5000</v>
      </c>
      <c r="E57" s="837"/>
      <c r="F57" s="837"/>
      <c r="G57" s="837"/>
      <c r="H57" s="825">
        <f t="shared" si="4"/>
        <v>0</v>
      </c>
      <c r="I57" s="837"/>
      <c r="J57" s="837"/>
      <c r="K57" s="837">
        <v>5000</v>
      </c>
      <c r="L57" s="837"/>
      <c r="M57" s="837"/>
      <c r="N57" s="837"/>
      <c r="O57" s="837"/>
      <c r="P57" s="837"/>
      <c r="Q57" s="837"/>
      <c r="R57" s="837"/>
      <c r="S57" s="837"/>
      <c r="T57" s="837"/>
      <c r="U57" s="838"/>
    </row>
    <row r="58" spans="1:21" s="827" customFormat="1" ht="15.75">
      <c r="A58" s="822" t="s">
        <v>433</v>
      </c>
      <c r="B58" s="823" t="s">
        <v>844</v>
      </c>
      <c r="C58" s="828"/>
      <c r="D58" s="821">
        <f>SUM(E58:T58)</f>
        <v>77300</v>
      </c>
      <c r="E58" s="821">
        <f>SUM(E59:E63)</f>
        <v>0</v>
      </c>
      <c r="F58" s="821">
        <f t="shared" ref="F58:T58" si="7">SUM(F59:F63)</f>
        <v>0</v>
      </c>
      <c r="G58" s="821">
        <f t="shared" si="7"/>
        <v>0</v>
      </c>
      <c r="H58" s="825">
        <f t="shared" si="4"/>
        <v>0</v>
      </c>
      <c r="I58" s="821">
        <f t="shared" si="7"/>
        <v>0</v>
      </c>
      <c r="J58" s="821">
        <f t="shared" si="7"/>
        <v>0</v>
      </c>
      <c r="K58" s="821">
        <f t="shared" si="7"/>
        <v>0</v>
      </c>
      <c r="L58" s="821">
        <f>SUM(L59:L63)</f>
        <v>77300</v>
      </c>
      <c r="M58" s="821">
        <f t="shared" si="7"/>
        <v>0</v>
      </c>
      <c r="N58" s="821">
        <f t="shared" si="7"/>
        <v>0</v>
      </c>
      <c r="O58" s="821">
        <f t="shared" si="7"/>
        <v>0</v>
      </c>
      <c r="P58" s="821">
        <f t="shared" si="7"/>
        <v>0</v>
      </c>
      <c r="Q58" s="821">
        <f t="shared" si="7"/>
        <v>0</v>
      </c>
      <c r="R58" s="821">
        <f t="shared" si="7"/>
        <v>0</v>
      </c>
      <c r="S58" s="821">
        <f t="shared" si="7"/>
        <v>0</v>
      </c>
      <c r="T58" s="821">
        <f t="shared" si="7"/>
        <v>0</v>
      </c>
      <c r="U58" s="826"/>
    </row>
    <row r="59" spans="1:21" s="839" customFormat="1" ht="31.5">
      <c r="A59" s="833"/>
      <c r="B59" s="834" t="s">
        <v>845</v>
      </c>
      <c r="C59" s="835"/>
      <c r="D59" s="836"/>
      <c r="E59" s="837"/>
      <c r="F59" s="837"/>
      <c r="G59" s="837"/>
      <c r="H59" s="825">
        <f t="shared" si="4"/>
        <v>0</v>
      </c>
      <c r="I59" s="837"/>
      <c r="J59" s="837"/>
      <c r="K59" s="837"/>
      <c r="L59" s="837">
        <v>2500</v>
      </c>
      <c r="M59" s="837"/>
      <c r="N59" s="837"/>
      <c r="O59" s="837"/>
      <c r="P59" s="837"/>
      <c r="Q59" s="837"/>
      <c r="R59" s="837"/>
      <c r="S59" s="837"/>
      <c r="T59" s="837"/>
      <c r="U59" s="838"/>
    </row>
    <row r="60" spans="1:21" s="839" customFormat="1" ht="31.5">
      <c r="A60" s="833"/>
      <c r="B60" s="834" t="s">
        <v>846</v>
      </c>
      <c r="C60" s="835"/>
      <c r="D60" s="836"/>
      <c r="E60" s="837"/>
      <c r="F60" s="837"/>
      <c r="G60" s="837"/>
      <c r="H60" s="825">
        <f t="shared" si="4"/>
        <v>0</v>
      </c>
      <c r="I60" s="837"/>
      <c r="J60" s="837"/>
      <c r="K60" s="837"/>
      <c r="L60" s="837">
        <v>18000</v>
      </c>
      <c r="M60" s="837"/>
      <c r="N60" s="837"/>
      <c r="O60" s="837"/>
      <c r="P60" s="837"/>
      <c r="Q60" s="837"/>
      <c r="R60" s="837"/>
      <c r="S60" s="837"/>
      <c r="T60" s="837"/>
      <c r="U60" s="838"/>
    </row>
    <row r="61" spans="1:21" s="839" customFormat="1" ht="31.5">
      <c r="A61" s="833"/>
      <c r="B61" s="834" t="s">
        <v>847</v>
      </c>
      <c r="C61" s="835"/>
      <c r="D61" s="836"/>
      <c r="E61" s="837"/>
      <c r="F61" s="837"/>
      <c r="G61" s="837"/>
      <c r="H61" s="825">
        <f t="shared" si="4"/>
        <v>0</v>
      </c>
      <c r="I61" s="837"/>
      <c r="J61" s="837"/>
      <c r="K61" s="837"/>
      <c r="L61" s="837">
        <v>5800</v>
      </c>
      <c r="M61" s="837"/>
      <c r="N61" s="837"/>
      <c r="O61" s="837"/>
      <c r="P61" s="837"/>
      <c r="Q61" s="837"/>
      <c r="R61" s="837"/>
      <c r="S61" s="837"/>
      <c r="T61" s="837"/>
      <c r="U61" s="838"/>
    </row>
    <row r="62" spans="1:21" s="839" customFormat="1" ht="47.25">
      <c r="A62" s="833"/>
      <c r="B62" s="834" t="s">
        <v>848</v>
      </c>
      <c r="C62" s="835"/>
      <c r="D62" s="836"/>
      <c r="E62" s="837"/>
      <c r="F62" s="837"/>
      <c r="G62" s="837"/>
      <c r="H62" s="825">
        <f t="shared" si="4"/>
        <v>0</v>
      </c>
      <c r="I62" s="837"/>
      <c r="J62" s="837"/>
      <c r="K62" s="837"/>
      <c r="L62" s="837">
        <f>16000+4000</f>
        <v>20000</v>
      </c>
      <c r="M62" s="837"/>
      <c r="N62" s="837"/>
      <c r="O62" s="837"/>
      <c r="P62" s="837"/>
      <c r="Q62" s="837"/>
      <c r="R62" s="837"/>
      <c r="S62" s="837"/>
      <c r="T62" s="837"/>
      <c r="U62" s="838"/>
    </row>
    <row r="63" spans="1:21" s="839" customFormat="1" ht="31.5">
      <c r="A63" s="833"/>
      <c r="B63" s="834" t="s">
        <v>891</v>
      </c>
      <c r="C63" s="835"/>
      <c r="D63" s="836"/>
      <c r="E63" s="837"/>
      <c r="F63" s="837"/>
      <c r="G63" s="837"/>
      <c r="H63" s="825">
        <f t="shared" si="4"/>
        <v>0</v>
      </c>
      <c r="I63" s="837"/>
      <c r="J63" s="837"/>
      <c r="K63" s="837"/>
      <c r="L63" s="837">
        <v>31000</v>
      </c>
      <c r="M63" s="837"/>
      <c r="N63" s="837"/>
      <c r="O63" s="837"/>
      <c r="P63" s="837"/>
      <c r="Q63" s="837"/>
      <c r="R63" s="837"/>
      <c r="S63" s="837"/>
      <c r="T63" s="837"/>
      <c r="U63" s="838"/>
    </row>
    <row r="64" spans="1:21" s="827" customFormat="1" ht="15.75">
      <c r="A64" s="822" t="s">
        <v>433</v>
      </c>
      <c r="B64" s="823" t="s">
        <v>20</v>
      </c>
      <c r="C64" s="828"/>
      <c r="D64" s="821">
        <f>SUM(E64:T64)</f>
        <v>235520</v>
      </c>
      <c r="E64" s="825">
        <f t="shared" ref="E64:T64" si="8">SUM(E65:E70)</f>
        <v>0</v>
      </c>
      <c r="F64" s="825">
        <f t="shared" si="8"/>
        <v>0</v>
      </c>
      <c r="G64" s="825">
        <f t="shared" si="8"/>
        <v>0</v>
      </c>
      <c r="H64" s="825">
        <f t="shared" si="4"/>
        <v>0</v>
      </c>
      <c r="I64" s="825">
        <f t="shared" si="8"/>
        <v>0</v>
      </c>
      <c r="J64" s="825">
        <f t="shared" si="8"/>
        <v>0</v>
      </c>
      <c r="K64" s="825">
        <f t="shared" si="8"/>
        <v>0</v>
      </c>
      <c r="L64" s="825">
        <f t="shared" si="8"/>
        <v>0</v>
      </c>
      <c r="M64" s="825">
        <f t="shared" si="8"/>
        <v>235520</v>
      </c>
      <c r="N64" s="825">
        <f t="shared" si="8"/>
        <v>0</v>
      </c>
      <c r="O64" s="825">
        <f t="shared" si="8"/>
        <v>0</v>
      </c>
      <c r="P64" s="825">
        <f t="shared" si="8"/>
        <v>0</v>
      </c>
      <c r="Q64" s="825">
        <f t="shared" si="8"/>
        <v>0</v>
      </c>
      <c r="R64" s="825">
        <f t="shared" si="8"/>
        <v>0</v>
      </c>
      <c r="S64" s="825">
        <f t="shared" si="8"/>
        <v>0</v>
      </c>
      <c r="T64" s="825">
        <f t="shared" si="8"/>
        <v>0</v>
      </c>
      <c r="U64" s="826"/>
    </row>
    <row r="65" spans="1:21" s="839" customFormat="1" ht="15.75">
      <c r="A65" s="833"/>
      <c r="B65" s="834" t="s">
        <v>849</v>
      </c>
      <c r="C65" s="835"/>
      <c r="D65" s="836"/>
      <c r="E65" s="837"/>
      <c r="F65" s="837"/>
      <c r="G65" s="837"/>
      <c r="H65" s="825">
        <f t="shared" si="4"/>
        <v>0</v>
      </c>
      <c r="I65" s="837"/>
      <c r="J65" s="837"/>
      <c r="K65" s="837"/>
      <c r="L65" s="837"/>
      <c r="M65" s="837">
        <v>50000</v>
      </c>
      <c r="N65" s="837"/>
      <c r="O65" s="837"/>
      <c r="P65" s="837"/>
      <c r="Q65" s="837"/>
      <c r="R65" s="837"/>
      <c r="S65" s="837"/>
      <c r="T65" s="837"/>
      <c r="U65" s="838"/>
    </row>
    <row r="66" spans="1:21" s="839" customFormat="1" ht="15.75">
      <c r="A66" s="833"/>
      <c r="B66" s="834" t="s">
        <v>850</v>
      </c>
      <c r="C66" s="835"/>
      <c r="D66" s="836"/>
      <c r="E66" s="837"/>
      <c r="F66" s="837"/>
      <c r="G66" s="837"/>
      <c r="H66" s="825">
        <f t="shared" si="4"/>
        <v>0</v>
      </c>
      <c r="I66" s="837"/>
      <c r="J66" s="837"/>
      <c r="K66" s="837"/>
      <c r="L66" s="837"/>
      <c r="M66" s="837">
        <v>30000</v>
      </c>
      <c r="N66" s="837"/>
      <c r="O66" s="837"/>
      <c r="P66" s="837"/>
      <c r="Q66" s="837"/>
      <c r="R66" s="837"/>
      <c r="S66" s="837"/>
      <c r="T66" s="837"/>
      <c r="U66" s="838"/>
    </row>
    <row r="67" spans="1:21" s="827" customFormat="1" ht="31.5">
      <c r="A67" s="822"/>
      <c r="B67" s="834" t="s">
        <v>846</v>
      </c>
      <c r="C67" s="828"/>
      <c r="D67" s="821">
        <f t="shared" si="3"/>
        <v>67000</v>
      </c>
      <c r="E67" s="825"/>
      <c r="F67" s="825"/>
      <c r="G67" s="825"/>
      <c r="H67" s="825">
        <f t="shared" si="4"/>
        <v>0</v>
      </c>
      <c r="I67" s="825"/>
      <c r="J67" s="825"/>
      <c r="K67" s="825"/>
      <c r="L67" s="825"/>
      <c r="M67" s="825">
        <v>67000</v>
      </c>
      <c r="N67" s="825"/>
      <c r="O67" s="825"/>
      <c r="P67" s="825"/>
      <c r="Q67" s="825"/>
      <c r="R67" s="825"/>
      <c r="S67" s="825"/>
      <c r="T67" s="825"/>
      <c r="U67" s="826"/>
    </row>
    <row r="68" spans="1:21" s="827" customFormat="1" ht="47.25">
      <c r="A68" s="822"/>
      <c r="B68" s="834" t="s">
        <v>851</v>
      </c>
      <c r="C68" s="828"/>
      <c r="D68" s="821"/>
      <c r="E68" s="825"/>
      <c r="F68" s="825"/>
      <c r="G68" s="825"/>
      <c r="H68" s="825">
        <f t="shared" si="4"/>
        <v>0</v>
      </c>
      <c r="I68" s="825"/>
      <c r="J68" s="825"/>
      <c r="K68" s="825"/>
      <c r="L68" s="825"/>
      <c r="M68" s="825">
        <v>63520</v>
      </c>
      <c r="N68" s="825"/>
      <c r="O68" s="825"/>
      <c r="P68" s="825"/>
      <c r="Q68" s="825"/>
      <c r="R68" s="825"/>
      <c r="S68" s="825"/>
      <c r="T68" s="825"/>
      <c r="U68" s="826"/>
    </row>
    <row r="69" spans="1:21" s="827" customFormat="1" ht="31.5">
      <c r="A69" s="822"/>
      <c r="B69" s="834" t="s">
        <v>852</v>
      </c>
      <c r="C69" s="828"/>
      <c r="D69" s="821"/>
      <c r="E69" s="825"/>
      <c r="F69" s="825"/>
      <c r="G69" s="825"/>
      <c r="H69" s="825">
        <f t="shared" si="4"/>
        <v>0</v>
      </c>
      <c r="I69" s="825"/>
      <c r="J69" s="825"/>
      <c r="K69" s="825"/>
      <c r="L69" s="825"/>
      <c r="M69" s="825">
        <v>15000</v>
      </c>
      <c r="N69" s="825"/>
      <c r="O69" s="825"/>
      <c r="P69" s="825"/>
      <c r="Q69" s="825"/>
      <c r="R69" s="825"/>
      <c r="S69" s="825"/>
      <c r="T69" s="825"/>
      <c r="U69" s="826"/>
    </row>
    <row r="70" spans="1:21" s="827" customFormat="1" ht="15.75">
      <c r="A70" s="822"/>
      <c r="B70" s="834" t="s">
        <v>853</v>
      </c>
      <c r="C70" s="828"/>
      <c r="D70" s="821"/>
      <c r="E70" s="825"/>
      <c r="F70" s="825"/>
      <c r="G70" s="825"/>
      <c r="H70" s="825">
        <f t="shared" si="4"/>
        <v>0</v>
      </c>
      <c r="I70" s="825"/>
      <c r="J70" s="825"/>
      <c r="K70" s="825"/>
      <c r="L70" s="825"/>
      <c r="M70" s="825">
        <v>10000</v>
      </c>
      <c r="N70" s="825"/>
      <c r="O70" s="825"/>
      <c r="P70" s="825"/>
      <c r="Q70" s="825"/>
      <c r="R70" s="825"/>
      <c r="S70" s="825"/>
      <c r="T70" s="825"/>
      <c r="U70" s="826"/>
    </row>
    <row r="71" spans="1:21" s="827" customFormat="1" ht="63">
      <c r="A71" s="822" t="s">
        <v>433</v>
      </c>
      <c r="B71" s="823" t="s">
        <v>854</v>
      </c>
      <c r="C71" s="828"/>
      <c r="D71" s="821"/>
      <c r="E71" s="825"/>
      <c r="F71" s="825"/>
      <c r="G71" s="825"/>
      <c r="H71" s="825">
        <f t="shared" si="4"/>
        <v>0</v>
      </c>
      <c r="I71" s="825"/>
      <c r="J71" s="825"/>
      <c r="K71" s="825"/>
      <c r="L71" s="825"/>
      <c r="M71" s="825"/>
      <c r="N71" s="825">
        <v>15000</v>
      </c>
      <c r="O71" s="825"/>
      <c r="P71" s="825"/>
      <c r="Q71" s="825"/>
      <c r="R71" s="825"/>
      <c r="S71" s="825"/>
      <c r="T71" s="825"/>
      <c r="U71" s="826"/>
    </row>
    <row r="72" spans="1:21" s="827" customFormat="1" ht="15.75">
      <c r="A72" s="822" t="s">
        <v>433</v>
      </c>
      <c r="B72" s="823" t="s">
        <v>855</v>
      </c>
      <c r="C72" s="828"/>
      <c r="D72" s="821">
        <f>SUM(E72:T72)</f>
        <v>168971</v>
      </c>
      <c r="E72" s="825">
        <f>SUM(E73:E76)</f>
        <v>168971</v>
      </c>
      <c r="F72" s="825">
        <f t="shared" ref="F72:T72" si="9">SUM(F73:F76)</f>
        <v>0</v>
      </c>
      <c r="G72" s="825">
        <f t="shared" si="9"/>
        <v>0</v>
      </c>
      <c r="H72" s="825">
        <f t="shared" si="4"/>
        <v>0</v>
      </c>
      <c r="I72" s="825">
        <f t="shared" si="9"/>
        <v>0</v>
      </c>
      <c r="J72" s="825">
        <f t="shared" si="9"/>
        <v>0</v>
      </c>
      <c r="K72" s="825">
        <f t="shared" si="9"/>
        <v>0</v>
      </c>
      <c r="L72" s="825">
        <f t="shared" si="9"/>
        <v>0</v>
      </c>
      <c r="M72" s="825">
        <f t="shared" si="9"/>
        <v>0</v>
      </c>
      <c r="N72" s="825">
        <f t="shared" si="9"/>
        <v>0</v>
      </c>
      <c r="O72" s="825">
        <f t="shared" si="9"/>
        <v>0</v>
      </c>
      <c r="P72" s="825">
        <f t="shared" si="9"/>
        <v>0</v>
      </c>
      <c r="Q72" s="825">
        <f t="shared" si="9"/>
        <v>0</v>
      </c>
      <c r="R72" s="825">
        <f t="shared" si="9"/>
        <v>0</v>
      </c>
      <c r="S72" s="825">
        <f t="shared" si="9"/>
        <v>0</v>
      </c>
      <c r="T72" s="825">
        <f t="shared" si="9"/>
        <v>0</v>
      </c>
      <c r="U72" s="826"/>
    </row>
    <row r="73" spans="1:21" s="839" customFormat="1" ht="15.75">
      <c r="A73" s="833"/>
      <c r="B73" s="834" t="s">
        <v>856</v>
      </c>
      <c r="C73" s="835"/>
      <c r="D73" s="836"/>
      <c r="E73" s="837">
        <v>25000</v>
      </c>
      <c r="F73" s="837"/>
      <c r="G73" s="837"/>
      <c r="H73" s="825">
        <f t="shared" si="4"/>
        <v>0</v>
      </c>
      <c r="I73" s="837"/>
      <c r="J73" s="837"/>
      <c r="K73" s="837"/>
      <c r="L73" s="837"/>
      <c r="M73" s="837"/>
      <c r="N73" s="837"/>
      <c r="O73" s="837"/>
      <c r="P73" s="837"/>
      <c r="Q73" s="837"/>
      <c r="R73" s="837"/>
      <c r="S73" s="837"/>
      <c r="T73" s="837"/>
      <c r="U73" s="838"/>
    </row>
    <row r="74" spans="1:21" s="839" customFormat="1" ht="31.5">
      <c r="A74" s="833"/>
      <c r="B74" s="834" t="s">
        <v>857</v>
      </c>
      <c r="C74" s="835"/>
      <c r="D74" s="836"/>
      <c r="E74" s="837">
        <v>35000</v>
      </c>
      <c r="F74" s="837"/>
      <c r="G74" s="837"/>
      <c r="H74" s="825">
        <f t="shared" ref="H74:H80" si="10">F74+G74</f>
        <v>0</v>
      </c>
      <c r="I74" s="837"/>
      <c r="J74" s="837"/>
      <c r="K74" s="837"/>
      <c r="L74" s="837"/>
      <c r="M74" s="837"/>
      <c r="N74" s="837"/>
      <c r="O74" s="837"/>
      <c r="P74" s="837"/>
      <c r="Q74" s="837"/>
      <c r="R74" s="837"/>
      <c r="S74" s="837"/>
      <c r="T74" s="837"/>
      <c r="U74" s="838"/>
    </row>
    <row r="75" spans="1:21" s="839" customFormat="1" ht="78.75">
      <c r="A75" s="833"/>
      <c r="B75" s="834" t="s">
        <v>832</v>
      </c>
      <c r="C75" s="835"/>
      <c r="D75" s="836"/>
      <c r="E75" s="837">
        <v>80000</v>
      </c>
      <c r="F75" s="837"/>
      <c r="G75" s="837"/>
      <c r="H75" s="825">
        <f t="shared" si="10"/>
        <v>0</v>
      </c>
      <c r="I75" s="837"/>
      <c r="J75" s="837"/>
      <c r="K75" s="837"/>
      <c r="L75" s="837"/>
      <c r="M75" s="837"/>
      <c r="N75" s="837"/>
      <c r="O75" s="837"/>
      <c r="P75" s="837"/>
      <c r="Q75" s="837"/>
      <c r="R75" s="837"/>
      <c r="S75" s="837"/>
      <c r="T75" s="837"/>
      <c r="U75" s="838"/>
    </row>
    <row r="76" spans="1:21" s="839" customFormat="1" ht="47.25">
      <c r="A76" s="833"/>
      <c r="B76" s="834" t="s">
        <v>858</v>
      </c>
      <c r="C76" s="835"/>
      <c r="D76" s="836"/>
      <c r="E76" s="837">
        <f>9657*3</f>
        <v>28971</v>
      </c>
      <c r="F76" s="837"/>
      <c r="G76" s="837"/>
      <c r="H76" s="825">
        <f t="shared" si="10"/>
        <v>0</v>
      </c>
      <c r="I76" s="837"/>
      <c r="J76" s="837"/>
      <c r="K76" s="837"/>
      <c r="L76" s="837"/>
      <c r="M76" s="837"/>
      <c r="N76" s="837"/>
      <c r="O76" s="837"/>
      <c r="P76" s="837"/>
      <c r="Q76" s="837"/>
      <c r="R76" s="837"/>
      <c r="S76" s="837"/>
      <c r="T76" s="837"/>
      <c r="U76" s="838"/>
    </row>
    <row r="77" spans="1:21" s="827" customFormat="1" ht="31.5">
      <c r="A77" s="822">
        <v>36</v>
      </c>
      <c r="B77" s="823" t="s">
        <v>859</v>
      </c>
      <c r="C77" s="828"/>
      <c r="D77" s="821">
        <f t="shared" si="3"/>
        <v>8566.7708000000002</v>
      </c>
      <c r="E77" s="825">
        <v>6076.7708000000002</v>
      </c>
      <c r="F77" s="825"/>
      <c r="G77" s="825"/>
      <c r="H77" s="825">
        <f t="shared" si="10"/>
        <v>0</v>
      </c>
      <c r="I77" s="825"/>
      <c r="J77" s="825"/>
      <c r="K77" s="825">
        <v>50</v>
      </c>
      <c r="L77" s="825"/>
      <c r="M77" s="825">
        <v>2440</v>
      </c>
      <c r="N77" s="825"/>
      <c r="O77" s="825"/>
      <c r="P77" s="825"/>
      <c r="Q77" s="825"/>
      <c r="R77" s="825"/>
      <c r="S77" s="825"/>
      <c r="T77" s="825"/>
      <c r="U77" s="826"/>
    </row>
    <row r="78" spans="1:21" s="827" customFormat="1" ht="31.5">
      <c r="A78" s="822">
        <v>37</v>
      </c>
      <c r="B78" s="840" t="s">
        <v>881</v>
      </c>
      <c r="C78" s="828"/>
      <c r="D78" s="821">
        <f t="shared" si="3"/>
        <v>17123.727999999999</v>
      </c>
      <c r="E78" s="825"/>
      <c r="F78" s="825"/>
      <c r="G78" s="825"/>
      <c r="H78" s="825">
        <f t="shared" si="10"/>
        <v>0</v>
      </c>
      <c r="I78" s="825"/>
      <c r="J78" s="825"/>
      <c r="K78" s="825">
        <v>17097.727999999999</v>
      </c>
      <c r="L78" s="825"/>
      <c r="M78" s="825"/>
      <c r="N78" s="825"/>
      <c r="O78" s="825">
        <v>26</v>
      </c>
      <c r="P78" s="825"/>
      <c r="Q78" s="825"/>
      <c r="R78" s="825"/>
      <c r="S78" s="825"/>
      <c r="T78" s="825"/>
      <c r="U78" s="826"/>
    </row>
    <row r="79" spans="1:21" s="827" customFormat="1" ht="15.75">
      <c r="A79" s="822">
        <v>38</v>
      </c>
      <c r="B79" s="841" t="s">
        <v>860</v>
      </c>
      <c r="C79" s="828"/>
      <c r="D79" s="821">
        <f t="shared" si="3"/>
        <v>40000</v>
      </c>
      <c r="E79" s="825"/>
      <c r="F79" s="825"/>
      <c r="G79" s="825"/>
      <c r="H79" s="825">
        <f t="shared" si="10"/>
        <v>0</v>
      </c>
      <c r="I79" s="825"/>
      <c r="J79" s="825"/>
      <c r="K79" s="825"/>
      <c r="L79" s="825"/>
      <c r="M79" s="825">
        <v>40000</v>
      </c>
      <c r="N79" s="825"/>
      <c r="O79" s="825"/>
      <c r="P79" s="825"/>
      <c r="Q79" s="825"/>
      <c r="R79" s="825"/>
      <c r="S79" s="825"/>
      <c r="T79" s="825"/>
      <c r="U79" s="826"/>
    </row>
    <row r="80" spans="1:21" s="827" customFormat="1" ht="31.5" customHeight="1">
      <c r="A80" s="822">
        <v>39</v>
      </c>
      <c r="B80" s="842" t="s">
        <v>861</v>
      </c>
      <c r="C80" s="828"/>
      <c r="D80" s="821">
        <f t="shared" si="3"/>
        <v>1710</v>
      </c>
      <c r="E80" s="825"/>
      <c r="F80" s="825"/>
      <c r="G80" s="825"/>
      <c r="H80" s="825">
        <f t="shared" si="10"/>
        <v>0</v>
      </c>
      <c r="I80" s="825"/>
      <c r="J80" s="825"/>
      <c r="K80" s="825"/>
      <c r="L80" s="825"/>
      <c r="M80" s="825">
        <v>1710</v>
      </c>
      <c r="N80" s="825"/>
      <c r="O80" s="825"/>
      <c r="P80" s="825"/>
      <c r="Q80" s="825"/>
      <c r="R80" s="825"/>
      <c r="S80" s="825"/>
      <c r="T80" s="825"/>
      <c r="U80" s="826"/>
    </row>
    <row r="81" spans="1:21" s="856" customFormat="1" ht="31.5" hidden="1">
      <c r="A81" s="833">
        <v>40</v>
      </c>
      <c r="B81" s="853" t="s">
        <v>862</v>
      </c>
      <c r="C81" s="854">
        <f>SUM(C82:C89)</f>
        <v>0</v>
      </c>
      <c r="D81" s="836">
        <f t="shared" ref="D81:I81" si="11">SUM(D82:D93)</f>
        <v>668722.12800000003</v>
      </c>
      <c r="E81" s="836">
        <f t="shared" si="11"/>
        <v>0</v>
      </c>
      <c r="F81" s="836">
        <f t="shared" si="11"/>
        <v>0</v>
      </c>
      <c r="G81" s="836">
        <f t="shared" si="11"/>
        <v>9117</v>
      </c>
      <c r="H81" s="836">
        <f t="shared" si="11"/>
        <v>9117</v>
      </c>
      <c r="I81" s="836">
        <f t="shared" si="11"/>
        <v>451334</v>
      </c>
      <c r="J81" s="836">
        <f t="shared" ref="J81:T81" si="12">SUM(J82:J93)</f>
        <v>0</v>
      </c>
      <c r="K81" s="836">
        <f t="shared" si="12"/>
        <v>320</v>
      </c>
      <c r="L81" s="836">
        <f t="shared" si="12"/>
        <v>500</v>
      </c>
      <c r="M81" s="836">
        <f t="shared" si="12"/>
        <v>48031</v>
      </c>
      <c r="N81" s="836">
        <f t="shared" si="12"/>
        <v>400</v>
      </c>
      <c r="O81" s="836">
        <f t="shared" si="12"/>
        <v>47496</v>
      </c>
      <c r="P81" s="836">
        <f t="shared" si="12"/>
        <v>14100</v>
      </c>
      <c r="Q81" s="836">
        <f t="shared" si="12"/>
        <v>80000</v>
      </c>
      <c r="R81" s="836">
        <f t="shared" si="12"/>
        <v>16839.127999999997</v>
      </c>
      <c r="S81" s="836">
        <f t="shared" si="12"/>
        <v>585</v>
      </c>
      <c r="T81" s="836">
        <f t="shared" si="12"/>
        <v>0</v>
      </c>
      <c r="U81" s="855"/>
    </row>
    <row r="82" spans="1:21" s="827" customFormat="1" ht="15.75">
      <c r="A82" s="822">
        <v>40</v>
      </c>
      <c r="B82" s="823" t="s">
        <v>863</v>
      </c>
      <c r="C82" s="828"/>
      <c r="D82" s="821">
        <f>SUM(E82:T82)-H82</f>
        <v>9950</v>
      </c>
      <c r="E82" s="825"/>
      <c r="F82" s="825"/>
      <c r="G82" s="825"/>
      <c r="H82" s="825"/>
      <c r="I82" s="825"/>
      <c r="J82" s="825"/>
      <c r="K82" s="825"/>
      <c r="L82" s="825"/>
      <c r="M82" s="825">
        <v>350</v>
      </c>
      <c r="N82" s="825"/>
      <c r="O82" s="825">
        <v>9600</v>
      </c>
      <c r="P82" s="825"/>
      <c r="Q82" s="825"/>
      <c r="R82" s="825"/>
      <c r="S82" s="825"/>
      <c r="T82" s="825"/>
      <c r="U82" s="826"/>
    </row>
    <row r="83" spans="1:21" s="827" customFormat="1" ht="15.75">
      <c r="A83" s="822">
        <v>41</v>
      </c>
      <c r="B83" s="823" t="s">
        <v>864</v>
      </c>
      <c r="C83" s="828"/>
      <c r="D83" s="821">
        <f>SUM(E83:T83)-H83</f>
        <v>45863</v>
      </c>
      <c r="E83" s="825"/>
      <c r="F83" s="825"/>
      <c r="G83" s="825">
        <v>7847</v>
      </c>
      <c r="H83" s="825">
        <f t="shared" ref="H83" si="13">F83+G83</f>
        <v>7847</v>
      </c>
      <c r="I83" s="825"/>
      <c r="J83" s="825"/>
      <c r="K83" s="825">
        <f>50+70</f>
        <v>120</v>
      </c>
      <c r="L83" s="825"/>
      <c r="M83" s="825"/>
      <c r="N83" s="825"/>
      <c r="O83" s="825">
        <v>37896</v>
      </c>
      <c r="P83" s="825"/>
      <c r="Q83" s="825"/>
      <c r="R83" s="825"/>
      <c r="S83" s="825"/>
      <c r="T83" s="825"/>
      <c r="U83" s="826"/>
    </row>
    <row r="84" spans="1:21" s="827" customFormat="1" ht="16.5" customHeight="1">
      <c r="A84" s="822">
        <v>42</v>
      </c>
      <c r="B84" s="823" t="s">
        <v>882</v>
      </c>
      <c r="C84" s="828"/>
      <c r="D84" s="821">
        <f t="shared" ref="D84:D92" si="14">SUM(E84:T84)-H84</f>
        <v>14650</v>
      </c>
      <c r="E84" s="825"/>
      <c r="F84" s="825"/>
      <c r="G84" s="825"/>
      <c r="H84" s="825"/>
      <c r="I84" s="825"/>
      <c r="J84" s="825"/>
      <c r="K84" s="825">
        <v>150</v>
      </c>
      <c r="L84" s="825"/>
      <c r="M84" s="825"/>
      <c r="N84" s="825">
        <v>400</v>
      </c>
      <c r="O84" s="825"/>
      <c r="P84" s="825">
        <v>14100</v>
      </c>
      <c r="Q84" s="825"/>
      <c r="R84" s="825"/>
      <c r="S84" s="825"/>
      <c r="T84" s="825"/>
      <c r="U84" s="826"/>
    </row>
    <row r="85" spans="1:21" s="827" customFormat="1" ht="16.5" customHeight="1">
      <c r="A85" s="822">
        <v>43</v>
      </c>
      <c r="B85" s="823" t="s">
        <v>865</v>
      </c>
      <c r="C85" s="828"/>
      <c r="D85" s="821">
        <f t="shared" si="14"/>
        <v>400</v>
      </c>
      <c r="E85" s="825"/>
      <c r="F85" s="825"/>
      <c r="G85" s="825"/>
      <c r="H85" s="825"/>
      <c r="I85" s="825"/>
      <c r="J85" s="825"/>
      <c r="K85" s="825"/>
      <c r="L85" s="825"/>
      <c r="M85" s="825">
        <v>400</v>
      </c>
      <c r="N85" s="825"/>
      <c r="O85" s="825"/>
      <c r="P85" s="825"/>
      <c r="Q85" s="825"/>
      <c r="R85" s="825"/>
      <c r="S85" s="825"/>
      <c r="T85" s="825"/>
      <c r="U85" s="826"/>
    </row>
    <row r="86" spans="1:21" s="827" customFormat="1" ht="15.75">
      <c r="A86" s="822">
        <v>44</v>
      </c>
      <c r="B86" s="823" t="s">
        <v>866</v>
      </c>
      <c r="C86" s="828"/>
      <c r="D86" s="821">
        <f t="shared" si="14"/>
        <v>432334</v>
      </c>
      <c r="E86" s="825"/>
      <c r="F86" s="825"/>
      <c r="G86" s="825"/>
      <c r="H86" s="825"/>
      <c r="I86" s="825">
        <v>432334</v>
      </c>
      <c r="J86" s="825"/>
      <c r="K86" s="825"/>
      <c r="L86" s="825"/>
      <c r="M86" s="825"/>
      <c r="N86" s="825"/>
      <c r="O86" s="825"/>
      <c r="P86" s="825"/>
      <c r="Q86" s="825"/>
      <c r="R86" s="825"/>
      <c r="S86" s="825"/>
      <c r="T86" s="825"/>
      <c r="U86" s="826"/>
    </row>
    <row r="87" spans="1:21" s="827" customFormat="1" ht="33.75" customHeight="1">
      <c r="A87" s="822">
        <v>45</v>
      </c>
      <c r="B87" s="843" t="s">
        <v>867</v>
      </c>
      <c r="C87" s="828"/>
      <c r="D87" s="821">
        <f t="shared" si="14"/>
        <v>46681</v>
      </c>
      <c r="E87" s="825"/>
      <c r="F87" s="825"/>
      <c r="G87" s="825"/>
      <c r="H87" s="825"/>
      <c r="I87" s="825"/>
      <c r="J87" s="825"/>
      <c r="K87" s="825"/>
      <c r="L87" s="825"/>
      <c r="M87" s="825">
        <v>46681</v>
      </c>
      <c r="N87" s="825"/>
      <c r="O87" s="825"/>
      <c r="P87" s="825"/>
      <c r="Q87" s="825"/>
      <c r="R87" s="825"/>
      <c r="S87" s="825"/>
      <c r="T87" s="825"/>
      <c r="U87" s="826"/>
    </row>
    <row r="88" spans="1:21" s="827" customFormat="1" ht="15.75">
      <c r="A88" s="822">
        <v>46</v>
      </c>
      <c r="B88" s="842" t="s">
        <v>887</v>
      </c>
      <c r="C88" s="828"/>
      <c r="D88" s="821">
        <f t="shared" si="14"/>
        <v>80000</v>
      </c>
      <c r="E88" s="825"/>
      <c r="F88" s="825"/>
      <c r="G88" s="825"/>
      <c r="H88" s="825"/>
      <c r="I88" s="825"/>
      <c r="J88" s="825"/>
      <c r="K88" s="825"/>
      <c r="L88" s="825"/>
      <c r="M88" s="825"/>
      <c r="N88" s="825"/>
      <c r="O88" s="825"/>
      <c r="P88" s="825"/>
      <c r="Q88" s="825">
        <v>80000</v>
      </c>
      <c r="R88" s="825"/>
      <c r="S88" s="825"/>
      <c r="T88" s="825"/>
      <c r="U88" s="826"/>
    </row>
    <row r="89" spans="1:21" s="827" customFormat="1" ht="31.5" customHeight="1">
      <c r="A89" s="822">
        <v>47</v>
      </c>
      <c r="B89" s="843" t="s">
        <v>888</v>
      </c>
      <c r="C89" s="828"/>
      <c r="D89" s="821">
        <f t="shared" si="14"/>
        <v>19000</v>
      </c>
      <c r="E89" s="825"/>
      <c r="F89" s="825"/>
      <c r="G89" s="825"/>
      <c r="H89" s="825"/>
      <c r="I89" s="825">
        <v>19000</v>
      </c>
      <c r="J89" s="825"/>
      <c r="K89" s="825"/>
      <c r="L89" s="825"/>
      <c r="M89" s="825"/>
      <c r="N89" s="825"/>
      <c r="O89" s="825"/>
      <c r="P89" s="825"/>
      <c r="Q89" s="844"/>
      <c r="R89" s="844"/>
      <c r="S89" s="844"/>
      <c r="T89" s="825"/>
      <c r="U89" s="826"/>
    </row>
    <row r="90" spans="1:21" s="827" customFormat="1" ht="15.75">
      <c r="A90" s="822">
        <v>48</v>
      </c>
      <c r="B90" s="841" t="s">
        <v>889</v>
      </c>
      <c r="C90" s="828"/>
      <c r="D90" s="821">
        <f t="shared" si="14"/>
        <v>500</v>
      </c>
      <c r="E90" s="825"/>
      <c r="F90" s="825"/>
      <c r="G90" s="825"/>
      <c r="H90" s="825"/>
      <c r="I90" s="825"/>
      <c r="J90" s="825"/>
      <c r="K90" s="825"/>
      <c r="L90" s="825">
        <v>500</v>
      </c>
      <c r="M90" s="825"/>
      <c r="N90" s="825"/>
      <c r="O90" s="825"/>
      <c r="P90" s="825"/>
      <c r="Q90" s="825"/>
      <c r="R90" s="825"/>
      <c r="S90" s="825"/>
      <c r="T90" s="825"/>
      <c r="U90" s="826"/>
    </row>
    <row r="91" spans="1:21" s="827" customFormat="1" ht="15.75">
      <c r="A91" s="822">
        <v>49</v>
      </c>
      <c r="B91" s="841" t="s">
        <v>890</v>
      </c>
      <c r="C91" s="828"/>
      <c r="D91" s="821">
        <f t="shared" si="14"/>
        <v>250</v>
      </c>
      <c r="E91" s="825"/>
      <c r="F91" s="825"/>
      <c r="G91" s="825"/>
      <c r="H91" s="825"/>
      <c r="I91" s="825"/>
      <c r="J91" s="825"/>
      <c r="K91" s="825"/>
      <c r="L91" s="825"/>
      <c r="M91" s="825"/>
      <c r="N91" s="825"/>
      <c r="O91" s="825"/>
      <c r="P91" s="825"/>
      <c r="Q91" s="825"/>
      <c r="R91" s="825">
        <v>250</v>
      </c>
      <c r="S91" s="825"/>
      <c r="T91" s="825"/>
      <c r="U91" s="826"/>
    </row>
    <row r="92" spans="1:21" s="827" customFormat="1" ht="15.75" hidden="1">
      <c r="A92" s="822">
        <v>49</v>
      </c>
      <c r="B92" s="842"/>
      <c r="C92" s="828"/>
      <c r="D92" s="821">
        <f t="shared" si="14"/>
        <v>0</v>
      </c>
      <c r="E92" s="825"/>
      <c r="F92" s="825"/>
      <c r="G92" s="825"/>
      <c r="H92" s="825"/>
      <c r="I92" s="825"/>
      <c r="J92" s="825"/>
      <c r="K92" s="825"/>
      <c r="L92" s="825"/>
      <c r="M92" s="825"/>
      <c r="N92" s="825"/>
      <c r="O92" s="825"/>
      <c r="P92" s="825"/>
      <c r="Q92" s="825"/>
      <c r="R92" s="825"/>
      <c r="S92" s="825"/>
      <c r="T92" s="825"/>
      <c r="U92" s="826"/>
    </row>
    <row r="93" spans="1:21" s="827" customFormat="1" ht="15.75">
      <c r="A93" s="822">
        <v>50</v>
      </c>
      <c r="B93" s="823" t="s">
        <v>868</v>
      </c>
      <c r="C93" s="828"/>
      <c r="D93" s="821">
        <f>SUM(E93:T93)-H93</f>
        <v>19094.127999999997</v>
      </c>
      <c r="E93" s="825"/>
      <c r="F93" s="825"/>
      <c r="G93" s="825">
        <f>'[2]TH Hoi'!D23</f>
        <v>1270</v>
      </c>
      <c r="H93" s="825">
        <f t="shared" ref="H93" si="15">F93+G93</f>
        <v>1270</v>
      </c>
      <c r="I93" s="825"/>
      <c r="J93" s="825"/>
      <c r="K93" s="857">
        <v>50</v>
      </c>
      <c r="L93" s="825"/>
      <c r="M93" s="825">
        <f>'[2]TH Hoi'!L6</f>
        <v>600</v>
      </c>
      <c r="N93" s="825"/>
      <c r="O93" s="825"/>
      <c r="P93" s="825"/>
      <c r="Q93" s="825"/>
      <c r="R93" s="825">
        <f>'[2]TH Hoi'!N6-250</f>
        <v>16589.127999999997</v>
      </c>
      <c r="S93" s="825">
        <f>'[2]TWBS mục tiêu'!H14+'[2]TWBS mục tiêu'!I14</f>
        <v>585</v>
      </c>
      <c r="T93" s="825"/>
      <c r="U93" s="826"/>
    </row>
    <row r="94" spans="1:21" ht="15.75">
      <c r="A94" s="845"/>
      <c r="B94" s="846"/>
      <c r="C94" s="845"/>
      <c r="D94" s="847"/>
      <c r="E94" s="847"/>
      <c r="F94" s="847"/>
      <c r="G94" s="847"/>
      <c r="H94" s="847"/>
      <c r="I94" s="847"/>
      <c r="J94" s="847"/>
      <c r="K94" s="847"/>
      <c r="L94" s="847"/>
      <c r="M94" s="847"/>
      <c r="N94" s="847"/>
      <c r="O94" s="847"/>
      <c r="P94" s="847"/>
      <c r="Q94" s="847"/>
      <c r="R94" s="847"/>
      <c r="S94" s="847"/>
      <c r="T94" s="847"/>
    </row>
    <row r="95" spans="1:21" ht="15">
      <c r="B95" s="848"/>
    </row>
    <row r="96" spans="1:21" ht="15">
      <c r="B96" s="848"/>
      <c r="M96" s="849"/>
    </row>
    <row r="97" spans="2:2" ht="15">
      <c r="B97" s="848"/>
    </row>
    <row r="98" spans="2:2" ht="15">
      <c r="B98" s="848"/>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609" customWidth="1"/>
    <col min="2" max="2" width="16.28515625" style="609" customWidth="1"/>
    <col min="3" max="3" width="10.42578125" style="609" customWidth="1"/>
    <col min="4" max="4" width="9.7109375" style="609" customWidth="1"/>
    <col min="5" max="5" width="9.5703125" style="609" customWidth="1"/>
    <col min="6" max="6" width="6.7109375" style="609" customWidth="1"/>
    <col min="7" max="7" width="6.5703125" style="609" customWidth="1"/>
    <col min="8" max="8" width="8.42578125" style="609" customWidth="1"/>
    <col min="9" max="10" width="8.7109375" style="609" customWidth="1"/>
    <col min="11" max="11" width="9.5703125" style="609" customWidth="1"/>
    <col min="12" max="12" width="9.7109375" style="609" customWidth="1"/>
    <col min="13" max="13" width="7.140625" style="609" customWidth="1"/>
    <col min="14" max="14" width="6.42578125" style="609" customWidth="1"/>
    <col min="15" max="15" width="8.140625" style="609" customWidth="1"/>
    <col min="16" max="16" width="9" style="609" customWidth="1"/>
    <col min="17" max="17" width="8.42578125" style="609" customWidth="1"/>
    <col min="18" max="18" width="9" style="609" customWidth="1"/>
    <col min="19" max="19" width="8" style="609" customWidth="1"/>
    <col min="20" max="20" width="7.5703125" style="609" customWidth="1"/>
    <col min="21" max="21" width="7.42578125" style="609" customWidth="1"/>
    <col min="22" max="22" width="20.5703125" style="609" customWidth="1"/>
    <col min="23" max="23" width="9.5703125" style="609" customWidth="1"/>
    <col min="24" max="41" width="8.5703125" style="609" customWidth="1"/>
    <col min="42" max="16384" width="9.140625" style="609"/>
  </cols>
  <sheetData>
    <row r="1" spans="1:41" ht="16.5">
      <c r="A1" s="1015" t="s">
        <v>869</v>
      </c>
      <c r="B1" s="1015"/>
      <c r="C1" s="1015"/>
      <c r="D1" s="1015"/>
      <c r="E1" s="1015"/>
      <c r="F1" s="1015"/>
      <c r="G1" s="1015"/>
      <c r="H1" s="1015"/>
      <c r="I1" s="1015"/>
      <c r="J1" s="1015"/>
      <c r="K1" s="1015"/>
      <c r="L1" s="1015"/>
      <c r="M1" s="1015"/>
      <c r="N1" s="1015"/>
      <c r="O1" s="1015"/>
      <c r="P1" s="1015"/>
      <c r="Q1" s="1015"/>
      <c r="R1" s="1015"/>
      <c r="S1" s="1015"/>
      <c r="T1" s="1015"/>
      <c r="U1" s="1015"/>
    </row>
    <row r="2" spans="1:41" ht="18.75">
      <c r="A2" s="1078" t="s">
        <v>644</v>
      </c>
      <c r="B2" s="1078"/>
      <c r="C2" s="1078"/>
      <c r="D2" s="1078"/>
      <c r="E2" s="1078"/>
      <c r="F2" s="1078"/>
      <c r="G2" s="1078"/>
      <c r="H2" s="1078"/>
      <c r="I2" s="1078"/>
      <c r="J2" s="1078"/>
      <c r="K2" s="1078"/>
      <c r="L2" s="1078"/>
      <c r="M2" s="1078"/>
      <c r="N2" s="1078"/>
      <c r="O2" s="1078"/>
      <c r="P2" s="1078"/>
      <c r="Q2" s="1078"/>
      <c r="R2" s="1078"/>
      <c r="S2" s="1078"/>
      <c r="T2" s="1078"/>
      <c r="U2" s="1078"/>
    </row>
    <row r="3" spans="1:41" ht="15.75">
      <c r="A3" s="1070" t="s">
        <v>872</v>
      </c>
      <c r="B3" s="1070"/>
      <c r="C3" s="1070"/>
      <c r="D3" s="1070"/>
      <c r="E3" s="1070"/>
      <c r="F3" s="1070"/>
      <c r="G3" s="1070"/>
      <c r="H3" s="1070"/>
      <c r="I3" s="1070"/>
      <c r="J3" s="1070"/>
      <c r="K3" s="1070"/>
      <c r="L3" s="1070"/>
      <c r="M3" s="1070"/>
      <c r="N3" s="1070"/>
      <c r="O3" s="1070"/>
      <c r="P3" s="1070"/>
      <c r="Q3" s="1070"/>
      <c r="R3" s="1070"/>
      <c r="S3" s="1070"/>
      <c r="T3" s="1070"/>
      <c r="U3" s="1070"/>
    </row>
    <row r="4" spans="1:41" ht="15.75" thickBot="1">
      <c r="A4" s="1079" t="s">
        <v>199</v>
      </c>
      <c r="B4" s="1079"/>
      <c r="C4" s="1079"/>
      <c r="D4" s="1079"/>
      <c r="E4" s="1079"/>
      <c r="F4" s="1079"/>
      <c r="G4" s="1079"/>
      <c r="H4" s="1079"/>
      <c r="I4" s="1079"/>
      <c r="J4" s="1079"/>
      <c r="K4" s="1079"/>
      <c r="L4" s="1079"/>
      <c r="M4" s="1079"/>
      <c r="N4" s="1079"/>
      <c r="O4" s="1079"/>
      <c r="P4" s="1079"/>
      <c r="Q4" s="1079"/>
      <c r="R4" s="1079"/>
      <c r="S4" s="1079"/>
      <c r="T4" s="1079"/>
      <c r="U4" s="1080"/>
    </row>
    <row r="5" spans="1:41" ht="20.25" customHeight="1">
      <c r="A5" s="1074" t="s">
        <v>11</v>
      </c>
      <c r="B5" s="1074" t="s">
        <v>611</v>
      </c>
      <c r="C5" s="1074" t="s">
        <v>612</v>
      </c>
      <c r="D5" s="1074" t="s">
        <v>613</v>
      </c>
      <c r="E5" s="1074"/>
      <c r="F5" s="1074"/>
      <c r="G5" s="1074"/>
      <c r="H5" s="1074"/>
      <c r="I5" s="1074"/>
      <c r="J5" s="1074"/>
      <c r="K5" s="1074"/>
      <c r="L5" s="1074"/>
      <c r="M5" s="1074"/>
      <c r="N5" s="1074"/>
      <c r="O5" s="1074"/>
      <c r="P5" s="1074"/>
      <c r="Q5" s="1074" t="s">
        <v>614</v>
      </c>
      <c r="R5" s="1074"/>
      <c r="S5" s="1074"/>
      <c r="T5" s="1074"/>
      <c r="U5" s="1081" t="s">
        <v>587</v>
      </c>
    </row>
    <row r="6" spans="1:41" ht="18" customHeight="1">
      <c r="A6" s="1074"/>
      <c r="B6" s="1074"/>
      <c r="C6" s="1074"/>
      <c r="D6" s="1074" t="s">
        <v>615</v>
      </c>
      <c r="E6" s="1074" t="s">
        <v>616</v>
      </c>
      <c r="F6" s="1074"/>
      <c r="G6" s="1074"/>
      <c r="H6" s="1074"/>
      <c r="I6" s="1074"/>
      <c r="J6" s="1074"/>
      <c r="K6" s="1074" t="s">
        <v>551</v>
      </c>
      <c r="L6" s="1074"/>
      <c r="M6" s="1074"/>
      <c r="N6" s="1074" t="s">
        <v>572</v>
      </c>
      <c r="O6" s="1074" t="s">
        <v>552</v>
      </c>
      <c r="P6" s="1074" t="s">
        <v>692</v>
      </c>
      <c r="Q6" s="1074" t="s">
        <v>615</v>
      </c>
      <c r="R6" s="1074" t="s">
        <v>617</v>
      </c>
      <c r="S6" s="1074" t="s">
        <v>618</v>
      </c>
      <c r="T6" s="1074" t="s">
        <v>619</v>
      </c>
      <c r="U6" s="1082"/>
    </row>
    <row r="7" spans="1:41" ht="18" customHeight="1">
      <c r="A7" s="1074"/>
      <c r="B7" s="1074"/>
      <c r="C7" s="1074"/>
      <c r="D7" s="1074"/>
      <c r="E7" s="1074" t="s">
        <v>615</v>
      </c>
      <c r="F7" s="1074" t="s">
        <v>471</v>
      </c>
      <c r="G7" s="1074"/>
      <c r="H7" s="1074" t="s">
        <v>620</v>
      </c>
      <c r="I7" s="1074" t="s">
        <v>691</v>
      </c>
      <c r="J7" s="1074" t="s">
        <v>548</v>
      </c>
      <c r="K7" s="1074" t="s">
        <v>615</v>
      </c>
      <c r="L7" s="1074" t="s">
        <v>471</v>
      </c>
      <c r="M7" s="1074"/>
      <c r="N7" s="1074"/>
      <c r="O7" s="1074"/>
      <c r="P7" s="1074"/>
      <c r="Q7" s="1074"/>
      <c r="R7" s="1074"/>
      <c r="S7" s="1074"/>
      <c r="T7" s="1074"/>
      <c r="U7" s="1082"/>
    </row>
    <row r="8" spans="1:41" ht="148.5" customHeight="1" thickBot="1">
      <c r="A8" s="1074"/>
      <c r="B8" s="1074"/>
      <c r="C8" s="1074"/>
      <c r="D8" s="1074"/>
      <c r="E8" s="1074"/>
      <c r="F8" s="785" t="s">
        <v>621</v>
      </c>
      <c r="G8" s="785" t="s">
        <v>597</v>
      </c>
      <c r="H8" s="1074"/>
      <c r="I8" s="1074"/>
      <c r="J8" s="1074"/>
      <c r="K8" s="1074"/>
      <c r="L8" s="785" t="s">
        <v>621</v>
      </c>
      <c r="M8" s="785" t="s">
        <v>781</v>
      </c>
      <c r="N8" s="1074"/>
      <c r="O8" s="1074"/>
      <c r="P8" s="1074"/>
      <c r="Q8" s="1074"/>
      <c r="R8" s="1074"/>
      <c r="S8" s="1074"/>
      <c r="T8" s="1074"/>
      <c r="U8" s="1083"/>
      <c r="W8" s="734" t="s">
        <v>737</v>
      </c>
      <c r="X8" s="734" t="s">
        <v>738</v>
      </c>
      <c r="Y8" s="734" t="s">
        <v>739</v>
      </c>
      <c r="Z8" s="734" t="s">
        <v>740</v>
      </c>
      <c r="AA8" s="734" t="s">
        <v>741</v>
      </c>
      <c r="AB8" s="734" t="s">
        <v>742</v>
      </c>
      <c r="AC8" s="734" t="s">
        <v>743</v>
      </c>
      <c r="AD8" s="734" t="s">
        <v>744</v>
      </c>
      <c r="AE8" s="734" t="s">
        <v>745</v>
      </c>
      <c r="AF8" s="734" t="s">
        <v>746</v>
      </c>
      <c r="AG8" s="734" t="s">
        <v>747</v>
      </c>
      <c r="AH8" s="734" t="s">
        <v>748</v>
      </c>
      <c r="AI8" s="734" t="s">
        <v>749</v>
      </c>
      <c r="AJ8" s="734" t="s">
        <v>750</v>
      </c>
      <c r="AK8" s="734" t="s">
        <v>751</v>
      </c>
      <c r="AL8" s="734" t="s">
        <v>752</v>
      </c>
      <c r="AM8" s="734" t="s">
        <v>753</v>
      </c>
      <c r="AN8" s="734" t="s">
        <v>754</v>
      </c>
      <c r="AO8" s="734" t="s">
        <v>755</v>
      </c>
    </row>
    <row r="9" spans="1:41" ht="26.25" thickBot="1">
      <c r="A9" s="786" t="s">
        <v>12</v>
      </c>
      <c r="B9" s="786" t="s">
        <v>13</v>
      </c>
      <c r="C9" s="786" t="s">
        <v>622</v>
      </c>
      <c r="D9" s="786" t="s">
        <v>623</v>
      </c>
      <c r="E9" s="786" t="s">
        <v>624</v>
      </c>
      <c r="F9" s="786">
        <v>4</v>
      </c>
      <c r="G9" s="786">
        <v>5</v>
      </c>
      <c r="H9" s="786">
        <v>6</v>
      </c>
      <c r="I9" s="786">
        <v>7</v>
      </c>
      <c r="J9" s="786">
        <v>8</v>
      </c>
      <c r="K9" s="786">
        <v>9</v>
      </c>
      <c r="L9" s="786">
        <v>10</v>
      </c>
      <c r="M9" s="786">
        <v>11</v>
      </c>
      <c r="N9" s="786">
        <v>12</v>
      </c>
      <c r="O9" s="786">
        <v>13</v>
      </c>
      <c r="P9" s="786">
        <v>14</v>
      </c>
      <c r="Q9" s="786" t="s">
        <v>625</v>
      </c>
      <c r="R9" s="786">
        <v>16</v>
      </c>
      <c r="S9" s="786">
        <v>17</v>
      </c>
      <c r="T9" s="786">
        <v>18</v>
      </c>
      <c r="U9" s="612">
        <v>19</v>
      </c>
    </row>
    <row r="10" spans="1:41" ht="16.5" customHeight="1">
      <c r="A10" s="782"/>
      <c r="B10" s="783" t="s">
        <v>626</v>
      </c>
      <c r="C10" s="784">
        <f>SUM(C11:C28)</f>
        <v>8570953</v>
      </c>
      <c r="D10" s="784">
        <f t="shared" ref="D10:U10" si="0">SUM(D11:D28)</f>
        <v>8463443</v>
      </c>
      <c r="E10" s="784">
        <f t="shared" si="0"/>
        <v>1354678</v>
      </c>
      <c r="F10" s="784">
        <f t="shared" si="0"/>
        <v>0</v>
      </c>
      <c r="G10" s="784">
        <f t="shared" si="0"/>
        <v>0</v>
      </c>
      <c r="H10" s="784">
        <f>SUM(H11:H28)</f>
        <v>760088</v>
      </c>
      <c r="I10" s="784">
        <f t="shared" si="0"/>
        <v>58090</v>
      </c>
      <c r="J10" s="784">
        <f t="shared" si="0"/>
        <v>536500</v>
      </c>
      <c r="K10" s="784">
        <f t="shared" si="0"/>
        <v>6772573</v>
      </c>
      <c r="L10" s="784">
        <f t="shared" si="0"/>
        <v>3068025</v>
      </c>
      <c r="M10" s="784">
        <f t="shared" si="0"/>
        <v>2550</v>
      </c>
      <c r="N10" s="784">
        <f t="shared" si="0"/>
        <v>0</v>
      </c>
      <c r="O10" s="784">
        <f t="shared" si="0"/>
        <v>106244</v>
      </c>
      <c r="P10" s="784">
        <f t="shared" si="0"/>
        <v>229948</v>
      </c>
      <c r="Q10" s="784">
        <f t="shared" si="0"/>
        <v>107510</v>
      </c>
      <c r="R10" s="784">
        <f t="shared" si="0"/>
        <v>107510</v>
      </c>
      <c r="S10" s="784">
        <f t="shared" si="0"/>
        <v>0</v>
      </c>
      <c r="T10" s="784">
        <f t="shared" si="0"/>
        <v>0</v>
      </c>
      <c r="U10" s="771">
        <f t="shared" si="0"/>
        <v>0</v>
      </c>
      <c r="V10" s="609" t="s">
        <v>620</v>
      </c>
      <c r="W10" s="740">
        <f>SUM(X10:AO10)</f>
        <v>760088</v>
      </c>
      <c r="X10" s="739">
        <f>'[1]DT 2018'!E6+'[1]DT 2018'!E10</f>
        <v>48043</v>
      </c>
      <c r="Y10" s="739">
        <f>'[1]DT 2018'!F6+'[1]DT 2018'!F10</f>
        <v>63305</v>
      </c>
      <c r="Z10" s="739">
        <f>'[1]DT 2018'!G6+'[1]DT 2018'!G10</f>
        <v>64418</v>
      </c>
      <c r="AA10" s="739">
        <f>'[1]DT 2018'!H6+'[1]DT 2018'!H10</f>
        <v>30435</v>
      </c>
      <c r="AB10" s="739">
        <f>'[1]DT 2018'!I6+'[1]DT 2018'!I10</f>
        <v>35444</v>
      </c>
      <c r="AC10" s="739">
        <f>'[1]DT 2018'!J6+'[1]DT 2018'!J10</f>
        <v>82255</v>
      </c>
      <c r="AD10" s="739">
        <f>'[1]DT 2018'!K6+'[1]DT 2018'!K10</f>
        <v>44038</v>
      </c>
      <c r="AE10" s="739">
        <f>'[1]DT 2018'!L6+'[1]DT 2018'!L10</f>
        <v>28099</v>
      </c>
      <c r="AF10" s="739">
        <f>'[1]DT 2018'!M6+'[1]DT 2018'!M10</f>
        <v>38758</v>
      </c>
      <c r="AG10" s="739">
        <f>'[1]DT 2018'!N6+'[1]DT 2018'!N10</f>
        <v>28287</v>
      </c>
      <c r="AH10" s="739">
        <f>'[1]DT 2018'!O6+'[1]DT 2018'!O10</f>
        <v>37284</v>
      </c>
      <c r="AI10" s="739">
        <f>'[1]DT 2018'!P6+'[1]DT 2018'!P10</f>
        <v>36315</v>
      </c>
      <c r="AJ10" s="739">
        <f>'[1]DT 2018'!Q6+'[1]DT 2018'!Q10</f>
        <v>53829</v>
      </c>
      <c r="AK10" s="739">
        <f>'[1]DT 2018'!R6+'[1]DT 2018'!R10</f>
        <v>31860</v>
      </c>
      <c r="AL10" s="739">
        <f>'[1]DT 2018'!S6+'[1]DT 2018'!S10</f>
        <v>26884</v>
      </c>
      <c r="AM10" s="739">
        <f>'[1]DT 2018'!T6+'[1]DT 2018'!T10</f>
        <v>36067</v>
      </c>
      <c r="AN10" s="739">
        <f>'[1]DT 2018'!U6+'[1]DT 2018'!U10</f>
        <v>34828</v>
      </c>
      <c r="AO10" s="739">
        <f>'[1]DT 2018'!V6+'[1]DT 2018'!V10</f>
        <v>39939</v>
      </c>
    </row>
    <row r="11" spans="1:41" ht="15.75">
      <c r="A11" s="774">
        <v>1</v>
      </c>
      <c r="B11" s="777" t="s">
        <v>673</v>
      </c>
      <c r="C11" s="775">
        <f>D11+Q11+U11</f>
        <v>671982</v>
      </c>
      <c r="D11" s="775">
        <f>E11+K11+N11+O11+P11</f>
        <v>671982</v>
      </c>
      <c r="E11" s="775">
        <f>H11+I11+J11</f>
        <v>218043</v>
      </c>
      <c r="F11" s="775"/>
      <c r="G11" s="775"/>
      <c r="H11" s="778">
        <f>$X10</f>
        <v>48043</v>
      </c>
      <c r="I11" s="778">
        <f>$X11</f>
        <v>0</v>
      </c>
      <c r="J11" s="778">
        <f>$X12</f>
        <v>170000</v>
      </c>
      <c r="K11" s="778">
        <f>$X13</f>
        <v>425521</v>
      </c>
      <c r="L11" s="778">
        <f>$X14</f>
        <v>170107</v>
      </c>
      <c r="M11" s="778">
        <f>$X18</f>
        <v>170</v>
      </c>
      <c r="N11" s="775"/>
      <c r="O11" s="778">
        <f>$X15</f>
        <v>6740</v>
      </c>
      <c r="P11" s="778">
        <f>$X16</f>
        <v>21678</v>
      </c>
      <c r="Q11" s="775">
        <f>R11+S11+T11</f>
        <v>0</v>
      </c>
      <c r="R11" s="778">
        <f>$X17</f>
        <v>0</v>
      </c>
      <c r="S11" s="775"/>
      <c r="T11" s="775"/>
      <c r="U11" s="772"/>
      <c r="V11" s="609" t="s">
        <v>766</v>
      </c>
      <c r="W11" s="740">
        <f t="shared" ref="W11:W18" si="1">SUM(X11:AO11)</f>
        <v>58090</v>
      </c>
      <c r="X11" s="739">
        <f>'[1]DT 2018'!E13+'[1]DT 2018'!E19</f>
        <v>0</v>
      </c>
      <c r="Y11" s="739">
        <f>'[1]DT 2018'!F13+'[1]DT 2018'!F19</f>
        <v>25800</v>
      </c>
      <c r="Z11" s="739">
        <f>'[1]DT 2018'!G13+'[1]DT 2018'!G19</f>
        <v>15000</v>
      </c>
      <c r="AA11" s="739">
        <f>'[1]DT 2018'!H13+'[1]DT 2018'!H19</f>
        <v>2500</v>
      </c>
      <c r="AB11" s="739">
        <f>'[1]DT 2018'!I13+'[1]DT 2018'!I19</f>
        <v>2000</v>
      </c>
      <c r="AC11" s="739">
        <f>'[1]DT 2018'!J13+'[1]DT 2018'!J19</f>
        <v>0</v>
      </c>
      <c r="AD11" s="739">
        <f>'[1]DT 2018'!K13+'[1]DT 2018'!K19</f>
        <v>4990</v>
      </c>
      <c r="AE11" s="739">
        <f>'[1]DT 2018'!L13+'[1]DT 2018'!L19</f>
        <v>0</v>
      </c>
      <c r="AF11" s="739">
        <f>'[1]DT 2018'!M13+'[1]DT 2018'!M19</f>
        <v>0</v>
      </c>
      <c r="AG11" s="739">
        <f>'[1]DT 2018'!N13+'[1]DT 2018'!N19</f>
        <v>0</v>
      </c>
      <c r="AH11" s="739">
        <f>'[1]DT 2018'!O13+'[1]DT 2018'!O19</f>
        <v>4500</v>
      </c>
      <c r="AI11" s="739">
        <f>'[1]DT 2018'!P13+'[1]DT 2018'!P19</f>
        <v>500</v>
      </c>
      <c r="AJ11" s="739">
        <f>'[1]DT 2018'!Q13+'[1]DT 2018'!Q19</f>
        <v>1500</v>
      </c>
      <c r="AK11" s="739">
        <f>'[1]DT 2018'!R13+'[1]DT 2018'!R19</f>
        <v>0</v>
      </c>
      <c r="AL11" s="739">
        <f>'[1]DT 2018'!S13+'[1]DT 2018'!S19</f>
        <v>0</v>
      </c>
      <c r="AM11" s="739">
        <f>'[1]DT 2018'!T13+'[1]DT 2018'!T19</f>
        <v>800</v>
      </c>
      <c r="AN11" s="739">
        <f>'[1]DT 2018'!U13+'[1]DT 2018'!U19</f>
        <v>500</v>
      </c>
      <c r="AO11" s="739">
        <f>'[1]DT 2018'!V13+'[1]DT 2018'!V19</f>
        <v>0</v>
      </c>
    </row>
    <row r="12" spans="1:41" ht="15.75">
      <c r="A12" s="774">
        <v>2</v>
      </c>
      <c r="B12" s="777" t="s">
        <v>674</v>
      </c>
      <c r="C12" s="775">
        <f t="shared" ref="C12:C28" si="2">D12+Q12+U12</f>
        <v>680414</v>
      </c>
      <c r="D12" s="775">
        <f t="shared" ref="D12:D28" si="3">E12+K12+N12+O12+P12</f>
        <v>680414</v>
      </c>
      <c r="E12" s="775">
        <f t="shared" ref="E12:E28" si="4">H12+I12+J12</f>
        <v>269105</v>
      </c>
      <c r="F12" s="775"/>
      <c r="G12" s="775"/>
      <c r="H12" s="778">
        <f>$Y10</f>
        <v>63305</v>
      </c>
      <c r="I12" s="778">
        <f>$Y11</f>
        <v>25800</v>
      </c>
      <c r="J12" s="778">
        <f>$Y12</f>
        <v>180000</v>
      </c>
      <c r="K12" s="778">
        <f>$Y13</f>
        <v>383307</v>
      </c>
      <c r="L12" s="778">
        <f>$Y14</f>
        <v>150197</v>
      </c>
      <c r="M12" s="778">
        <f>$Y18</f>
        <v>170</v>
      </c>
      <c r="N12" s="775"/>
      <c r="O12" s="778">
        <f>$Y15</f>
        <v>6032</v>
      </c>
      <c r="P12" s="778">
        <f>$Y16</f>
        <v>21970</v>
      </c>
      <c r="Q12" s="775">
        <f t="shared" ref="Q12:Q28" si="5">R12+S12+T12</f>
        <v>0</v>
      </c>
      <c r="R12" s="778">
        <f>$Y17</f>
        <v>0</v>
      </c>
      <c r="S12" s="775"/>
      <c r="T12" s="775"/>
      <c r="U12" s="772"/>
      <c r="V12" s="609" t="s">
        <v>758</v>
      </c>
      <c r="W12" s="740">
        <f t="shared" si="1"/>
        <v>536500</v>
      </c>
      <c r="X12" s="739">
        <f>'[1]DT 2018'!E23</f>
        <v>170000</v>
      </c>
      <c r="Y12" s="739">
        <f>'[1]DT 2018'!F23</f>
        <v>180000</v>
      </c>
      <c r="Z12" s="739">
        <f>'[1]DT 2018'!G23</f>
        <v>70000</v>
      </c>
      <c r="AA12" s="739">
        <f>'[1]DT 2018'!H23</f>
        <v>15000</v>
      </c>
      <c r="AB12" s="739">
        <f>'[1]DT 2018'!I23</f>
        <v>25000</v>
      </c>
      <c r="AC12" s="739">
        <f>'[1]DT 2018'!J23</f>
        <v>10000</v>
      </c>
      <c r="AD12" s="739">
        <f>'[1]DT 2018'!K23</f>
        <v>20000</v>
      </c>
      <c r="AE12" s="739">
        <f>'[1]DT 2018'!L23</f>
        <v>13500</v>
      </c>
      <c r="AF12" s="739">
        <f>'[1]DT 2018'!M23</f>
        <v>5500</v>
      </c>
      <c r="AG12" s="739">
        <f>'[1]DT 2018'!N23</f>
        <v>3200</v>
      </c>
      <c r="AH12" s="739">
        <f>'[1]DT 2018'!O23</f>
        <v>5000</v>
      </c>
      <c r="AI12" s="739">
        <f>'[1]DT 2018'!P23</f>
        <v>1500</v>
      </c>
      <c r="AJ12" s="739">
        <f>'[1]DT 2018'!Q23</f>
        <v>1500</v>
      </c>
      <c r="AK12" s="739">
        <f>'[1]DT 2018'!R23</f>
        <v>1000</v>
      </c>
      <c r="AL12" s="739">
        <f>'[1]DT 2018'!S23</f>
        <v>3000</v>
      </c>
      <c r="AM12" s="739">
        <f>'[1]DT 2018'!T23</f>
        <v>300</v>
      </c>
      <c r="AN12" s="739">
        <f>'[1]DT 2018'!U23</f>
        <v>5000</v>
      </c>
      <c r="AO12" s="739">
        <f>'[1]DT 2018'!V23</f>
        <v>7000</v>
      </c>
    </row>
    <row r="13" spans="1:41" ht="15.75">
      <c r="A13" s="774">
        <v>3</v>
      </c>
      <c r="B13" s="777" t="s">
        <v>675</v>
      </c>
      <c r="C13" s="775">
        <f t="shared" si="2"/>
        <v>903569</v>
      </c>
      <c r="D13" s="775">
        <f t="shared" si="3"/>
        <v>899569</v>
      </c>
      <c r="E13" s="775">
        <f t="shared" si="4"/>
        <v>149418</v>
      </c>
      <c r="F13" s="775"/>
      <c r="G13" s="775"/>
      <c r="H13" s="778">
        <f>$Z10</f>
        <v>64418</v>
      </c>
      <c r="I13" s="778">
        <f>$Z11</f>
        <v>15000</v>
      </c>
      <c r="J13" s="778">
        <f>$Z12</f>
        <v>70000</v>
      </c>
      <c r="K13" s="778">
        <f>$Z13</f>
        <v>685358</v>
      </c>
      <c r="L13" s="778">
        <f>$Z14</f>
        <v>286063</v>
      </c>
      <c r="M13" s="778">
        <f>$Z18</f>
        <v>150</v>
      </c>
      <c r="N13" s="775"/>
      <c r="O13" s="778">
        <f>$Z15</f>
        <v>10050</v>
      </c>
      <c r="P13" s="778">
        <f>$Z16</f>
        <v>54743</v>
      </c>
      <c r="Q13" s="775">
        <f t="shared" si="5"/>
        <v>4000</v>
      </c>
      <c r="R13" s="778">
        <f>$Z17</f>
        <v>4000</v>
      </c>
      <c r="S13" s="775"/>
      <c r="T13" s="775"/>
      <c r="U13" s="772"/>
      <c r="V13" s="609" t="s">
        <v>551</v>
      </c>
      <c r="W13" s="740">
        <f t="shared" si="1"/>
        <v>6772573</v>
      </c>
      <c r="X13" s="739">
        <f>'[1]DT 2018'!E101</f>
        <v>425521</v>
      </c>
      <c r="Y13" s="739">
        <f>'[1]DT 2018'!F101</f>
        <v>383307</v>
      </c>
      <c r="Z13" s="739">
        <f>'[1]DT 2018'!G101</f>
        <v>685358</v>
      </c>
      <c r="AA13" s="739">
        <f>'[1]DT 2018'!H101</f>
        <v>494703</v>
      </c>
      <c r="AB13" s="739">
        <f>'[1]DT 2018'!I101</f>
        <v>599475</v>
      </c>
      <c r="AC13" s="739">
        <f>'[1]DT 2018'!J101</f>
        <v>505474</v>
      </c>
      <c r="AD13" s="739">
        <f>'[1]DT 2018'!K101</f>
        <v>628957</v>
      </c>
      <c r="AE13" s="739">
        <f>'[1]DT 2018'!L101</f>
        <v>296789</v>
      </c>
      <c r="AF13" s="739">
        <f>'[1]DT 2018'!M101</f>
        <v>410552</v>
      </c>
      <c r="AG13" s="739">
        <f>'[1]DT 2018'!N101</f>
        <v>191419</v>
      </c>
      <c r="AH13" s="739">
        <f>'[1]DT 2018'!O101</f>
        <v>367133</v>
      </c>
      <c r="AI13" s="739">
        <f>'[1]DT 2018'!P101</f>
        <v>269038</v>
      </c>
      <c r="AJ13" s="739">
        <f>'[1]DT 2018'!Q101</f>
        <v>249931</v>
      </c>
      <c r="AK13" s="739">
        <f>'[1]DT 2018'!R101</f>
        <v>233028</v>
      </c>
      <c r="AL13" s="739">
        <f>'[1]DT 2018'!S101</f>
        <v>213845</v>
      </c>
      <c r="AM13" s="739">
        <f>'[1]DT 2018'!T101</f>
        <v>262645</v>
      </c>
      <c r="AN13" s="739">
        <f>'[1]DT 2018'!U101</f>
        <v>316099</v>
      </c>
      <c r="AO13" s="739">
        <f>'[1]DT 2018'!V101</f>
        <v>239299</v>
      </c>
    </row>
    <row r="14" spans="1:41" ht="15.75">
      <c r="A14" s="774">
        <v>4</v>
      </c>
      <c r="B14" s="777" t="s">
        <v>677</v>
      </c>
      <c r="C14" s="775">
        <f t="shared" si="2"/>
        <v>574881</v>
      </c>
      <c r="D14" s="775">
        <f t="shared" si="3"/>
        <v>574881</v>
      </c>
      <c r="E14" s="775">
        <f t="shared" si="4"/>
        <v>47935</v>
      </c>
      <c r="F14" s="775"/>
      <c r="G14" s="775"/>
      <c r="H14" s="778">
        <f>$AA10</f>
        <v>30435</v>
      </c>
      <c r="I14" s="778">
        <f>$AA11</f>
        <v>2500</v>
      </c>
      <c r="J14" s="778">
        <f>$AA12</f>
        <v>15000</v>
      </c>
      <c r="K14" s="778">
        <f>$AA13</f>
        <v>494703</v>
      </c>
      <c r="L14" s="778">
        <f>$AA14</f>
        <v>237025</v>
      </c>
      <c r="M14" s="778">
        <f>$AA18</f>
        <v>130</v>
      </c>
      <c r="N14" s="775"/>
      <c r="O14" s="778">
        <f>$AA15</f>
        <v>7988</v>
      </c>
      <c r="P14" s="778">
        <f>$AA16</f>
        <v>24255</v>
      </c>
      <c r="Q14" s="775">
        <f t="shared" si="5"/>
        <v>0</v>
      </c>
      <c r="R14" s="778">
        <f>$AA17</f>
        <v>0</v>
      </c>
      <c r="S14" s="775"/>
      <c r="T14" s="775"/>
      <c r="U14" s="772"/>
      <c r="V14" s="609" t="s">
        <v>759</v>
      </c>
      <c r="W14" s="740">
        <f t="shared" si="1"/>
        <v>3068025</v>
      </c>
      <c r="X14" s="739">
        <f>'[1]DT 2018'!E102</f>
        <v>170107</v>
      </c>
      <c r="Y14" s="739">
        <f>'[1]DT 2018'!F102</f>
        <v>150197</v>
      </c>
      <c r="Z14" s="739">
        <f>'[1]DT 2018'!G102</f>
        <v>286063</v>
      </c>
      <c r="AA14" s="739">
        <f>'[1]DT 2018'!H102</f>
        <v>237025</v>
      </c>
      <c r="AB14" s="739">
        <f>'[1]DT 2018'!I102</f>
        <v>287391</v>
      </c>
      <c r="AC14" s="739">
        <f>'[1]DT 2018'!J102</f>
        <v>240133</v>
      </c>
      <c r="AD14" s="739">
        <f>'[1]DT 2018'!K102</f>
        <v>331156</v>
      </c>
      <c r="AE14" s="739">
        <f>'[1]DT 2018'!L102</f>
        <v>132900</v>
      </c>
      <c r="AF14" s="739">
        <f>'[1]DT 2018'!M102</f>
        <v>185897</v>
      </c>
      <c r="AG14" s="739">
        <f>'[1]DT 2018'!N102</f>
        <v>72076</v>
      </c>
      <c r="AH14" s="739">
        <f>'[1]DT 2018'!O102</f>
        <v>173120</v>
      </c>
      <c r="AI14" s="739">
        <f>'[1]DT 2018'!P102</f>
        <v>117601</v>
      </c>
      <c r="AJ14" s="739">
        <f>'[1]DT 2018'!Q102</f>
        <v>104432</v>
      </c>
      <c r="AK14" s="739">
        <f>'[1]DT 2018'!R102</f>
        <v>95977</v>
      </c>
      <c r="AL14" s="739">
        <f>'[1]DT 2018'!S102</f>
        <v>86204</v>
      </c>
      <c r="AM14" s="739">
        <f>'[1]DT 2018'!T102</f>
        <v>109213</v>
      </c>
      <c r="AN14" s="739">
        <f>'[1]DT 2018'!U102</f>
        <v>168006</v>
      </c>
      <c r="AO14" s="739">
        <f>'[1]DT 2018'!V102</f>
        <v>120527</v>
      </c>
    </row>
    <row r="15" spans="1:41" ht="15.75">
      <c r="A15" s="774">
        <v>5</v>
      </c>
      <c r="B15" s="777" t="s">
        <v>678</v>
      </c>
      <c r="C15" s="775">
        <f t="shared" si="2"/>
        <v>704473</v>
      </c>
      <c r="D15" s="775">
        <f t="shared" si="3"/>
        <v>679473</v>
      </c>
      <c r="E15" s="775">
        <f t="shared" si="4"/>
        <v>62444</v>
      </c>
      <c r="F15" s="775"/>
      <c r="G15" s="775"/>
      <c r="H15" s="778">
        <f>$AB10</f>
        <v>35444</v>
      </c>
      <c r="I15" s="778">
        <f>$AB11</f>
        <v>2000</v>
      </c>
      <c r="J15" s="778">
        <f>$AB12</f>
        <v>25000</v>
      </c>
      <c r="K15" s="778">
        <f>$AB13</f>
        <v>599475</v>
      </c>
      <c r="L15" s="778">
        <f>$AB14</f>
        <v>287391</v>
      </c>
      <c r="M15" s="778">
        <f>$AB18</f>
        <v>150</v>
      </c>
      <c r="N15" s="775"/>
      <c r="O15" s="778">
        <f>$AB15</f>
        <v>9084</v>
      </c>
      <c r="P15" s="778">
        <f>$AB16</f>
        <v>8470</v>
      </c>
      <c r="Q15" s="775">
        <f t="shared" si="5"/>
        <v>25000</v>
      </c>
      <c r="R15" s="778">
        <f>$AB17</f>
        <v>25000</v>
      </c>
      <c r="S15" s="775"/>
      <c r="T15" s="775"/>
      <c r="U15" s="772"/>
      <c r="V15" s="609" t="s">
        <v>760</v>
      </c>
      <c r="W15" s="740">
        <f t="shared" si="1"/>
        <v>106244</v>
      </c>
      <c r="X15" s="739">
        <f>'[1]DT 2018'!E79</f>
        <v>6740</v>
      </c>
      <c r="Y15" s="739">
        <f>'[1]DT 2018'!F79</f>
        <v>6032</v>
      </c>
      <c r="Z15" s="739">
        <f>'[1]DT 2018'!G79</f>
        <v>10050</v>
      </c>
      <c r="AA15" s="739">
        <f>'[1]DT 2018'!H79</f>
        <v>7988</v>
      </c>
      <c r="AB15" s="739">
        <f>'[1]DT 2018'!I79</f>
        <v>9084</v>
      </c>
      <c r="AC15" s="739">
        <f>'[1]DT 2018'!J79</f>
        <v>8823</v>
      </c>
      <c r="AD15" s="739">
        <f>'[1]DT 2018'!K79</f>
        <v>9659</v>
      </c>
      <c r="AE15" s="739">
        <f>'[1]DT 2018'!L79</f>
        <v>4556</v>
      </c>
      <c r="AF15" s="739">
        <f>'[1]DT 2018'!M79</f>
        <v>6048</v>
      </c>
      <c r="AG15" s="739">
        <f>'[1]DT 2018'!N79</f>
        <v>2850</v>
      </c>
      <c r="AH15" s="739">
        <f>'[1]DT 2018'!O79</f>
        <v>5651</v>
      </c>
      <c r="AI15" s="739">
        <f>'[1]DT 2018'!P79</f>
        <v>4193</v>
      </c>
      <c r="AJ15" s="739">
        <f>'[1]DT 2018'!Q79</f>
        <v>4357</v>
      </c>
      <c r="AK15" s="739">
        <f>'[1]DT 2018'!R79</f>
        <v>3879</v>
      </c>
      <c r="AL15" s="739">
        <f>'[1]DT 2018'!S79</f>
        <v>3335</v>
      </c>
      <c r="AM15" s="739">
        <f>'[1]DT 2018'!T79</f>
        <v>4122</v>
      </c>
      <c r="AN15" s="739">
        <f>'[1]DT 2018'!U79</f>
        <v>5210</v>
      </c>
      <c r="AO15" s="739">
        <f>'[1]DT 2018'!V79</f>
        <v>3667</v>
      </c>
    </row>
    <row r="16" spans="1:41" ht="15.75">
      <c r="A16" s="774">
        <v>6</v>
      </c>
      <c r="B16" s="777" t="s">
        <v>676</v>
      </c>
      <c r="C16" s="775">
        <f t="shared" si="2"/>
        <v>640375</v>
      </c>
      <c r="D16" s="775">
        <f t="shared" si="3"/>
        <v>636375</v>
      </c>
      <c r="E16" s="775">
        <f t="shared" si="4"/>
        <v>92255</v>
      </c>
      <c r="F16" s="775"/>
      <c r="G16" s="775"/>
      <c r="H16" s="778">
        <f>$AC10</f>
        <v>82255</v>
      </c>
      <c r="I16" s="778">
        <f>$AC11</f>
        <v>0</v>
      </c>
      <c r="J16" s="778">
        <f>$AC12</f>
        <v>10000</v>
      </c>
      <c r="K16" s="778">
        <f>$AC13</f>
        <v>505474</v>
      </c>
      <c r="L16" s="778">
        <f>$AC14</f>
        <v>240133</v>
      </c>
      <c r="M16" s="778">
        <f>$AC18</f>
        <v>170</v>
      </c>
      <c r="N16" s="775"/>
      <c r="O16" s="778">
        <f>$AC15</f>
        <v>8823</v>
      </c>
      <c r="P16" s="778">
        <f>$AC16</f>
        <v>29823</v>
      </c>
      <c r="Q16" s="775">
        <f t="shared" si="5"/>
        <v>4000</v>
      </c>
      <c r="R16" s="778">
        <f>$AC17</f>
        <v>4000</v>
      </c>
      <c r="S16" s="775"/>
      <c r="T16" s="775"/>
      <c r="U16" s="772"/>
      <c r="V16" s="609" t="s">
        <v>694</v>
      </c>
      <c r="W16" s="740">
        <f t="shared" si="1"/>
        <v>229948</v>
      </c>
      <c r="X16" s="739">
        <f>'[1]DT 2018'!E83+'[1]DT 2018'!E99</f>
        <v>21678</v>
      </c>
      <c r="Y16" s="739">
        <f>'[1]DT 2018'!F83+'[1]DT 2018'!F99</f>
        <v>21970</v>
      </c>
      <c r="Z16" s="739">
        <f>'[1]DT 2018'!G83+'[1]DT 2018'!G99</f>
        <v>54743</v>
      </c>
      <c r="AA16" s="739">
        <f>'[1]DT 2018'!H83+'[1]DT 2018'!H99</f>
        <v>24255</v>
      </c>
      <c r="AB16" s="739">
        <f>'[1]DT 2018'!I83+'[1]DT 2018'!I99</f>
        <v>8470</v>
      </c>
      <c r="AC16" s="739">
        <f>'[1]DT 2018'!J83+'[1]DT 2018'!J99</f>
        <v>29823</v>
      </c>
      <c r="AD16" s="739">
        <f>'[1]DT 2018'!K83+'[1]DT 2018'!K99</f>
        <v>17546</v>
      </c>
      <c r="AE16" s="739">
        <f>'[1]DT 2018'!L83+'[1]DT 2018'!L99</f>
        <v>5245</v>
      </c>
      <c r="AF16" s="739">
        <f>'[1]DT 2018'!M83+'[1]DT 2018'!M99</f>
        <v>5102</v>
      </c>
      <c r="AG16" s="739">
        <f>'[1]DT 2018'!N83+'[1]DT 2018'!N99</f>
        <v>4103</v>
      </c>
      <c r="AH16" s="739">
        <f>'[1]DT 2018'!O83+'[1]DT 2018'!O99</f>
        <v>3711</v>
      </c>
      <c r="AI16" s="739">
        <f>'[1]DT 2018'!P83+'[1]DT 2018'!P99</f>
        <v>2527</v>
      </c>
      <c r="AJ16" s="739">
        <f>'[1]DT 2018'!Q83+'[1]DT 2018'!Q99</f>
        <v>10246</v>
      </c>
      <c r="AK16" s="739">
        <f>'[1]DT 2018'!R83+'[1]DT 2018'!R99</f>
        <v>2715</v>
      </c>
      <c r="AL16" s="739">
        <f>'[1]DT 2018'!S83+'[1]DT 2018'!S99</f>
        <v>5379</v>
      </c>
      <c r="AM16" s="739">
        <f>'[1]DT 2018'!T83+'[1]DT 2018'!T99</f>
        <v>2708</v>
      </c>
      <c r="AN16" s="739">
        <f>'[1]DT 2018'!U83+'[1]DT 2018'!U99</f>
        <v>5236</v>
      </c>
      <c r="AO16" s="739">
        <f>'[1]DT 2018'!V83+'[1]DT 2018'!V99</f>
        <v>4491</v>
      </c>
    </row>
    <row r="17" spans="1:41" ht="15.75">
      <c r="A17" s="774">
        <v>7</v>
      </c>
      <c r="B17" s="777" t="s">
        <v>679</v>
      </c>
      <c r="C17" s="775">
        <f t="shared" si="2"/>
        <v>725190</v>
      </c>
      <c r="D17" s="775">
        <f t="shared" si="3"/>
        <v>725190</v>
      </c>
      <c r="E17" s="775">
        <f t="shared" si="4"/>
        <v>69028</v>
      </c>
      <c r="F17" s="775"/>
      <c r="G17" s="775"/>
      <c r="H17" s="778">
        <f>$AD10</f>
        <v>44038</v>
      </c>
      <c r="I17" s="778">
        <f>$AD11</f>
        <v>4990</v>
      </c>
      <c r="J17" s="778">
        <f>$AD12</f>
        <v>20000</v>
      </c>
      <c r="K17" s="778">
        <f>$AD13</f>
        <v>628957</v>
      </c>
      <c r="L17" s="778">
        <f>$AD14</f>
        <v>331156</v>
      </c>
      <c r="M17" s="778">
        <f>$AD18</f>
        <v>120</v>
      </c>
      <c r="N17" s="775"/>
      <c r="O17" s="778">
        <f>$AD15</f>
        <v>9659</v>
      </c>
      <c r="P17" s="778">
        <f>$AD16</f>
        <v>17546</v>
      </c>
      <c r="Q17" s="775">
        <f t="shared" si="5"/>
        <v>0</v>
      </c>
      <c r="R17" s="778">
        <f>$AD17</f>
        <v>0</v>
      </c>
      <c r="S17" s="775"/>
      <c r="T17" s="775"/>
      <c r="U17" s="772"/>
      <c r="V17" s="609" t="s">
        <v>504</v>
      </c>
      <c r="W17" s="740">
        <f t="shared" si="1"/>
        <v>107510</v>
      </c>
      <c r="X17" s="609">
        <f>'[1]DT 2018'!E17</f>
        <v>0</v>
      </c>
      <c r="Y17" s="609">
        <f>'[1]DT 2018'!F17</f>
        <v>0</v>
      </c>
      <c r="Z17" s="609">
        <f>'[1]DT 2018'!G17</f>
        <v>4000</v>
      </c>
      <c r="AA17" s="609">
        <f>'[1]DT 2018'!H17</f>
        <v>0</v>
      </c>
      <c r="AB17" s="609">
        <f>'[1]DT 2018'!I17</f>
        <v>25000</v>
      </c>
      <c r="AC17" s="609">
        <f>'[1]DT 2018'!J17</f>
        <v>4000</v>
      </c>
      <c r="AD17" s="609">
        <f>'[1]DT 2018'!K17</f>
        <v>0</v>
      </c>
      <c r="AE17" s="609">
        <f>'[1]DT 2018'!L17</f>
        <v>8000</v>
      </c>
      <c r="AF17" s="609">
        <f>'[1]DT 2018'!M17</f>
        <v>20000</v>
      </c>
      <c r="AG17" s="609">
        <f>'[1]DT 2018'!N17</f>
        <v>4000</v>
      </c>
      <c r="AH17" s="609">
        <f>'[1]DT 2018'!O17</f>
        <v>0</v>
      </c>
      <c r="AI17" s="609">
        <f>'[1]DT 2018'!P17</f>
        <v>0</v>
      </c>
      <c r="AJ17" s="609">
        <f>'[1]DT 2018'!Q17</f>
        <v>17510</v>
      </c>
      <c r="AK17" s="609">
        <f>'[1]DT 2018'!R17</f>
        <v>0</v>
      </c>
      <c r="AL17" s="609">
        <f>'[1]DT 2018'!S17</f>
        <v>0</v>
      </c>
      <c r="AM17" s="609">
        <f>'[1]DT 2018'!T17</f>
        <v>0</v>
      </c>
      <c r="AN17" s="609">
        <f>'[1]DT 2018'!U17</f>
        <v>0</v>
      </c>
      <c r="AO17" s="609">
        <f>'[1]DT 2018'!V17</f>
        <v>25000</v>
      </c>
    </row>
    <row r="18" spans="1:41" ht="15.75">
      <c r="A18" s="774">
        <v>8</v>
      </c>
      <c r="B18" s="777" t="s">
        <v>680</v>
      </c>
      <c r="C18" s="775">
        <f t="shared" si="2"/>
        <v>356189</v>
      </c>
      <c r="D18" s="775">
        <f t="shared" si="3"/>
        <v>348189</v>
      </c>
      <c r="E18" s="775">
        <f t="shared" si="4"/>
        <v>41599</v>
      </c>
      <c r="F18" s="775"/>
      <c r="G18" s="775"/>
      <c r="H18" s="778">
        <f>$AE10</f>
        <v>28099</v>
      </c>
      <c r="I18" s="778">
        <f>$AE11</f>
        <v>0</v>
      </c>
      <c r="J18" s="778">
        <f>$AE12</f>
        <v>13500</v>
      </c>
      <c r="K18" s="778">
        <f>$AE13</f>
        <v>296789</v>
      </c>
      <c r="L18" s="778">
        <f>$AE14</f>
        <v>132900</v>
      </c>
      <c r="M18" s="778">
        <f>$AE18</f>
        <v>120</v>
      </c>
      <c r="N18" s="775"/>
      <c r="O18" s="778">
        <f>$AE15</f>
        <v>4556</v>
      </c>
      <c r="P18" s="778">
        <f>$AE16</f>
        <v>5245</v>
      </c>
      <c r="Q18" s="775">
        <f t="shared" si="5"/>
        <v>8000</v>
      </c>
      <c r="R18" s="778">
        <f>$AE17</f>
        <v>8000</v>
      </c>
      <c r="S18" s="775"/>
      <c r="T18" s="775"/>
      <c r="U18" s="772"/>
      <c r="V18" s="609" t="s">
        <v>764</v>
      </c>
      <c r="W18" s="740">
        <f t="shared" si="1"/>
        <v>2550</v>
      </c>
      <c r="X18" s="609">
        <f>'[1]DT 2018'!E77</f>
        <v>170</v>
      </c>
      <c r="Y18" s="609">
        <f>'[1]DT 2018'!F77</f>
        <v>170</v>
      </c>
      <c r="Z18" s="609">
        <f>'[1]DT 2018'!G77</f>
        <v>150</v>
      </c>
      <c r="AA18" s="609">
        <f>'[1]DT 2018'!H77</f>
        <v>130</v>
      </c>
      <c r="AB18" s="609">
        <f>'[1]DT 2018'!I77</f>
        <v>150</v>
      </c>
      <c r="AC18" s="609">
        <f>'[1]DT 2018'!J77</f>
        <v>170</v>
      </c>
      <c r="AD18" s="609">
        <f>'[1]DT 2018'!K77</f>
        <v>120</v>
      </c>
      <c r="AE18" s="609">
        <f>'[1]DT 2018'!L77</f>
        <v>120</v>
      </c>
      <c r="AF18" s="609">
        <f>'[1]DT 2018'!M77</f>
        <v>140</v>
      </c>
      <c r="AG18" s="609">
        <f>'[1]DT 2018'!N77</f>
        <v>170</v>
      </c>
      <c r="AH18" s="609">
        <f>'[1]DT 2018'!O77</f>
        <v>140</v>
      </c>
      <c r="AI18" s="609">
        <f>'[1]DT 2018'!P77</f>
        <v>150</v>
      </c>
      <c r="AJ18" s="609">
        <f>'[1]DT 2018'!Q77</f>
        <v>120</v>
      </c>
      <c r="AK18" s="609">
        <f>'[1]DT 2018'!R77</f>
        <v>100</v>
      </c>
      <c r="AL18" s="609">
        <f>'[1]DT 2018'!S77</f>
        <v>150</v>
      </c>
      <c r="AM18" s="609">
        <f>'[1]DT 2018'!T77</f>
        <v>150</v>
      </c>
      <c r="AN18" s="609">
        <f>'[1]DT 2018'!U77</f>
        <v>130</v>
      </c>
      <c r="AO18" s="609">
        <f>'[1]DT 2018'!V77</f>
        <v>120</v>
      </c>
    </row>
    <row r="19" spans="1:41" ht="15.75">
      <c r="A19" s="774">
        <v>9</v>
      </c>
      <c r="B19" s="777" t="s">
        <v>681</v>
      </c>
      <c r="C19" s="775">
        <f t="shared" si="2"/>
        <v>485960</v>
      </c>
      <c r="D19" s="775">
        <f t="shared" si="3"/>
        <v>465960</v>
      </c>
      <c r="E19" s="775">
        <f t="shared" si="4"/>
        <v>44258</v>
      </c>
      <c r="F19" s="775"/>
      <c r="G19" s="775"/>
      <c r="H19" s="778">
        <f>$AF10</f>
        <v>38758</v>
      </c>
      <c r="I19" s="778">
        <f>$AF11</f>
        <v>0</v>
      </c>
      <c r="J19" s="778">
        <f>$AF12</f>
        <v>5500</v>
      </c>
      <c r="K19" s="778">
        <f>$AF13</f>
        <v>410552</v>
      </c>
      <c r="L19" s="778">
        <f>$AF14</f>
        <v>185897</v>
      </c>
      <c r="M19" s="778">
        <f>$AF18</f>
        <v>140</v>
      </c>
      <c r="N19" s="775"/>
      <c r="O19" s="778">
        <f>$AF15</f>
        <v>6048</v>
      </c>
      <c r="P19" s="778">
        <f>$AF16</f>
        <v>5102</v>
      </c>
      <c r="Q19" s="775">
        <f t="shared" si="5"/>
        <v>20000</v>
      </c>
      <c r="R19" s="778">
        <f>$AF17</f>
        <v>20000</v>
      </c>
      <c r="S19" s="775"/>
      <c r="T19" s="775"/>
      <c r="U19" s="772"/>
      <c r="W19" s="745">
        <f>W10+W11+W12+W13+W15+W16+W17</f>
        <v>8570953</v>
      </c>
      <c r="X19" s="745">
        <f t="shared" ref="X19:AO19" si="6">X10+X11+X12+X13+X15+X16+X17</f>
        <v>671982</v>
      </c>
      <c r="Y19" s="745">
        <f t="shared" si="6"/>
        <v>680414</v>
      </c>
      <c r="Z19" s="745">
        <f t="shared" si="6"/>
        <v>903569</v>
      </c>
      <c r="AA19" s="745">
        <f t="shared" si="6"/>
        <v>574881</v>
      </c>
      <c r="AB19" s="745">
        <f t="shared" si="6"/>
        <v>704473</v>
      </c>
      <c r="AC19" s="745">
        <f t="shared" si="6"/>
        <v>640375</v>
      </c>
      <c r="AD19" s="745">
        <f t="shared" si="6"/>
        <v>725190</v>
      </c>
      <c r="AE19" s="745">
        <f t="shared" si="6"/>
        <v>356189</v>
      </c>
      <c r="AF19" s="745">
        <f t="shared" si="6"/>
        <v>485960</v>
      </c>
      <c r="AG19" s="745">
        <f t="shared" si="6"/>
        <v>233859</v>
      </c>
      <c r="AH19" s="745">
        <f t="shared" si="6"/>
        <v>423279</v>
      </c>
      <c r="AI19" s="745">
        <f t="shared" si="6"/>
        <v>314073</v>
      </c>
      <c r="AJ19" s="745">
        <f t="shared" si="6"/>
        <v>338873</v>
      </c>
      <c r="AK19" s="745">
        <f t="shared" si="6"/>
        <v>272482</v>
      </c>
      <c r="AL19" s="745">
        <f t="shared" si="6"/>
        <v>252443</v>
      </c>
      <c r="AM19" s="745">
        <f t="shared" si="6"/>
        <v>306642</v>
      </c>
      <c r="AN19" s="745">
        <f t="shared" si="6"/>
        <v>366873</v>
      </c>
      <c r="AO19" s="745">
        <f t="shared" si="6"/>
        <v>319396</v>
      </c>
    </row>
    <row r="20" spans="1:41" ht="15.75">
      <c r="A20" s="774">
        <v>10</v>
      </c>
      <c r="B20" s="777" t="s">
        <v>682</v>
      </c>
      <c r="C20" s="775">
        <f t="shared" si="2"/>
        <v>233859</v>
      </c>
      <c r="D20" s="775">
        <f t="shared" si="3"/>
        <v>229859</v>
      </c>
      <c r="E20" s="775">
        <f t="shared" si="4"/>
        <v>31487</v>
      </c>
      <c r="F20" s="775"/>
      <c r="G20" s="775"/>
      <c r="H20" s="778">
        <f>$AG10</f>
        <v>28287</v>
      </c>
      <c r="I20" s="778">
        <f>$AG11</f>
        <v>0</v>
      </c>
      <c r="J20" s="778">
        <f>$AG12</f>
        <v>3200</v>
      </c>
      <c r="K20" s="778">
        <f>$AG13</f>
        <v>191419</v>
      </c>
      <c r="L20" s="778">
        <f>$AG14</f>
        <v>72076</v>
      </c>
      <c r="M20" s="778">
        <f>$AG18</f>
        <v>170</v>
      </c>
      <c r="N20" s="775"/>
      <c r="O20" s="778">
        <f>$AG15</f>
        <v>2850</v>
      </c>
      <c r="P20" s="778">
        <f>$AG16</f>
        <v>4103</v>
      </c>
      <c r="Q20" s="775">
        <f t="shared" si="5"/>
        <v>4000</v>
      </c>
      <c r="R20" s="778">
        <f>$AG17</f>
        <v>4000</v>
      </c>
      <c r="S20" s="775"/>
      <c r="T20" s="775"/>
      <c r="U20" s="772"/>
      <c r="W20" s="740">
        <f t="shared" ref="W20:W21" si="7">SUM(X20:AO20)</f>
        <v>8570953</v>
      </c>
      <c r="X20" s="609">
        <f>'[1]DT 2018'!E3</f>
        <v>671982</v>
      </c>
      <c r="Y20" s="609">
        <f>'[1]DT 2018'!F3</f>
        <v>680414</v>
      </c>
      <c r="Z20" s="609">
        <f>'[1]DT 2018'!G3</f>
        <v>903569</v>
      </c>
      <c r="AA20" s="609">
        <f>'[1]DT 2018'!H3</f>
        <v>574881</v>
      </c>
      <c r="AB20" s="609">
        <f>'[1]DT 2018'!I3</f>
        <v>704473</v>
      </c>
      <c r="AC20" s="609">
        <f>'[1]DT 2018'!J3</f>
        <v>640375</v>
      </c>
      <c r="AD20" s="609">
        <f>'[1]DT 2018'!K3</f>
        <v>725190</v>
      </c>
      <c r="AE20" s="609">
        <f>'[1]DT 2018'!L3</f>
        <v>356189</v>
      </c>
      <c r="AF20" s="609">
        <f>'[1]DT 2018'!M3</f>
        <v>485960</v>
      </c>
      <c r="AG20" s="609">
        <f>'[1]DT 2018'!N3</f>
        <v>233859</v>
      </c>
      <c r="AH20" s="609">
        <f>'[1]DT 2018'!O3</f>
        <v>423279</v>
      </c>
      <c r="AI20" s="609">
        <f>'[1]DT 2018'!P3</f>
        <v>314073</v>
      </c>
      <c r="AJ20" s="609">
        <f>'[1]DT 2018'!Q3</f>
        <v>338873</v>
      </c>
      <c r="AK20" s="609">
        <f>'[1]DT 2018'!R3</f>
        <v>272482</v>
      </c>
      <c r="AL20" s="609">
        <f>'[1]DT 2018'!S3</f>
        <v>252443</v>
      </c>
      <c r="AM20" s="609">
        <f>'[1]DT 2018'!T3</f>
        <v>306642</v>
      </c>
      <c r="AN20" s="609">
        <f>'[1]DT 2018'!U3</f>
        <v>366873</v>
      </c>
      <c r="AO20" s="609">
        <f>'[1]DT 2018'!V3</f>
        <v>319396</v>
      </c>
    </row>
    <row r="21" spans="1:41" ht="15.75">
      <c r="A21" s="774">
        <v>11</v>
      </c>
      <c r="B21" s="777" t="s">
        <v>683</v>
      </c>
      <c r="C21" s="775">
        <f t="shared" si="2"/>
        <v>423279</v>
      </c>
      <c r="D21" s="775">
        <f t="shared" si="3"/>
        <v>423279</v>
      </c>
      <c r="E21" s="775">
        <f t="shared" si="4"/>
        <v>46784</v>
      </c>
      <c r="F21" s="775"/>
      <c r="G21" s="775"/>
      <c r="H21" s="778">
        <f>$AH10</f>
        <v>37284</v>
      </c>
      <c r="I21" s="778">
        <f>$AH11</f>
        <v>4500</v>
      </c>
      <c r="J21" s="778">
        <f>$AH12</f>
        <v>5000</v>
      </c>
      <c r="K21" s="778">
        <f>$AH13</f>
        <v>367133</v>
      </c>
      <c r="L21" s="778">
        <f>$AH14</f>
        <v>173120</v>
      </c>
      <c r="M21" s="778">
        <f>$AH18</f>
        <v>140</v>
      </c>
      <c r="N21" s="775"/>
      <c r="O21" s="778">
        <f>$AH15</f>
        <v>5651</v>
      </c>
      <c r="P21" s="778">
        <f>$AH16</f>
        <v>3711</v>
      </c>
      <c r="Q21" s="775">
        <f t="shared" si="5"/>
        <v>0</v>
      </c>
      <c r="R21" s="778">
        <f>$AH17</f>
        <v>0</v>
      </c>
      <c r="S21" s="775"/>
      <c r="T21" s="775"/>
      <c r="U21" s="772"/>
      <c r="W21" s="740">
        <f t="shared" si="7"/>
        <v>0</v>
      </c>
      <c r="X21" s="745">
        <f>X19-X20</f>
        <v>0</v>
      </c>
      <c r="Y21" s="745">
        <f t="shared" ref="Y21:AO21" si="8">Y19-Y20</f>
        <v>0</v>
      </c>
      <c r="Z21" s="745">
        <f t="shared" si="8"/>
        <v>0</v>
      </c>
      <c r="AA21" s="745">
        <f t="shared" si="8"/>
        <v>0</v>
      </c>
      <c r="AB21" s="745">
        <f t="shared" si="8"/>
        <v>0</v>
      </c>
      <c r="AC21" s="745">
        <f t="shared" si="8"/>
        <v>0</v>
      </c>
      <c r="AD21" s="745">
        <f t="shared" si="8"/>
        <v>0</v>
      </c>
      <c r="AE21" s="745">
        <f t="shared" si="8"/>
        <v>0</v>
      </c>
      <c r="AF21" s="745">
        <f t="shared" si="8"/>
        <v>0</v>
      </c>
      <c r="AG21" s="745">
        <f t="shared" si="8"/>
        <v>0</v>
      </c>
      <c r="AH21" s="745">
        <f t="shared" si="8"/>
        <v>0</v>
      </c>
      <c r="AI21" s="745">
        <f t="shared" si="8"/>
        <v>0</v>
      </c>
      <c r="AJ21" s="745">
        <f t="shared" si="8"/>
        <v>0</v>
      </c>
      <c r="AK21" s="745">
        <f t="shared" si="8"/>
        <v>0</v>
      </c>
      <c r="AL21" s="745">
        <f t="shared" si="8"/>
        <v>0</v>
      </c>
      <c r="AM21" s="745">
        <f t="shared" si="8"/>
        <v>0</v>
      </c>
      <c r="AN21" s="745">
        <f t="shared" si="8"/>
        <v>0</v>
      </c>
      <c r="AO21" s="745">
        <f t="shared" si="8"/>
        <v>0</v>
      </c>
    </row>
    <row r="22" spans="1:41" ht="15.75">
      <c r="A22" s="774">
        <v>12</v>
      </c>
      <c r="B22" s="777" t="s">
        <v>684</v>
      </c>
      <c r="C22" s="775">
        <f t="shared" si="2"/>
        <v>314073</v>
      </c>
      <c r="D22" s="775">
        <f t="shared" si="3"/>
        <v>314073</v>
      </c>
      <c r="E22" s="775">
        <f t="shared" si="4"/>
        <v>38315</v>
      </c>
      <c r="F22" s="775"/>
      <c r="G22" s="775"/>
      <c r="H22" s="778">
        <f>$AI10</f>
        <v>36315</v>
      </c>
      <c r="I22" s="778">
        <f>$AI11</f>
        <v>500</v>
      </c>
      <c r="J22" s="778">
        <f>$AI12</f>
        <v>1500</v>
      </c>
      <c r="K22" s="778">
        <f>$AI13</f>
        <v>269038</v>
      </c>
      <c r="L22" s="778">
        <f>$AI14</f>
        <v>117601</v>
      </c>
      <c r="M22" s="778">
        <f>$AI18</f>
        <v>150</v>
      </c>
      <c r="N22" s="775"/>
      <c r="O22" s="778">
        <f>$AI15</f>
        <v>4193</v>
      </c>
      <c r="P22" s="778">
        <f>$AI16</f>
        <v>2527</v>
      </c>
      <c r="Q22" s="775">
        <f t="shared" si="5"/>
        <v>0</v>
      </c>
      <c r="R22" s="778">
        <f>$AI17</f>
        <v>0</v>
      </c>
      <c r="S22" s="775"/>
      <c r="T22" s="775"/>
      <c r="U22" s="772"/>
    </row>
    <row r="23" spans="1:41" ht="15.75">
      <c r="A23" s="774">
        <v>13</v>
      </c>
      <c r="B23" s="777" t="s">
        <v>685</v>
      </c>
      <c r="C23" s="775">
        <f t="shared" si="2"/>
        <v>338873</v>
      </c>
      <c r="D23" s="775">
        <f t="shared" si="3"/>
        <v>321363</v>
      </c>
      <c r="E23" s="775">
        <f t="shared" si="4"/>
        <v>56829</v>
      </c>
      <c r="F23" s="775"/>
      <c r="G23" s="775"/>
      <c r="H23" s="778">
        <f>$AJ10</f>
        <v>53829</v>
      </c>
      <c r="I23" s="778">
        <f>$AJ11</f>
        <v>1500</v>
      </c>
      <c r="J23" s="778">
        <f>$AJ12</f>
        <v>1500</v>
      </c>
      <c r="K23" s="778">
        <f>$AJ13</f>
        <v>249931</v>
      </c>
      <c r="L23" s="778">
        <f>$AJ14</f>
        <v>104432</v>
      </c>
      <c r="M23" s="778">
        <f>$AJ18</f>
        <v>120</v>
      </c>
      <c r="N23" s="775"/>
      <c r="O23" s="778">
        <f>$AJ15</f>
        <v>4357</v>
      </c>
      <c r="P23" s="778">
        <f>$AJ16</f>
        <v>10246</v>
      </c>
      <c r="Q23" s="775">
        <f t="shared" si="5"/>
        <v>17510</v>
      </c>
      <c r="R23" s="778">
        <f>$AJ17</f>
        <v>17510</v>
      </c>
      <c r="S23" s="775"/>
      <c r="T23" s="775"/>
      <c r="U23" s="772"/>
    </row>
    <row r="24" spans="1:41" ht="15.75">
      <c r="A24" s="774">
        <v>14</v>
      </c>
      <c r="B24" s="777" t="s">
        <v>686</v>
      </c>
      <c r="C24" s="775">
        <f t="shared" si="2"/>
        <v>272482</v>
      </c>
      <c r="D24" s="775">
        <f t="shared" si="3"/>
        <v>272482</v>
      </c>
      <c r="E24" s="775">
        <f t="shared" si="4"/>
        <v>32860</v>
      </c>
      <c r="F24" s="775"/>
      <c r="G24" s="775"/>
      <c r="H24" s="778">
        <f>$AK10</f>
        <v>31860</v>
      </c>
      <c r="I24" s="778">
        <f>$AK11</f>
        <v>0</v>
      </c>
      <c r="J24" s="778">
        <f>$AK12</f>
        <v>1000</v>
      </c>
      <c r="K24" s="778">
        <f>$AK13</f>
        <v>233028</v>
      </c>
      <c r="L24" s="778">
        <f>$AK14</f>
        <v>95977</v>
      </c>
      <c r="M24" s="778">
        <f>$AK18</f>
        <v>100</v>
      </c>
      <c r="N24" s="775"/>
      <c r="O24" s="778">
        <f>$AK15</f>
        <v>3879</v>
      </c>
      <c r="P24" s="778">
        <f>$AK16</f>
        <v>2715</v>
      </c>
      <c r="Q24" s="775">
        <f t="shared" si="5"/>
        <v>0</v>
      </c>
      <c r="R24" s="778">
        <f>$AK17</f>
        <v>0</v>
      </c>
      <c r="S24" s="775"/>
      <c r="T24" s="775"/>
      <c r="U24" s="772"/>
    </row>
    <row r="25" spans="1:41" ht="15.75">
      <c r="A25" s="774">
        <v>15</v>
      </c>
      <c r="B25" s="777" t="s">
        <v>687</v>
      </c>
      <c r="C25" s="775">
        <f t="shared" si="2"/>
        <v>252443</v>
      </c>
      <c r="D25" s="775">
        <f t="shared" si="3"/>
        <v>252443</v>
      </c>
      <c r="E25" s="775">
        <f t="shared" si="4"/>
        <v>29884</v>
      </c>
      <c r="F25" s="775"/>
      <c r="G25" s="775"/>
      <c r="H25" s="778">
        <f>$AL10</f>
        <v>26884</v>
      </c>
      <c r="I25" s="778">
        <f>$AL11</f>
        <v>0</v>
      </c>
      <c r="J25" s="778">
        <f>$AL12</f>
        <v>3000</v>
      </c>
      <c r="K25" s="778">
        <f>$AL13</f>
        <v>213845</v>
      </c>
      <c r="L25" s="778">
        <f>$AL14</f>
        <v>86204</v>
      </c>
      <c r="M25" s="778">
        <f>$AL18</f>
        <v>150</v>
      </c>
      <c r="N25" s="775"/>
      <c r="O25" s="778">
        <f>$AL15</f>
        <v>3335</v>
      </c>
      <c r="P25" s="778">
        <f>$AL16</f>
        <v>5379</v>
      </c>
      <c r="Q25" s="775">
        <f t="shared" si="5"/>
        <v>0</v>
      </c>
      <c r="R25" s="778">
        <f>$AL17</f>
        <v>0</v>
      </c>
      <c r="S25" s="775"/>
      <c r="T25" s="775"/>
      <c r="U25" s="772"/>
    </row>
    <row r="26" spans="1:41" ht="15.75">
      <c r="A26" s="774">
        <v>16</v>
      </c>
      <c r="B26" s="777" t="s">
        <v>688</v>
      </c>
      <c r="C26" s="775">
        <f t="shared" si="2"/>
        <v>306642</v>
      </c>
      <c r="D26" s="775">
        <f t="shared" si="3"/>
        <v>306642</v>
      </c>
      <c r="E26" s="775">
        <f t="shared" si="4"/>
        <v>37167</v>
      </c>
      <c r="F26" s="775"/>
      <c r="G26" s="775"/>
      <c r="H26" s="778">
        <f>$AM10</f>
        <v>36067</v>
      </c>
      <c r="I26" s="778">
        <f>$AM11</f>
        <v>800</v>
      </c>
      <c r="J26" s="778">
        <f>$AM12</f>
        <v>300</v>
      </c>
      <c r="K26" s="778">
        <f>$AM13</f>
        <v>262645</v>
      </c>
      <c r="L26" s="778">
        <f>$AM14</f>
        <v>109213</v>
      </c>
      <c r="M26" s="778">
        <f>$AM18</f>
        <v>150</v>
      </c>
      <c r="N26" s="775"/>
      <c r="O26" s="778">
        <f>$AM15</f>
        <v>4122</v>
      </c>
      <c r="P26" s="778">
        <f>$AM16</f>
        <v>2708</v>
      </c>
      <c r="Q26" s="775">
        <f t="shared" si="5"/>
        <v>0</v>
      </c>
      <c r="R26" s="778">
        <f>$AM17</f>
        <v>0</v>
      </c>
      <c r="S26" s="775"/>
      <c r="T26" s="775"/>
      <c r="U26" s="772"/>
    </row>
    <row r="27" spans="1:41" ht="15.75">
      <c r="A27" s="774">
        <v>17</v>
      </c>
      <c r="B27" s="777" t="s">
        <v>689</v>
      </c>
      <c r="C27" s="775">
        <f t="shared" si="2"/>
        <v>366873</v>
      </c>
      <c r="D27" s="775">
        <f t="shared" si="3"/>
        <v>366873</v>
      </c>
      <c r="E27" s="775">
        <f t="shared" si="4"/>
        <v>40328</v>
      </c>
      <c r="F27" s="775"/>
      <c r="G27" s="775"/>
      <c r="H27" s="778">
        <f>$AN10</f>
        <v>34828</v>
      </c>
      <c r="I27" s="778">
        <f>$AN11</f>
        <v>500</v>
      </c>
      <c r="J27" s="778">
        <f>$AN12</f>
        <v>5000</v>
      </c>
      <c r="K27" s="778">
        <f>$AN13</f>
        <v>316099</v>
      </c>
      <c r="L27" s="778">
        <f>$AN14</f>
        <v>168006</v>
      </c>
      <c r="M27" s="778">
        <f>$AN18</f>
        <v>130</v>
      </c>
      <c r="N27" s="775"/>
      <c r="O27" s="778">
        <f>$AN15</f>
        <v>5210</v>
      </c>
      <c r="P27" s="778">
        <f>$AN16</f>
        <v>5236</v>
      </c>
      <c r="Q27" s="775">
        <f t="shared" si="5"/>
        <v>0</v>
      </c>
      <c r="R27" s="778">
        <f>$AN17</f>
        <v>0</v>
      </c>
      <c r="S27" s="775"/>
      <c r="T27" s="775"/>
      <c r="U27" s="772"/>
    </row>
    <row r="28" spans="1:41" ht="15.75">
      <c r="A28" s="774">
        <v>18</v>
      </c>
      <c r="B28" s="777" t="s">
        <v>690</v>
      </c>
      <c r="C28" s="775">
        <f t="shared" si="2"/>
        <v>319396</v>
      </c>
      <c r="D28" s="775">
        <f t="shared" si="3"/>
        <v>294396</v>
      </c>
      <c r="E28" s="775">
        <f t="shared" si="4"/>
        <v>46939</v>
      </c>
      <c r="F28" s="775"/>
      <c r="G28" s="775"/>
      <c r="H28" s="778">
        <f>$AO10</f>
        <v>39939</v>
      </c>
      <c r="I28" s="778">
        <f>$AO11</f>
        <v>0</v>
      </c>
      <c r="J28" s="778">
        <f>$AO12</f>
        <v>7000</v>
      </c>
      <c r="K28" s="778">
        <f>$AO13</f>
        <v>239299</v>
      </c>
      <c r="L28" s="778">
        <f>$AO14</f>
        <v>120527</v>
      </c>
      <c r="M28" s="778">
        <f>$AO18</f>
        <v>120</v>
      </c>
      <c r="N28" s="775"/>
      <c r="O28" s="778">
        <f>$AO15</f>
        <v>3667</v>
      </c>
      <c r="P28" s="778">
        <f>$AO16</f>
        <v>4491</v>
      </c>
      <c r="Q28" s="775">
        <f t="shared" si="5"/>
        <v>25000</v>
      </c>
      <c r="R28" s="778">
        <f>$AO17</f>
        <v>25000</v>
      </c>
      <c r="S28" s="775"/>
      <c r="T28" s="775"/>
      <c r="U28" s="772"/>
    </row>
    <row r="29" spans="1:41" ht="15" thickBot="1">
      <c r="A29" s="779"/>
      <c r="B29" s="780"/>
      <c r="C29" s="781"/>
      <c r="D29" s="781"/>
      <c r="E29" s="781"/>
      <c r="F29" s="781"/>
      <c r="G29" s="781"/>
      <c r="H29" s="781"/>
      <c r="I29" s="781"/>
      <c r="J29" s="781"/>
      <c r="K29" s="781"/>
      <c r="L29" s="781"/>
      <c r="M29" s="781"/>
      <c r="N29" s="781"/>
      <c r="O29" s="781"/>
      <c r="P29" s="781"/>
      <c r="Q29" s="781"/>
      <c r="R29" s="781"/>
      <c r="S29" s="781"/>
      <c r="T29" s="781"/>
      <c r="U29" s="773"/>
    </row>
    <row r="30" spans="1:41" ht="13.5">
      <c r="A30" s="1075"/>
      <c r="B30" s="1075"/>
      <c r="C30" s="1075"/>
      <c r="D30" s="1075"/>
      <c r="E30" s="1075"/>
      <c r="F30" s="1075"/>
      <c r="G30" s="1075"/>
      <c r="H30" s="1075"/>
      <c r="I30" s="1075"/>
      <c r="J30" s="1075"/>
      <c r="K30" s="1075"/>
      <c r="L30" s="1075"/>
      <c r="M30" s="1075"/>
      <c r="N30" s="1075"/>
      <c r="O30" s="1075"/>
      <c r="P30" s="1075"/>
      <c r="Q30" s="1075"/>
      <c r="R30" s="1075"/>
      <c r="S30" s="1075"/>
      <c r="T30" s="1075"/>
      <c r="U30" s="1076"/>
    </row>
    <row r="31" spans="1:41">
      <c r="A31" s="1077"/>
      <c r="B31" s="1077"/>
      <c r="C31" s="1077"/>
      <c r="D31" s="1077"/>
      <c r="E31" s="1077"/>
      <c r="F31" s="1077"/>
      <c r="G31" s="1077"/>
      <c r="H31" s="1077"/>
      <c r="I31" s="1077"/>
      <c r="J31" s="1077"/>
      <c r="K31" s="1077"/>
      <c r="L31" s="1077"/>
      <c r="M31" s="1077"/>
      <c r="N31" s="1077"/>
      <c r="O31" s="1077"/>
      <c r="P31" s="1077"/>
      <c r="Q31" s="1077"/>
      <c r="R31" s="1077"/>
      <c r="S31" s="1077"/>
      <c r="T31" s="1077"/>
      <c r="U31" s="10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975" t="s">
        <v>11</v>
      </c>
      <c r="B6" s="977" t="s">
        <v>34</v>
      </c>
      <c r="C6" s="979" t="s">
        <v>35</v>
      </c>
      <c r="D6" s="979" t="s">
        <v>158</v>
      </c>
      <c r="E6" s="75" t="s">
        <v>164</v>
      </c>
      <c r="F6" s="75"/>
      <c r="G6" s="76"/>
      <c r="H6" s="76"/>
      <c r="I6" s="76"/>
      <c r="J6" s="981" t="s">
        <v>178</v>
      </c>
      <c r="K6" s="982"/>
    </row>
    <row r="7" spans="1:256" s="77" customFormat="1" ht="21" customHeight="1">
      <c r="A7" s="976"/>
      <c r="B7" s="978"/>
      <c r="C7" s="980"/>
      <c r="D7" s="980"/>
      <c r="E7" s="980" t="s">
        <v>36</v>
      </c>
      <c r="F7" s="980"/>
      <c r="G7" s="978" t="s">
        <v>37</v>
      </c>
      <c r="H7" s="978" t="s">
        <v>38</v>
      </c>
      <c r="I7" s="978"/>
      <c r="J7" s="971" t="s">
        <v>39</v>
      </c>
      <c r="K7" s="972" t="s">
        <v>40</v>
      </c>
    </row>
    <row r="8" spans="1:256" s="77" customFormat="1" ht="24.75" customHeight="1">
      <c r="A8" s="976"/>
      <c r="B8" s="978"/>
      <c r="C8" s="980"/>
      <c r="D8" s="980"/>
      <c r="E8" s="182" t="s">
        <v>41</v>
      </c>
      <c r="F8" s="183" t="s">
        <v>42</v>
      </c>
      <c r="G8" s="978"/>
      <c r="H8" s="184" t="s">
        <v>41</v>
      </c>
      <c r="I8" s="185" t="s">
        <v>42</v>
      </c>
      <c r="J8" s="971"/>
      <c r="K8" s="97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970" t="s">
        <v>151</v>
      </c>
      <c r="C176" s="970"/>
      <c r="D176" s="97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970" t="s">
        <v>152</v>
      </c>
      <c r="C177" s="970"/>
      <c r="D177" s="97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970" t="s">
        <v>153</v>
      </c>
      <c r="C178" s="970"/>
      <c r="D178" s="97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970" t="s">
        <v>154</v>
      </c>
      <c r="C179" s="970"/>
      <c r="D179" s="97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970" t="s">
        <v>155</v>
      </c>
      <c r="C180" s="970"/>
      <c r="D180" s="97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970" t="s">
        <v>156</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1015" t="s">
        <v>870</v>
      </c>
      <c r="B1" s="1015"/>
      <c r="C1" s="1015"/>
      <c r="D1" s="1015"/>
      <c r="E1" s="1015"/>
      <c r="F1" s="1015"/>
      <c r="G1" s="1015"/>
    </row>
    <row r="2" spans="1:11" ht="47.25" customHeight="1">
      <c r="A2" s="1016" t="s">
        <v>696</v>
      </c>
      <c r="B2" s="1016"/>
      <c r="C2" s="1016"/>
      <c r="D2" s="1016"/>
      <c r="E2" s="1016"/>
      <c r="F2" s="1016"/>
      <c r="G2" s="1016"/>
    </row>
    <row r="3" spans="1:11">
      <c r="A3" s="1085" t="s">
        <v>878</v>
      </c>
      <c r="B3" s="1085"/>
      <c r="C3" s="1085"/>
      <c r="D3" s="1085"/>
      <c r="E3" s="1085"/>
      <c r="F3" s="1085"/>
      <c r="G3" s="1085"/>
    </row>
    <row r="4" spans="1:11">
      <c r="A4" s="1012" t="s">
        <v>199</v>
      </c>
      <c r="B4" s="1012"/>
      <c r="C4" s="1012"/>
      <c r="D4" s="1012"/>
      <c r="E4" s="1012"/>
      <c r="F4" s="1012"/>
      <c r="G4" s="1012"/>
    </row>
    <row r="5" spans="1:11" ht="66">
      <c r="A5" s="751" t="s">
        <v>11</v>
      </c>
      <c r="B5" s="751" t="s">
        <v>289</v>
      </c>
      <c r="C5" s="751" t="s">
        <v>400</v>
      </c>
      <c r="D5" s="751" t="s">
        <v>641</v>
      </c>
      <c r="E5" s="751" t="s">
        <v>697</v>
      </c>
      <c r="F5" s="751" t="s">
        <v>698</v>
      </c>
      <c r="G5" s="751" t="s">
        <v>699</v>
      </c>
    </row>
    <row r="6" spans="1:11">
      <c r="A6" s="751" t="s">
        <v>12</v>
      </c>
      <c r="B6" s="751" t="s">
        <v>13</v>
      </c>
      <c r="C6" s="751">
        <v>1</v>
      </c>
      <c r="D6" s="751">
        <v>2</v>
      </c>
      <c r="E6" s="751">
        <v>3</v>
      </c>
      <c r="F6" s="751">
        <v>4</v>
      </c>
      <c r="G6" s="751">
        <v>5</v>
      </c>
    </row>
    <row r="7" spans="1:11">
      <c r="A7" s="766" t="s">
        <v>12</v>
      </c>
      <c r="B7" s="767" t="s">
        <v>700</v>
      </c>
      <c r="C7" s="793"/>
      <c r="D7" s="793"/>
      <c r="E7" s="793"/>
      <c r="F7" s="793"/>
      <c r="G7" s="793"/>
    </row>
    <row r="8" spans="1:11">
      <c r="A8" s="634" t="s">
        <v>17</v>
      </c>
      <c r="B8" s="635" t="s">
        <v>701</v>
      </c>
      <c r="C8" s="790" t="e">
        <f>C9+C10+C13+C14+C15</f>
        <v>#REF!</v>
      </c>
      <c r="D8" s="776" t="e">
        <f t="shared" ref="D8:G8" si="0">D9+D10+D13+D14+D15</f>
        <v>#REF!</v>
      </c>
      <c r="E8" s="776">
        <f t="shared" si="0"/>
        <v>16571341</v>
      </c>
      <c r="F8" s="776">
        <f t="shared" si="0"/>
        <v>16637224</v>
      </c>
      <c r="G8" s="776">
        <f t="shared" si="0"/>
        <v>17668443</v>
      </c>
    </row>
    <row r="9" spans="1:11">
      <c r="A9" s="637">
        <v>1</v>
      </c>
      <c r="B9" s="638" t="s">
        <v>630</v>
      </c>
      <c r="C9" s="775" t="e">
        <f>'Biểu 47'!#REF!</f>
        <v>#REF!</v>
      </c>
      <c r="D9" s="775" t="e">
        <f>'Biểu 47'!#REF!</f>
        <v>#REF!</v>
      </c>
      <c r="E9" s="775">
        <f>'Biểu 47'!C11</f>
        <v>10261342</v>
      </c>
      <c r="F9" s="775">
        <v>11570583</v>
      </c>
      <c r="G9" s="775">
        <v>13430688</v>
      </c>
      <c r="J9" s="621">
        <f>E16-'Bieu 10'!D7</f>
        <v>0</v>
      </c>
      <c r="K9" s="621">
        <f>E9+E25</f>
        <v>13681572</v>
      </c>
    </row>
    <row r="10" spans="1:11">
      <c r="A10" s="637">
        <v>2</v>
      </c>
      <c r="B10" s="638" t="s">
        <v>631</v>
      </c>
      <c r="C10" s="775" t="e">
        <f>C11+C12</f>
        <v>#REF!</v>
      </c>
      <c r="D10" s="775" t="e">
        <f t="shared" ref="D10:E10" si="1">D11+D12</f>
        <v>#REF!</v>
      </c>
      <c r="E10" s="775">
        <f t="shared" si="1"/>
        <v>2464674</v>
      </c>
      <c r="F10" s="775">
        <f t="shared" ref="F10" si="2">F11+F12</f>
        <v>2711141</v>
      </c>
      <c r="G10" s="775">
        <f t="shared" ref="G10" si="3">G11+G12</f>
        <v>2982255</v>
      </c>
    </row>
    <row r="11" spans="1:11">
      <c r="A11" s="637" t="s">
        <v>257</v>
      </c>
      <c r="B11" s="638" t="s">
        <v>579</v>
      </c>
      <c r="C11" s="775"/>
      <c r="D11" s="775"/>
      <c r="E11" s="775"/>
      <c r="F11" s="775"/>
      <c r="G11" s="775"/>
    </row>
    <row r="12" spans="1:11">
      <c r="A12" s="637" t="s">
        <v>257</v>
      </c>
      <c r="B12" s="638" t="s">
        <v>580</v>
      </c>
      <c r="C12" s="775" t="e">
        <f>'Biểu 47'!#REF!</f>
        <v>#REF!</v>
      </c>
      <c r="D12" s="775" t="e">
        <f>'Biểu 47'!#REF!</f>
        <v>#REF!</v>
      </c>
      <c r="E12" s="775">
        <f>'Biểu 47'!C15</f>
        <v>2464674</v>
      </c>
      <c r="F12" s="775">
        <f>ROUND(E12*1.1,0)</f>
        <v>2711141</v>
      </c>
      <c r="G12" s="775">
        <f>ROUND(F12*1.1,0)</f>
        <v>2982255</v>
      </c>
    </row>
    <row r="13" spans="1:11">
      <c r="A13" s="637">
        <v>3</v>
      </c>
      <c r="B13" s="638" t="s">
        <v>581</v>
      </c>
      <c r="C13" s="775"/>
      <c r="D13" s="775"/>
      <c r="E13" s="775"/>
      <c r="F13" s="775"/>
      <c r="G13" s="775"/>
    </row>
    <row r="14" spans="1:11">
      <c r="A14" s="637">
        <v>4</v>
      </c>
      <c r="B14" s="638" t="s">
        <v>582</v>
      </c>
      <c r="C14" s="775"/>
      <c r="D14" s="775"/>
      <c r="E14" s="775"/>
      <c r="F14" s="775"/>
      <c r="G14" s="775"/>
    </row>
    <row r="15" spans="1:11" ht="33">
      <c r="A15" s="637">
        <v>5</v>
      </c>
      <c r="B15" s="638" t="s">
        <v>583</v>
      </c>
      <c r="C15" s="775" t="e">
        <f>'Biểu 47'!#REF!</f>
        <v>#REF!</v>
      </c>
      <c r="D15" s="775" t="e">
        <f>'Biểu 47'!#REF!</f>
        <v>#REF!</v>
      </c>
      <c r="E15" s="775">
        <f>'Biểu 47'!C18</f>
        <v>3845325</v>
      </c>
      <c r="F15" s="775">
        <f>2355500</f>
        <v>2355500</v>
      </c>
      <c r="G15" s="775">
        <f>1255500</f>
        <v>1255500</v>
      </c>
      <c r="K15" s="621">
        <f>E15-F15</f>
        <v>1489825</v>
      </c>
    </row>
    <row r="16" spans="1:11">
      <c r="A16" s="634" t="s">
        <v>18</v>
      </c>
      <c r="B16" s="635" t="s">
        <v>632</v>
      </c>
      <c r="C16" s="776" t="e">
        <f>C17+C18+C21</f>
        <v>#REF!</v>
      </c>
      <c r="D16" s="776" t="e">
        <f t="shared" ref="D16:G16" si="4">D17+D18+D21</f>
        <v>#REF!</v>
      </c>
      <c r="E16" s="776">
        <f>E17+E18+E21</f>
        <v>16647640</v>
      </c>
      <c r="F16" s="776">
        <f t="shared" si="4"/>
        <v>17090943</v>
      </c>
      <c r="G16" s="776">
        <f t="shared" si="4"/>
        <v>18091295</v>
      </c>
      <c r="J16" s="621">
        <f>G16-'Bieu 10'!G7</f>
        <v>0</v>
      </c>
    </row>
    <row r="17" spans="1:12">
      <c r="A17" s="637">
        <v>1</v>
      </c>
      <c r="B17" s="638" t="s">
        <v>654</v>
      </c>
      <c r="C17" s="775" t="e">
        <f>'Biểu 47'!#REF!</f>
        <v>#REF!</v>
      </c>
      <c r="D17" s="775" t="e">
        <f>'Biểu 47'!#REF!</f>
        <v>#REF!</v>
      </c>
      <c r="E17" s="775">
        <f>'Biểu 47'!C20</f>
        <v>11496917</v>
      </c>
      <c r="F17" s="775">
        <f>11685209+'Bieu 10'!L8+600000-331013-6019+998-490904+4499-23766</f>
        <v>11892723</v>
      </c>
      <c r="G17" s="775">
        <f>12369113+'Bieu 10'!M8+500000+78640-6621-499704+4589-24241</f>
        <v>12844628</v>
      </c>
      <c r="I17" s="621">
        <f>F8-F16</f>
        <v>-453719</v>
      </c>
      <c r="J17" s="621">
        <f>G8-G16</f>
        <v>-422852</v>
      </c>
    </row>
    <row r="18" spans="1:12">
      <c r="A18" s="637">
        <v>2</v>
      </c>
      <c r="B18" s="638" t="s">
        <v>633</v>
      </c>
      <c r="C18" s="775" t="e">
        <f>C19+C20</f>
        <v>#REF!</v>
      </c>
      <c r="D18" s="775" t="e">
        <f t="shared" ref="D18:G18" si="5">D19+D20</f>
        <v>#REF!</v>
      </c>
      <c r="E18" s="775">
        <f t="shared" si="5"/>
        <v>5150723</v>
      </c>
      <c r="F18" s="775">
        <f t="shared" si="5"/>
        <v>5198220</v>
      </c>
      <c r="G18" s="775">
        <f t="shared" si="5"/>
        <v>5246667</v>
      </c>
    </row>
    <row r="19" spans="1:12">
      <c r="A19" s="637" t="s">
        <v>257</v>
      </c>
      <c r="B19" s="638" t="s">
        <v>634</v>
      </c>
      <c r="C19" s="775" t="e">
        <f>'Biểu 47'!#REF!</f>
        <v>#REF!</v>
      </c>
      <c r="D19" s="775" t="e">
        <f>'Biểu 47'!#REF!</f>
        <v>#REF!</v>
      </c>
      <c r="E19" s="775">
        <f>'Biểu 47'!C22</f>
        <v>2775849</v>
      </c>
      <c r="F19" s="775">
        <f>E19</f>
        <v>2775849</v>
      </c>
      <c r="G19" s="775">
        <f>F19</f>
        <v>2775849</v>
      </c>
    </row>
    <row r="20" spans="1:12">
      <c r="A20" s="637" t="s">
        <v>257</v>
      </c>
      <c r="B20" s="638" t="s">
        <v>635</v>
      </c>
      <c r="C20" s="775" t="e">
        <f>'Biểu 47'!#REF!</f>
        <v>#REF!</v>
      </c>
      <c r="D20" s="775" t="e">
        <f>'Biểu 47'!#REF!</f>
        <v>#REF!</v>
      </c>
      <c r="E20" s="775">
        <f>'Biểu 47'!C23</f>
        <v>2374874</v>
      </c>
      <c r="F20" s="775">
        <f>ROUND(E20*1.02,0)</f>
        <v>2422371</v>
      </c>
      <c r="G20" s="775">
        <f>ROUND(F20*1.02,0)</f>
        <v>2470818</v>
      </c>
    </row>
    <row r="21" spans="1:12">
      <c r="A21" s="637">
        <v>3</v>
      </c>
      <c r="B21" s="638" t="s">
        <v>587</v>
      </c>
      <c r="C21" s="775" t="e">
        <f>'Biểu 47'!#REF!</f>
        <v>#REF!</v>
      </c>
      <c r="D21" s="775" t="e">
        <f>'Biểu 47'!#REF!</f>
        <v>#REF!</v>
      </c>
      <c r="E21" s="775">
        <f>'Biểu 47'!C24</f>
        <v>0</v>
      </c>
      <c r="F21" s="775"/>
      <c r="G21" s="775"/>
    </row>
    <row r="22" spans="1:12">
      <c r="A22" s="634" t="s">
        <v>196</v>
      </c>
      <c r="B22" s="635" t="s">
        <v>702</v>
      </c>
      <c r="C22" s="776" t="e">
        <f>C16-C8</f>
        <v>#REF!</v>
      </c>
      <c r="D22" s="776" t="e">
        <f>D16-D8</f>
        <v>#REF!</v>
      </c>
      <c r="E22" s="776">
        <f>E16-E8+1</f>
        <v>76300</v>
      </c>
      <c r="F22" s="776">
        <f>F16-F8</f>
        <v>453719</v>
      </c>
      <c r="G22" s="776">
        <f>G16-G8</f>
        <v>422852</v>
      </c>
      <c r="I22" s="580">
        <v>459738</v>
      </c>
      <c r="J22" s="580">
        <v>429473</v>
      </c>
      <c r="K22" s="713">
        <v>453719</v>
      </c>
      <c r="L22" s="713">
        <v>422852</v>
      </c>
    </row>
    <row r="23" spans="1:12">
      <c r="A23" s="634" t="s">
        <v>13</v>
      </c>
      <c r="B23" s="635" t="s">
        <v>650</v>
      </c>
      <c r="C23" s="775"/>
      <c r="D23" s="775"/>
      <c r="E23" s="775"/>
      <c r="F23" s="775"/>
      <c r="G23" s="775"/>
      <c r="I23" s="621">
        <f>I22-F22</f>
        <v>6019</v>
      </c>
      <c r="J23" s="621">
        <f>J22-G22</f>
        <v>6621</v>
      </c>
      <c r="K23" s="621">
        <f>F22-K22</f>
        <v>0</v>
      </c>
      <c r="L23" s="621">
        <f>G22-L22</f>
        <v>0</v>
      </c>
    </row>
    <row r="24" spans="1:12">
      <c r="A24" s="634" t="s">
        <v>17</v>
      </c>
      <c r="B24" s="635" t="s">
        <v>701</v>
      </c>
      <c r="C24" s="776" t="e">
        <f>C25+C26+C29+C30</f>
        <v>#REF!</v>
      </c>
      <c r="D24" s="776" t="e">
        <f t="shared" ref="D24:G24" si="6">D25+D26+D29+D30</f>
        <v>#REF!</v>
      </c>
      <c r="E24" s="776">
        <f>E25+E26+E29+E30</f>
        <v>8570953</v>
      </c>
      <c r="F24" s="776">
        <f t="shared" si="6"/>
        <v>9379645</v>
      </c>
      <c r="G24" s="776">
        <f t="shared" si="6"/>
        <v>9935929</v>
      </c>
    </row>
    <row r="25" spans="1:12">
      <c r="A25" s="637">
        <v>1</v>
      </c>
      <c r="B25" s="638" t="s">
        <v>630</v>
      </c>
      <c r="C25" s="775" t="e">
        <f>'Biểu 47'!#REF!</f>
        <v>#REF!</v>
      </c>
      <c r="D25" s="775" t="e">
        <f>'Biểu 47'!#REF!</f>
        <v>#REF!</v>
      </c>
      <c r="E25" s="775">
        <f>'Biểu 47'!C28</f>
        <v>3420230</v>
      </c>
      <c r="F25" s="775">
        <v>4181425</v>
      </c>
      <c r="G25" s="775">
        <v>4689262</v>
      </c>
    </row>
    <row r="26" spans="1:12">
      <c r="A26" s="637">
        <v>2</v>
      </c>
      <c r="B26" s="638" t="s">
        <v>631</v>
      </c>
      <c r="C26" s="775" t="e">
        <f>C27+C28</f>
        <v>#REF!</v>
      </c>
      <c r="D26" s="775" t="e">
        <f t="shared" ref="D26:G26" si="7">D27+D28</f>
        <v>#REF!</v>
      </c>
      <c r="E26" s="775">
        <f t="shared" si="7"/>
        <v>5150723</v>
      </c>
      <c r="F26" s="775">
        <f t="shared" si="7"/>
        <v>5198220</v>
      </c>
      <c r="G26" s="775">
        <f t="shared" si="7"/>
        <v>5246667</v>
      </c>
    </row>
    <row r="27" spans="1:12">
      <c r="A27" s="637" t="s">
        <v>257</v>
      </c>
      <c r="B27" s="638" t="s">
        <v>579</v>
      </c>
      <c r="C27" s="775" t="e">
        <f>C19</f>
        <v>#REF!</v>
      </c>
      <c r="D27" s="775" t="e">
        <f t="shared" ref="D27:G27" si="8">D19</f>
        <v>#REF!</v>
      </c>
      <c r="E27" s="775">
        <f t="shared" si="8"/>
        <v>2775849</v>
      </c>
      <c r="F27" s="775">
        <f t="shared" si="8"/>
        <v>2775849</v>
      </c>
      <c r="G27" s="775">
        <f t="shared" si="8"/>
        <v>2775849</v>
      </c>
    </row>
    <row r="28" spans="1:12">
      <c r="A28" s="637" t="s">
        <v>257</v>
      </c>
      <c r="B28" s="638" t="s">
        <v>580</v>
      </c>
      <c r="C28" s="775" t="e">
        <f>C20</f>
        <v>#REF!</v>
      </c>
      <c r="D28" s="775" t="e">
        <f t="shared" ref="D28:G28" si="9">D20</f>
        <v>#REF!</v>
      </c>
      <c r="E28" s="775">
        <f t="shared" si="9"/>
        <v>2374874</v>
      </c>
      <c r="F28" s="775">
        <f t="shared" si="9"/>
        <v>2422371</v>
      </c>
      <c r="G28" s="775">
        <f t="shared" si="9"/>
        <v>2470818</v>
      </c>
    </row>
    <row r="29" spans="1:12">
      <c r="A29" s="637">
        <v>3</v>
      </c>
      <c r="B29" s="638" t="s">
        <v>582</v>
      </c>
      <c r="C29" s="775"/>
      <c r="D29" s="775"/>
      <c r="E29" s="775"/>
      <c r="F29" s="775"/>
      <c r="G29" s="775"/>
    </row>
    <row r="30" spans="1:12" ht="33">
      <c r="A30" s="637">
        <v>4</v>
      </c>
      <c r="B30" s="638" t="s">
        <v>583</v>
      </c>
      <c r="C30" s="775" t="e">
        <f>'Biểu 47'!#REF!</f>
        <v>#REF!</v>
      </c>
      <c r="D30" s="775" t="e">
        <f>'Biểu 47'!#REF!</f>
        <v>#REF!</v>
      </c>
      <c r="E30" s="775">
        <f>'Biểu 47'!C34</f>
        <v>0</v>
      </c>
      <c r="F30" s="775">
        <v>0</v>
      </c>
      <c r="G30" s="775">
        <v>0</v>
      </c>
    </row>
    <row r="31" spans="1:12" ht="17.25" thickBot="1">
      <c r="A31" s="753" t="s">
        <v>18</v>
      </c>
      <c r="B31" s="791" t="s">
        <v>632</v>
      </c>
      <c r="C31" s="792" t="e">
        <f>C24</f>
        <v>#REF!</v>
      </c>
      <c r="D31" s="792" t="e">
        <f t="shared" ref="D31:G31" si="10">D24</f>
        <v>#REF!</v>
      </c>
      <c r="E31" s="792">
        <f>E24</f>
        <v>8570953</v>
      </c>
      <c r="F31" s="792">
        <f>F24</f>
        <v>9379645</v>
      </c>
      <c r="G31" s="792">
        <f t="shared" si="10"/>
        <v>9935929</v>
      </c>
    </row>
    <row r="32" spans="1:12" ht="17.25" hidden="1" thickBot="1">
      <c r="A32" s="787">
        <v>1</v>
      </c>
      <c r="B32" s="788" t="s">
        <v>703</v>
      </c>
      <c r="C32" s="789"/>
      <c r="D32" s="789"/>
      <c r="E32" s="789"/>
      <c r="F32" s="789"/>
      <c r="G32" s="789"/>
    </row>
    <row r="33" spans="1:7" hidden="1">
      <c r="A33" s="604">
        <v>2</v>
      </c>
      <c r="B33" s="605" t="s">
        <v>633</v>
      </c>
      <c r="C33" s="697"/>
      <c r="D33" s="697"/>
      <c r="E33" s="697"/>
      <c r="F33" s="697"/>
      <c r="G33" s="697"/>
    </row>
    <row r="34" spans="1:7" hidden="1">
      <c r="A34" s="604" t="s">
        <v>257</v>
      </c>
      <c r="B34" s="605" t="s">
        <v>634</v>
      </c>
      <c r="C34" s="697"/>
      <c r="D34" s="697"/>
      <c r="E34" s="697"/>
      <c r="F34" s="697"/>
      <c r="G34" s="697"/>
    </row>
    <row r="35" spans="1:7" hidden="1">
      <c r="A35" s="604" t="s">
        <v>257</v>
      </c>
      <c r="B35" s="605" t="s">
        <v>635</v>
      </c>
      <c r="C35" s="697"/>
      <c r="D35" s="697"/>
      <c r="E35" s="697"/>
      <c r="F35" s="697"/>
      <c r="G35" s="697"/>
    </row>
    <row r="36" spans="1:7" ht="17.25" hidden="1" thickBot="1">
      <c r="A36" s="606">
        <v>3</v>
      </c>
      <c r="B36" s="611" t="s">
        <v>587</v>
      </c>
      <c r="C36" s="606"/>
      <c r="D36" s="606"/>
      <c r="E36" s="606"/>
      <c r="F36" s="606"/>
      <c r="G36" s="606"/>
    </row>
    <row r="37" spans="1:7" ht="38.25" customHeight="1">
      <c r="A37" s="1084"/>
      <c r="B37" s="1084"/>
      <c r="C37" s="1084"/>
      <c r="D37" s="1084"/>
      <c r="E37" s="1084"/>
      <c r="F37" s="1084"/>
      <c r="G37" s="1084"/>
    </row>
    <row r="38" spans="1:7">
      <c r="E38" s="803">
        <f>E17+E31</f>
        <v>20067870</v>
      </c>
      <c r="F38" s="803">
        <f>F17+F31</f>
        <v>21272368</v>
      </c>
      <c r="G38" s="803">
        <f t="shared" ref="G38" si="11">G17+G31</f>
        <v>22780557</v>
      </c>
    </row>
    <row r="39" spans="1:7">
      <c r="D39" s="580" t="s">
        <v>769</v>
      </c>
      <c r="E39" s="742">
        <f>E9+E10+E15+E25</f>
        <v>19991571</v>
      </c>
      <c r="F39" s="742">
        <f>F9+F12+F15+F25</f>
        <v>20818649</v>
      </c>
      <c r="G39" s="742">
        <f>G9+G12+G15+G25</f>
        <v>22357705</v>
      </c>
    </row>
    <row r="40" spans="1:7">
      <c r="D40" s="580" t="s">
        <v>768</v>
      </c>
      <c r="E40" s="580">
        <f>20067870</f>
        <v>20067870</v>
      </c>
      <c r="F40" s="739">
        <f>F17+F31</f>
        <v>21272368</v>
      </c>
      <c r="G40" s="739">
        <f>G17+G31</f>
        <v>22780557</v>
      </c>
    </row>
    <row r="41" spans="1:7">
      <c r="D41" s="580" t="s">
        <v>770</v>
      </c>
      <c r="E41" s="621">
        <f>E40-E39</f>
        <v>76299</v>
      </c>
      <c r="F41" s="735">
        <f>F40-F39</f>
        <v>453719</v>
      </c>
      <c r="G41" s="735">
        <f>G40-G39</f>
        <v>422852</v>
      </c>
    </row>
    <row r="42" spans="1:7">
      <c r="E42" s="621"/>
      <c r="F42" s="621">
        <f>K22-F41</f>
        <v>0</v>
      </c>
      <c r="G42" s="62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41"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1015" t="s">
        <v>871</v>
      </c>
      <c r="B1" s="1015"/>
      <c r="C1" s="1015"/>
      <c r="D1" s="1015"/>
      <c r="E1" s="1015"/>
      <c r="F1" s="1015"/>
      <c r="G1" s="1015"/>
    </row>
    <row r="2" spans="1:14" ht="22.5" customHeight="1">
      <c r="A2" s="1026" t="s">
        <v>705</v>
      </c>
      <c r="B2" s="1026"/>
      <c r="C2" s="1026"/>
      <c r="D2" s="1026"/>
      <c r="E2" s="1026"/>
      <c r="F2" s="1026"/>
      <c r="G2" s="1026"/>
    </row>
    <row r="3" spans="1:14">
      <c r="A3" s="1085" t="s">
        <v>879</v>
      </c>
      <c r="B3" s="1085"/>
      <c r="C3" s="1085"/>
      <c r="D3" s="1085"/>
      <c r="E3" s="1085"/>
      <c r="F3" s="1085"/>
      <c r="G3" s="1085"/>
      <c r="J3" s="621">
        <f>D7+419432</f>
        <v>17067072</v>
      </c>
    </row>
    <row r="4" spans="1:14" ht="16.5" customHeight="1">
      <c r="A4" s="1012" t="s">
        <v>199</v>
      </c>
      <c r="B4" s="1012"/>
      <c r="C4" s="1012"/>
      <c r="D4" s="1012"/>
      <c r="E4" s="1012"/>
      <c r="F4" s="1012"/>
      <c r="G4" s="1012"/>
      <c r="I4" s="621">
        <f>F7+419432</f>
        <v>17510375</v>
      </c>
      <c r="J4" s="621">
        <f>G7+419432</f>
        <v>18510727</v>
      </c>
    </row>
    <row r="5" spans="1:14" ht="75" customHeight="1">
      <c r="A5" s="751" t="s">
        <v>11</v>
      </c>
      <c r="B5" s="751" t="s">
        <v>289</v>
      </c>
      <c r="C5" s="802" t="s">
        <v>400</v>
      </c>
      <c r="D5" s="751" t="s">
        <v>697</v>
      </c>
      <c r="E5" s="751" t="s">
        <v>371</v>
      </c>
      <c r="F5" s="751" t="s">
        <v>698</v>
      </c>
      <c r="G5" s="751" t="s">
        <v>699</v>
      </c>
      <c r="I5" s="580">
        <v>2019</v>
      </c>
      <c r="J5" s="580">
        <v>2020</v>
      </c>
      <c r="M5" s="621">
        <f>G13-F13</f>
        <v>523687</v>
      </c>
    </row>
    <row r="6" spans="1:14" ht="20.25" customHeight="1">
      <c r="A6" s="751" t="s">
        <v>12</v>
      </c>
      <c r="B6" s="751" t="s">
        <v>13</v>
      </c>
      <c r="C6" s="802">
        <v>1</v>
      </c>
      <c r="D6" s="751">
        <v>2</v>
      </c>
      <c r="E6" s="751" t="s">
        <v>706</v>
      </c>
      <c r="F6" s="751">
        <v>4</v>
      </c>
      <c r="G6" s="751">
        <v>5</v>
      </c>
      <c r="I6" s="669">
        <f>'Bieu 9'!F17-419432</f>
        <v>11473291</v>
      </c>
      <c r="J6" s="669">
        <f>'Bieu 9'!G17-419432</f>
        <v>12425196</v>
      </c>
    </row>
    <row r="7" spans="1:14" ht="27.75" customHeight="1">
      <c r="A7" s="631"/>
      <c r="B7" s="632" t="s">
        <v>707</v>
      </c>
      <c r="C7" s="805">
        <f>C8+C11</f>
        <v>16024685</v>
      </c>
      <c r="D7" s="633">
        <f>D8+D11</f>
        <v>16647640</v>
      </c>
      <c r="E7" s="806">
        <f t="shared" ref="E7:E13" si="0">D7/C7</f>
        <v>1.038874711109766</v>
      </c>
      <c r="F7" s="633">
        <f>F8+F11</f>
        <v>17090943</v>
      </c>
      <c r="G7" s="633">
        <f>G8+G11</f>
        <v>18091295</v>
      </c>
      <c r="I7" s="621">
        <f>I6-F11</f>
        <v>-419432</v>
      </c>
      <c r="J7" s="621">
        <f>J6-G11</f>
        <v>-419432</v>
      </c>
      <c r="K7" s="621">
        <f>G7-'Bieu 9'!G8</f>
        <v>422852</v>
      </c>
      <c r="L7" s="580">
        <v>2019</v>
      </c>
      <c r="M7" s="580">
        <v>2020</v>
      </c>
    </row>
    <row r="8" spans="1:14" ht="33.75" customHeight="1">
      <c r="A8" s="634" t="s">
        <v>12</v>
      </c>
      <c r="B8" s="635" t="s">
        <v>708</v>
      </c>
      <c r="C8" s="794">
        <f>C9+C10</f>
        <v>4673226</v>
      </c>
      <c r="D8" s="769">
        <f t="shared" ref="D8:G8" si="1">D9+D10</f>
        <v>5150723</v>
      </c>
      <c r="E8" s="795">
        <f t="shared" si="0"/>
        <v>1.1021771684057222</v>
      </c>
      <c r="F8" s="769">
        <f t="shared" si="1"/>
        <v>5198220</v>
      </c>
      <c r="G8" s="769">
        <f t="shared" si="1"/>
        <v>5246667</v>
      </c>
      <c r="K8" s="580" t="s">
        <v>722</v>
      </c>
      <c r="L8" s="713">
        <f>509793-7324-48750</f>
        <v>453719</v>
      </c>
      <c r="M8" s="713">
        <f>430176-7324</f>
        <v>422852</v>
      </c>
    </row>
    <row r="9" spans="1:14" ht="32.25" customHeight="1">
      <c r="A9" s="634" t="s">
        <v>17</v>
      </c>
      <c r="B9" s="635" t="s">
        <v>634</v>
      </c>
      <c r="C9" s="796">
        <v>2775849</v>
      </c>
      <c r="D9" s="639">
        <f>C9</f>
        <v>2775849</v>
      </c>
      <c r="E9" s="797">
        <f t="shared" si="0"/>
        <v>1</v>
      </c>
      <c r="F9" s="639">
        <f>D9</f>
        <v>2775849</v>
      </c>
      <c r="G9" s="639">
        <f>D9</f>
        <v>2775849</v>
      </c>
      <c r="K9" s="580" t="s">
        <v>723</v>
      </c>
      <c r="L9" s="580">
        <v>509793</v>
      </c>
      <c r="M9" s="580">
        <v>430176</v>
      </c>
    </row>
    <row r="10" spans="1:14" ht="18.75" customHeight="1">
      <c r="A10" s="634" t="s">
        <v>18</v>
      </c>
      <c r="B10" s="635" t="s">
        <v>635</v>
      </c>
      <c r="C10" s="796">
        <v>1897377</v>
      </c>
      <c r="D10" s="639">
        <f>'Bieu 9'!E20</f>
        <v>2374874</v>
      </c>
      <c r="E10" s="797">
        <f t="shared" si="0"/>
        <v>1.2516616360375403</v>
      </c>
      <c r="F10" s="639">
        <f>'Bieu 9'!F20</f>
        <v>2422371</v>
      </c>
      <c r="G10" s="639">
        <f>'Bieu 9'!G20</f>
        <v>2470818</v>
      </c>
    </row>
    <row r="11" spans="1:14" ht="33">
      <c r="A11" s="634" t="s">
        <v>13</v>
      </c>
      <c r="B11" s="635" t="s">
        <v>649</v>
      </c>
      <c r="C11" s="798">
        <f>C12+C19+C23+C24</f>
        <v>11351459</v>
      </c>
      <c r="D11" s="798">
        <f>D12+D19+D23+D24</f>
        <v>11496917</v>
      </c>
      <c r="E11" s="795">
        <f t="shared" si="0"/>
        <v>1.0128140356230859</v>
      </c>
      <c r="F11" s="798">
        <f>F12+F19+F23+F24</f>
        <v>11892723</v>
      </c>
      <c r="G11" s="798">
        <f>G12+G19+G23+G24</f>
        <v>12844628</v>
      </c>
      <c r="I11" s="669" t="e">
        <f>'Bieu 9'!C17</f>
        <v>#REF!</v>
      </c>
      <c r="J11" s="621" t="e">
        <f>I11-C11</f>
        <v>#REF!</v>
      </c>
      <c r="K11" s="714">
        <f>164458+406081+1450+331354+120000</f>
        <v>1023343</v>
      </c>
    </row>
    <row r="12" spans="1:14" ht="16.5" customHeight="1">
      <c r="A12" s="634" t="s">
        <v>17</v>
      </c>
      <c r="B12" s="635" t="s">
        <v>780</v>
      </c>
      <c r="C12" s="798">
        <f>C13+C17+C18</f>
        <v>3092946</v>
      </c>
      <c r="D12" s="636">
        <f>D13+D17+D18</f>
        <v>3194881</v>
      </c>
      <c r="E12" s="795">
        <f t="shared" si="0"/>
        <v>1.032957251759326</v>
      </c>
      <c r="F12" s="636">
        <f>F13+F17+F18</f>
        <v>3660835</v>
      </c>
      <c r="G12" s="636">
        <f t="shared" ref="G12" si="2">G13+G17+G18</f>
        <v>4184522</v>
      </c>
      <c r="I12" s="621">
        <f>C12+164458-50000+12000</f>
        <v>3219404</v>
      </c>
      <c r="J12" s="621">
        <f>G13-F13</f>
        <v>523687</v>
      </c>
      <c r="K12" s="621" t="e">
        <f>K11-J11</f>
        <v>#REF!</v>
      </c>
    </row>
    <row r="13" spans="1:14" ht="20.25" customHeight="1">
      <c r="A13" s="637">
        <v>1</v>
      </c>
      <c r="B13" s="638" t="s">
        <v>543</v>
      </c>
      <c r="C13" s="796">
        <f>3219404-164458+50000-12000-C18</f>
        <v>3027946</v>
      </c>
      <c r="D13" s="639">
        <f>'Biểu 49'!D11+D15+D16-D18</f>
        <v>3114881</v>
      </c>
      <c r="E13" s="797">
        <f t="shared" si="0"/>
        <v>1.0287108818981581</v>
      </c>
      <c r="F13" s="639">
        <f>M14+K17+K18+K21+F15+F16+L8</f>
        <v>3580835</v>
      </c>
      <c r="G13" s="639">
        <f>M14+L17+L18+K21+L21+G15+G16+M8</f>
        <v>4104522</v>
      </c>
      <c r="M13" s="580" t="s">
        <v>720</v>
      </c>
      <c r="N13" s="580" t="s">
        <v>721</v>
      </c>
    </row>
    <row r="14" spans="1:14" ht="20.25" customHeight="1">
      <c r="A14" s="799"/>
      <c r="B14" s="640" t="s">
        <v>161</v>
      </c>
      <c r="C14" s="796"/>
      <c r="D14" s="639"/>
      <c r="E14" s="639"/>
      <c r="F14" s="639"/>
      <c r="G14" s="639"/>
      <c r="I14" s="621">
        <f>C11+164458+1450+406081</f>
        <v>11923448</v>
      </c>
      <c r="K14" s="580" t="s">
        <v>719</v>
      </c>
      <c r="L14" s="580">
        <f>869860</f>
        <v>869860</v>
      </c>
      <c r="M14" s="669">
        <f>'ngay 27-11'!F11</f>
        <v>218672</v>
      </c>
      <c r="N14" s="669">
        <f>'ngay 27-11'!M11</f>
        <v>651188</v>
      </c>
    </row>
    <row r="15" spans="1:14" ht="33">
      <c r="A15" s="799" t="s">
        <v>257</v>
      </c>
      <c r="B15" s="640" t="s">
        <v>554</v>
      </c>
      <c r="C15" s="796">
        <f>'Bieu 17'!C52+'Bieu 17'!C55</f>
        <v>393751</v>
      </c>
      <c r="D15" s="639">
        <f>'Bieu 17'!D52+'Bieu 17'!D55</f>
        <v>369954</v>
      </c>
      <c r="E15" s="797">
        <f>D15/C15</f>
        <v>0.93956332809313503</v>
      </c>
      <c r="F15" s="639">
        <f>ROUND(D15*1.1,0)</f>
        <v>406949</v>
      </c>
      <c r="G15" s="639">
        <f>ROUND(F15*1.1,0)</f>
        <v>447644</v>
      </c>
      <c r="I15" s="621">
        <f>I14-11511975</f>
        <v>411473</v>
      </c>
      <c r="M15" s="580">
        <v>2019</v>
      </c>
      <c r="N15" s="580">
        <v>2020</v>
      </c>
    </row>
    <row r="16" spans="1:14" ht="33">
      <c r="A16" s="799" t="s">
        <v>257</v>
      </c>
      <c r="B16" s="640" t="s">
        <v>586</v>
      </c>
      <c r="C16" s="796">
        <f>'Bieu 17'!C58</f>
        <v>894113</v>
      </c>
      <c r="D16" s="639">
        <f>'Biểu 49'!D56</f>
        <v>1717667</v>
      </c>
      <c r="E16" s="797">
        <f>D16/C16</f>
        <v>1.9210849187966175</v>
      </c>
      <c r="F16" s="639">
        <f>ROUND(D16*1.1,0)</f>
        <v>1889434</v>
      </c>
      <c r="G16" s="639">
        <f>ROUND(F16*1.1,0)</f>
        <v>2078377</v>
      </c>
      <c r="J16" s="621"/>
      <c r="K16" s="709">
        <v>2019</v>
      </c>
      <c r="L16" s="709">
        <v>2020</v>
      </c>
      <c r="M16" s="708"/>
    </row>
    <row r="17" spans="1:13" ht="99">
      <c r="A17" s="637">
        <v>2</v>
      </c>
      <c r="B17" s="638" t="s">
        <v>709</v>
      </c>
      <c r="C17" s="796"/>
      <c r="D17" s="639"/>
      <c r="E17" s="639"/>
      <c r="F17" s="639"/>
      <c r="G17" s="639"/>
      <c r="J17" s="580" t="s">
        <v>713</v>
      </c>
      <c r="K17" s="708">
        <v>300000</v>
      </c>
      <c r="L17" s="708">
        <v>350000</v>
      </c>
      <c r="M17" s="708"/>
    </row>
    <row r="18" spans="1:13">
      <c r="A18" s="637">
        <v>3</v>
      </c>
      <c r="B18" s="638" t="s">
        <v>426</v>
      </c>
      <c r="C18" s="796">
        <f>'Bieu 17'!C24</f>
        <v>65000</v>
      </c>
      <c r="D18" s="639">
        <f>'Bieu 17'!D24</f>
        <v>80000</v>
      </c>
      <c r="E18" s="797">
        <f>D18/C18</f>
        <v>1.2307692307692308</v>
      </c>
      <c r="F18" s="639">
        <f>D18</f>
        <v>80000</v>
      </c>
      <c r="G18" s="639">
        <f>F18</f>
        <v>80000</v>
      </c>
      <c r="J18" s="580" t="s">
        <v>714</v>
      </c>
      <c r="K18" s="708">
        <v>79000</v>
      </c>
      <c r="L18" s="708">
        <v>83000</v>
      </c>
      <c r="M18" s="708"/>
    </row>
    <row r="19" spans="1:13" ht="20.25" customHeight="1">
      <c r="A19" s="634" t="s">
        <v>18</v>
      </c>
      <c r="B19" s="635" t="s">
        <v>710</v>
      </c>
      <c r="C19" s="798">
        <f>4715224+C21+C22+70000+331354-580</f>
        <v>5293040</v>
      </c>
      <c r="D19" s="636">
        <f>'Biểu 49'!$D$27+D21+D22</f>
        <v>5080090</v>
      </c>
      <c r="E19" s="795">
        <f>D19/C19</f>
        <v>0.95976792164805103</v>
      </c>
      <c r="F19" s="636">
        <f>'Biểu 49'!D27+'Bieu 10'!K22+F21+F22-310098-499432+56774-246468+600000-449946-6019-218816-20000+4499-7666+118261</f>
        <v>4671942.5</v>
      </c>
      <c r="G19" s="636">
        <f>F19-F21-F22+G21+G22+L22+61637-271114+500000-600000+268060-602-9798+90-475+11827</f>
        <v>5293353</v>
      </c>
      <c r="I19" s="621">
        <f>C11+1450+406081</f>
        <v>11758990</v>
      </c>
      <c r="J19" s="580" t="s">
        <v>715</v>
      </c>
      <c r="K19" s="708">
        <v>1553739</v>
      </c>
      <c r="L19" s="708">
        <v>1806105</v>
      </c>
      <c r="M19" s="708"/>
    </row>
    <row r="20" spans="1:13" ht="20.25" customHeight="1">
      <c r="A20" s="799"/>
      <c r="B20" s="640" t="s">
        <v>161</v>
      </c>
      <c r="C20" s="796"/>
      <c r="D20" s="639"/>
      <c r="E20" s="639"/>
      <c r="F20" s="639"/>
      <c r="G20" s="639"/>
      <c r="I20" s="621">
        <f>D19-F19</f>
        <v>408147.5</v>
      </c>
      <c r="J20" s="580" t="s">
        <v>716</v>
      </c>
      <c r="K20" s="708">
        <f>K19/2</f>
        <v>776869.5</v>
      </c>
      <c r="L20" s="708">
        <f>L19/2</f>
        <v>903052.5</v>
      </c>
    </row>
    <row r="21" spans="1:13" ht="33.75" customHeight="1">
      <c r="A21" s="799" t="s">
        <v>257</v>
      </c>
      <c r="B21" s="640" t="s">
        <v>554</v>
      </c>
      <c r="C21" s="796">
        <f>'Bieu 17'!C53+'Bieu 17'!C56</f>
        <v>124440</v>
      </c>
      <c r="D21" s="639">
        <f>'Bieu 17'!D53+'Bieu 17'!D56</f>
        <v>102967</v>
      </c>
      <c r="E21" s="797">
        <f>D21/C21</f>
        <v>0.82744294439087107</v>
      </c>
      <c r="F21" s="639">
        <f>ROUND(D21*1.1,0)</f>
        <v>113264</v>
      </c>
      <c r="G21" s="639">
        <f>ROUND(F21*1.1,0)</f>
        <v>124590</v>
      </c>
      <c r="J21" s="580" t="s">
        <v>765</v>
      </c>
      <c r="K21" s="708">
        <f>ROUND(K20*30%,0)</f>
        <v>233061</v>
      </c>
      <c r="L21" s="708">
        <f>ROUND(L20*30%,0)</f>
        <v>270916</v>
      </c>
    </row>
    <row r="22" spans="1:13" ht="33">
      <c r="A22" s="799" t="s">
        <v>257</v>
      </c>
      <c r="B22" s="640" t="s">
        <v>586</v>
      </c>
      <c r="C22" s="796">
        <f>'Bieu 17'!C62</f>
        <v>52602</v>
      </c>
      <c r="D22" s="639">
        <f>'Bieu 17'!D62</f>
        <v>166576</v>
      </c>
      <c r="E22" s="797">
        <f>D22/C22</f>
        <v>3.16672369871868</v>
      </c>
      <c r="F22" s="639">
        <f>ROUND(D22*1.1,0)</f>
        <v>183234</v>
      </c>
      <c r="G22" s="639">
        <f>ROUND(F22*1.1,0)</f>
        <v>201557</v>
      </c>
      <c r="J22" s="580" t="s">
        <v>718</v>
      </c>
      <c r="K22" s="708">
        <f>K20-K21</f>
        <v>543808.5</v>
      </c>
      <c r="L22" s="708">
        <f>L20-L21</f>
        <v>632136.5</v>
      </c>
    </row>
    <row r="23" spans="1:13" ht="33">
      <c r="A23" s="634" t="s">
        <v>196</v>
      </c>
      <c r="B23" s="635" t="s">
        <v>693</v>
      </c>
      <c r="C23" s="798">
        <v>2554000</v>
      </c>
      <c r="D23" s="636">
        <f>'ngay 27-11'!$F$194</f>
        <v>2802514</v>
      </c>
      <c r="E23" s="795">
        <f>D23/C23</f>
        <v>1.097303837118246</v>
      </c>
      <c r="F23" s="636">
        <f>2355500+'Bieu 10'!K20</f>
        <v>3132369.5</v>
      </c>
      <c r="G23" s="636">
        <f>1255500+'Bieu 10'!L20+K20</f>
        <v>2935422</v>
      </c>
      <c r="I23" s="621">
        <f>F23-D23</f>
        <v>329855.5</v>
      </c>
      <c r="K23" s="621"/>
    </row>
    <row r="24" spans="1:13" ht="66">
      <c r="A24" s="753" t="s">
        <v>197</v>
      </c>
      <c r="B24" s="791" t="s">
        <v>782</v>
      </c>
      <c r="C24" s="800">
        <f>1450+406081+3942</f>
        <v>411473</v>
      </c>
      <c r="D24" s="755">
        <v>419432</v>
      </c>
      <c r="E24" s="801"/>
      <c r="F24" s="755">
        <v>427576</v>
      </c>
      <c r="G24" s="755">
        <v>431331</v>
      </c>
      <c r="I24" s="621"/>
      <c r="K24" s="621"/>
    </row>
    <row r="25" spans="1:13" ht="16.5" customHeight="1">
      <c r="A25" s="1086" t="s">
        <v>711</v>
      </c>
      <c r="B25" s="1086"/>
      <c r="C25" s="1086"/>
      <c r="D25" s="1086"/>
      <c r="E25" s="1086"/>
      <c r="F25" s="1086"/>
      <c r="G25" s="1086"/>
    </row>
    <row r="26" spans="1:13" ht="31.5" customHeight="1">
      <c r="A26" s="1087" t="s">
        <v>712</v>
      </c>
      <c r="B26" s="1087"/>
      <c r="C26" s="1087"/>
      <c r="D26" s="1087"/>
      <c r="E26" s="1087"/>
      <c r="F26" s="1087"/>
      <c r="G26" s="1087"/>
    </row>
    <row r="27" spans="1:13">
      <c r="D27" s="739">
        <f>'Bieu 9'!E17</f>
        <v>11496917</v>
      </c>
      <c r="E27" s="739"/>
      <c r="F27" s="739">
        <f>'Bieu 9'!F17</f>
        <v>11892723</v>
      </c>
      <c r="G27" s="739">
        <f>'Bieu 9'!G17</f>
        <v>12844628</v>
      </c>
    </row>
    <row r="28" spans="1:13">
      <c r="D28" s="739">
        <f>'Bieu 9'!E31</f>
        <v>8570953</v>
      </c>
      <c r="E28" s="739"/>
      <c r="F28" s="739">
        <f>'Bieu 9'!F31</f>
        <v>9379645</v>
      </c>
      <c r="G28" s="739">
        <f>'Bieu 9'!G31</f>
        <v>9935929</v>
      </c>
    </row>
    <row r="29" spans="1:13">
      <c r="D29" s="739">
        <f>D27+D28</f>
        <v>20067870</v>
      </c>
      <c r="E29" s="739">
        <f t="shared" ref="E29" si="3">E27+E28</f>
        <v>0</v>
      </c>
      <c r="F29" s="739">
        <f>F27+F28</f>
        <v>21272368</v>
      </c>
      <c r="G29" s="739">
        <f>G27+G28</f>
        <v>22780557</v>
      </c>
    </row>
    <row r="30" spans="1:13" ht="31.5" customHeight="1">
      <c r="D30" s="744">
        <f>D27-D11</f>
        <v>0</v>
      </c>
      <c r="E30" s="744"/>
      <c r="F30" s="744">
        <f>F27-F11</f>
        <v>0</v>
      </c>
      <c r="G30" s="744">
        <f>G27-G11</f>
        <v>0</v>
      </c>
      <c r="J30" s="621">
        <f>G31-G30</f>
        <v>431331</v>
      </c>
    </row>
    <row r="31" spans="1:13" ht="40.5" customHeight="1">
      <c r="B31" s="743" t="s">
        <v>761</v>
      </c>
      <c r="D31" s="739">
        <f>1450+406081+11901</f>
        <v>419432</v>
      </c>
      <c r="E31" s="739"/>
      <c r="F31" s="739">
        <f>1450+406081+20045</f>
        <v>427576</v>
      </c>
      <c r="G31" s="739">
        <f>1450+406081+23800</f>
        <v>431331</v>
      </c>
      <c r="I31" s="580">
        <f>1450+406081+11901</f>
        <v>419432</v>
      </c>
      <c r="K31" s="621">
        <f>F31-F30</f>
        <v>427576</v>
      </c>
      <c r="L31" s="621">
        <f>G31-G30</f>
        <v>431331</v>
      </c>
    </row>
    <row r="32" spans="1:13" ht="20.25" customHeight="1">
      <c r="D32" s="804">
        <f>D31-D30</f>
        <v>419432</v>
      </c>
      <c r="F32" s="621">
        <f>F30-F31</f>
        <v>-427576</v>
      </c>
      <c r="G32" s="745">
        <f>G30-G31</f>
        <v>-431331</v>
      </c>
    </row>
    <row r="33" spans="4:7" ht="20.25" customHeight="1">
      <c r="D33" s="621">
        <f>D29-'Bieu 9'!E39</f>
        <v>76299</v>
      </c>
      <c r="F33" s="621">
        <f>F29-'Bieu 9'!F39</f>
        <v>453719</v>
      </c>
      <c r="G33" s="621">
        <f>G29-'Bieu 9'!G39</f>
        <v>422852</v>
      </c>
    </row>
    <row r="34" spans="4:7" ht="20.25" customHeight="1">
      <c r="F34" s="621">
        <f>F33-L8</f>
        <v>0</v>
      </c>
      <c r="G34" s="621">
        <f>G33-M8</f>
        <v>0</v>
      </c>
    </row>
    <row r="35" spans="4:7" ht="31.5" customHeight="1"/>
    <row r="36" spans="4:7" ht="20.25" customHeight="1"/>
    <row r="37" spans="4:7" ht="20.25" customHeight="1"/>
    <row r="38" spans="4:7" ht="19.5" customHeight="1">
      <c r="D38" s="735">
        <f>D30+D7</f>
        <v>16647640</v>
      </c>
      <c r="E38" s="735"/>
      <c r="F38" s="735">
        <f t="shared" ref="F38:G38" si="4">F30+F7</f>
        <v>17090943</v>
      </c>
      <c r="G38" s="735">
        <f t="shared" si="4"/>
        <v>18091295</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713" hidden="1" customWidth="1"/>
    <col min="4" max="4" width="11.5703125" style="580" customWidth="1"/>
    <col min="5" max="5" width="10.85546875" style="580" hidden="1" customWidth="1"/>
    <col min="6" max="6" width="11.85546875" style="580" customWidth="1"/>
    <col min="7" max="7" width="12" style="580" customWidth="1"/>
    <col min="8" max="8" width="12.42578125" style="71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1015" t="s">
        <v>704</v>
      </c>
      <c r="B1" s="1015"/>
      <c r="C1" s="1015"/>
      <c r="D1" s="1015"/>
      <c r="E1" s="1015"/>
      <c r="F1" s="1015"/>
      <c r="G1" s="1015"/>
      <c r="H1" s="1015"/>
    </row>
    <row r="2" spans="1:14" ht="37.5" customHeight="1">
      <c r="A2" s="1088" t="s">
        <v>726</v>
      </c>
      <c r="B2" s="1026"/>
      <c r="C2" s="1026"/>
      <c r="D2" s="1026"/>
      <c r="E2" s="1026"/>
      <c r="F2" s="1026"/>
      <c r="G2" s="1026"/>
      <c r="H2" s="1026"/>
    </row>
    <row r="3" spans="1:14" ht="18.75" customHeight="1">
      <c r="A3" s="1026"/>
      <c r="B3" s="1026"/>
      <c r="C3" s="1026"/>
      <c r="D3" s="1026"/>
      <c r="E3" s="1026"/>
      <c r="F3" s="1026"/>
      <c r="G3" s="1026"/>
      <c r="J3" s="621">
        <f>D7+419432</f>
        <v>17067072</v>
      </c>
    </row>
    <row r="4" spans="1:14" ht="16.5" customHeight="1" thickBot="1">
      <c r="A4" s="1089" t="s">
        <v>199</v>
      </c>
      <c r="B4" s="1089"/>
      <c r="C4" s="1089"/>
      <c r="D4" s="1089"/>
      <c r="E4" s="1089"/>
      <c r="F4" s="1089"/>
      <c r="G4" s="1089"/>
      <c r="H4" s="1089"/>
      <c r="I4" s="621">
        <f>F7+419432</f>
        <v>17510375</v>
      </c>
      <c r="J4" s="621">
        <f>G7+419432</f>
        <v>18079396</v>
      </c>
    </row>
    <row r="5" spans="1:14" ht="65.25" customHeight="1" thickBot="1">
      <c r="A5" s="610" t="s">
        <v>11</v>
      </c>
      <c r="B5" s="690" t="s">
        <v>289</v>
      </c>
      <c r="C5" s="715" t="s">
        <v>400</v>
      </c>
      <c r="D5" s="690" t="s">
        <v>697</v>
      </c>
      <c r="E5" s="690" t="s">
        <v>371</v>
      </c>
      <c r="F5" s="690" t="s">
        <v>698</v>
      </c>
      <c r="G5" s="690" t="s">
        <v>699</v>
      </c>
      <c r="H5" s="726" t="s">
        <v>725</v>
      </c>
      <c r="I5" s="580">
        <v>2019</v>
      </c>
      <c r="J5" s="580">
        <v>2020</v>
      </c>
    </row>
    <row r="6" spans="1:14" ht="16.5" customHeight="1" thickBot="1">
      <c r="A6" s="689" t="s">
        <v>12</v>
      </c>
      <c r="B6" s="581" t="s">
        <v>13</v>
      </c>
      <c r="C6" s="716">
        <v>1</v>
      </c>
      <c r="D6" s="581">
        <v>1</v>
      </c>
      <c r="E6" s="581" t="s">
        <v>706</v>
      </c>
      <c r="F6" s="581">
        <v>2</v>
      </c>
      <c r="G6" s="581">
        <v>3</v>
      </c>
      <c r="H6" s="581" t="s">
        <v>762</v>
      </c>
      <c r="I6" s="669">
        <f>'Bieu 9'!F17-419432</f>
        <v>11473291</v>
      </c>
      <c r="J6" s="669">
        <f>'Bieu 9'!G17-419432</f>
        <v>12425196</v>
      </c>
    </row>
    <row r="7" spans="1:14" ht="30.75" customHeight="1">
      <c r="A7" s="600"/>
      <c r="B7" s="601" t="s">
        <v>707</v>
      </c>
      <c r="C7" s="717">
        <f>C8+C11</f>
        <v>4738226</v>
      </c>
      <c r="D7" s="711">
        <f>D8+D11</f>
        <v>16647640</v>
      </c>
      <c r="E7" s="711">
        <f t="shared" ref="E7" si="0">E8+E11</f>
        <v>0</v>
      </c>
      <c r="F7" s="711">
        <f>F8+F11</f>
        <v>17090943</v>
      </c>
      <c r="G7" s="711">
        <f>G8+G11</f>
        <v>17659964</v>
      </c>
      <c r="H7" s="727">
        <f>D7+F7+G7</f>
        <v>51398547</v>
      </c>
      <c r="I7" s="621">
        <f>I6-F11</f>
        <v>-419432</v>
      </c>
      <c r="J7" s="621">
        <f>J6-G11</f>
        <v>11899</v>
      </c>
      <c r="K7" s="621">
        <f>G7-'Bieu 9'!G8</f>
        <v>-8479</v>
      </c>
      <c r="L7" s="580">
        <v>2019</v>
      </c>
      <c r="M7" s="580">
        <v>2020</v>
      </c>
    </row>
    <row r="8" spans="1:14" ht="33.75" customHeight="1">
      <c r="A8" s="602" t="s">
        <v>12</v>
      </c>
      <c r="B8" s="603" t="s">
        <v>708</v>
      </c>
      <c r="C8" s="718">
        <f>C9+C10</f>
        <v>4673226</v>
      </c>
      <c r="D8" s="710">
        <f t="shared" ref="D8:G8" si="1">D9+D10</f>
        <v>5150723</v>
      </c>
      <c r="E8" s="710"/>
      <c r="F8" s="710">
        <f t="shared" si="1"/>
        <v>5198220</v>
      </c>
      <c r="G8" s="710">
        <f t="shared" si="1"/>
        <v>5246667</v>
      </c>
      <c r="H8" s="728">
        <f t="shared" ref="H8:H24" si="2">D8+F8+G8</f>
        <v>15595610</v>
      </c>
      <c r="I8" s="621">
        <f>'9 sua'!G16-'10 sua'!F7</f>
        <v>0</v>
      </c>
      <c r="J8" s="621">
        <f>'9 sua'!H16-'10 sua'!G7</f>
        <v>431331</v>
      </c>
      <c r="K8" s="580" t="s">
        <v>722</v>
      </c>
      <c r="L8" s="713">
        <f>509793-7324-48750</f>
        <v>453719</v>
      </c>
      <c r="M8" s="713">
        <f>430176-7324</f>
        <v>422852</v>
      </c>
    </row>
    <row r="9" spans="1:14" ht="32.25" customHeight="1">
      <c r="A9" s="602" t="s">
        <v>17</v>
      </c>
      <c r="B9" s="603" t="s">
        <v>634</v>
      </c>
      <c r="C9" s="719">
        <v>2775849</v>
      </c>
      <c r="D9" s="698">
        <f>C9</f>
        <v>2775849</v>
      </c>
      <c r="E9" s="707">
        <f>D9/C9</f>
        <v>1</v>
      </c>
      <c r="F9" s="698">
        <f>D9</f>
        <v>2775849</v>
      </c>
      <c r="G9" s="698">
        <f>D9</f>
        <v>2775849</v>
      </c>
      <c r="H9" s="729">
        <f t="shared" si="2"/>
        <v>8327547</v>
      </c>
      <c r="K9" s="580" t="s">
        <v>723</v>
      </c>
      <c r="L9" s="580">
        <v>509793</v>
      </c>
      <c r="M9" s="580">
        <v>430176</v>
      </c>
    </row>
    <row r="10" spans="1:14" ht="18.75" customHeight="1">
      <c r="A10" s="602" t="s">
        <v>18</v>
      </c>
      <c r="B10" s="603" t="s">
        <v>635</v>
      </c>
      <c r="C10" s="719">
        <v>1897377</v>
      </c>
      <c r="D10" s="698">
        <f>'Bieu 10'!D10</f>
        <v>2374874</v>
      </c>
      <c r="E10" s="707">
        <f>D10/C10</f>
        <v>1.2516616360375403</v>
      </c>
      <c r="F10" s="698">
        <f>'Bieu 10'!F10</f>
        <v>2422371</v>
      </c>
      <c r="G10" s="698">
        <f>'9 sua'!H20</f>
        <v>2470818</v>
      </c>
      <c r="H10" s="729">
        <f t="shared" si="2"/>
        <v>7268063</v>
      </c>
    </row>
    <row r="11" spans="1:14" ht="20.25" customHeight="1">
      <c r="A11" s="602" t="s">
        <v>13</v>
      </c>
      <c r="B11" s="603" t="s">
        <v>649</v>
      </c>
      <c r="C11" s="720">
        <f>C12+C19+C23</f>
        <v>65000</v>
      </c>
      <c r="D11" s="699">
        <f>D12+D19+D23+D24</f>
        <v>11496917</v>
      </c>
      <c r="E11" s="699"/>
      <c r="F11" s="699">
        <f t="shared" ref="F11:G11" si="3">F12+F19+F23+F24</f>
        <v>11892723</v>
      </c>
      <c r="G11" s="699">
        <f t="shared" si="3"/>
        <v>12413297</v>
      </c>
      <c r="H11" s="728">
        <f t="shared" si="2"/>
        <v>35802937</v>
      </c>
      <c r="I11" s="669" t="e">
        <f>'Bieu 9'!C17</f>
        <v>#REF!</v>
      </c>
      <c r="J11" s="621" t="e">
        <f>I11-C11</f>
        <v>#REF!</v>
      </c>
      <c r="K11" s="714">
        <f>164458+406081+1450+331354+120000</f>
        <v>1023343</v>
      </c>
    </row>
    <row r="12" spans="1:14" ht="16.5" customHeight="1">
      <c r="A12" s="602" t="s">
        <v>17</v>
      </c>
      <c r="B12" s="603" t="s">
        <v>542</v>
      </c>
      <c r="C12" s="699">
        <f>C13+C17+C18</f>
        <v>65000</v>
      </c>
      <c r="D12" s="699">
        <f>D13+D17+D18</f>
        <v>3194881</v>
      </c>
      <c r="E12" s="699">
        <f t="shared" ref="E12" si="4">E13+E17</f>
        <v>0</v>
      </c>
      <c r="F12" s="699">
        <f>F13+F17+F18</f>
        <v>3660835</v>
      </c>
      <c r="G12" s="699">
        <f t="shared" ref="G12" si="5">G13+G17+G18</f>
        <v>4184522</v>
      </c>
      <c r="H12" s="728">
        <f t="shared" si="2"/>
        <v>11040238</v>
      </c>
      <c r="J12" s="621">
        <f>G13-F13</f>
        <v>523687</v>
      </c>
      <c r="K12" s="621" t="e">
        <f>K11-J11</f>
        <v>#REF!</v>
      </c>
    </row>
    <row r="13" spans="1:14" ht="20.25" customHeight="1">
      <c r="A13" s="604">
        <v>1</v>
      </c>
      <c r="B13" s="605" t="s">
        <v>543</v>
      </c>
      <c r="C13" s="719"/>
      <c r="D13" s="698">
        <f>'Bieu 10'!D13</f>
        <v>3114881</v>
      </c>
      <c r="E13" s="698"/>
      <c r="F13" s="698">
        <f>'Bieu 10'!F13</f>
        <v>3580835</v>
      </c>
      <c r="G13" s="698">
        <f>'Bieu 10'!G13</f>
        <v>4104522</v>
      </c>
      <c r="H13" s="729">
        <f t="shared" si="2"/>
        <v>10800238</v>
      </c>
      <c r="M13" s="580" t="s">
        <v>720</v>
      </c>
      <c r="N13" s="580" t="s">
        <v>721</v>
      </c>
    </row>
    <row r="14" spans="1:14" ht="20.25" customHeight="1">
      <c r="A14" s="700"/>
      <c r="B14" s="701" t="s">
        <v>161</v>
      </c>
      <c r="C14" s="719"/>
      <c r="D14" s="698"/>
      <c r="E14" s="698"/>
      <c r="F14" s="698"/>
      <c r="G14" s="698"/>
      <c r="H14" s="729">
        <f t="shared" si="2"/>
        <v>0</v>
      </c>
      <c r="K14" s="580" t="s">
        <v>719</v>
      </c>
      <c r="L14" s="580">
        <f>869860</f>
        <v>869860</v>
      </c>
      <c r="M14" s="669">
        <v>506860</v>
      </c>
      <c r="N14" s="669">
        <v>363000</v>
      </c>
    </row>
    <row r="15" spans="1:14" ht="20.25" customHeight="1">
      <c r="A15" s="700" t="s">
        <v>257</v>
      </c>
      <c r="B15" s="701" t="s">
        <v>554</v>
      </c>
      <c r="C15" s="719">
        <f>'Bieu 17'!C52+'Bieu 17'!C55</f>
        <v>393751</v>
      </c>
      <c r="D15" s="698">
        <f>'Bieu 10'!D15</f>
        <v>369954</v>
      </c>
      <c r="E15" s="698"/>
      <c r="F15" s="698">
        <f>'Bieu 10'!F15</f>
        <v>406949</v>
      </c>
      <c r="G15" s="698">
        <f>'Bieu 10'!G15</f>
        <v>447644</v>
      </c>
      <c r="H15" s="729">
        <f t="shared" si="2"/>
        <v>1224547</v>
      </c>
      <c r="I15" s="621"/>
      <c r="M15" s="580">
        <v>2019</v>
      </c>
      <c r="N15" s="580">
        <v>2020</v>
      </c>
    </row>
    <row r="16" spans="1:14" ht="20.25" customHeight="1">
      <c r="A16" s="700" t="s">
        <v>257</v>
      </c>
      <c r="B16" s="701" t="s">
        <v>586</v>
      </c>
      <c r="C16" s="719">
        <f>'Bieu 17'!C58</f>
        <v>894113</v>
      </c>
      <c r="D16" s="698">
        <f>'Bieu 10'!D16</f>
        <v>1717667</v>
      </c>
      <c r="E16" s="698"/>
      <c r="F16" s="698">
        <f>'Bieu 10'!F16</f>
        <v>1889434</v>
      </c>
      <c r="G16" s="698">
        <f>'Bieu 10'!G16</f>
        <v>2078377</v>
      </c>
      <c r="H16" s="729">
        <f t="shared" si="2"/>
        <v>5685478</v>
      </c>
      <c r="J16" s="621"/>
      <c r="K16" s="709">
        <v>2019</v>
      </c>
      <c r="L16" s="709">
        <v>2020</v>
      </c>
      <c r="M16" s="708"/>
    </row>
    <row r="17" spans="1:13" ht="99">
      <c r="A17" s="604">
        <v>2</v>
      </c>
      <c r="B17" s="605" t="s">
        <v>709</v>
      </c>
      <c r="C17" s="719"/>
      <c r="D17" s="698"/>
      <c r="E17" s="698"/>
      <c r="F17" s="698"/>
      <c r="G17" s="698"/>
      <c r="H17" s="729">
        <f t="shared" si="2"/>
        <v>0</v>
      </c>
      <c r="J17" s="580" t="s">
        <v>713</v>
      </c>
      <c r="K17" s="708">
        <v>300000</v>
      </c>
      <c r="L17" s="708">
        <v>350000</v>
      </c>
      <c r="M17" s="708"/>
    </row>
    <row r="18" spans="1:13" ht="20.25" customHeight="1">
      <c r="A18" s="604">
        <v>3</v>
      </c>
      <c r="B18" s="605" t="s">
        <v>426</v>
      </c>
      <c r="C18" s="719">
        <f>'Bieu 17'!C24</f>
        <v>65000</v>
      </c>
      <c r="D18" s="698">
        <f>'Bieu 10'!D18</f>
        <v>80000</v>
      </c>
      <c r="E18" s="698"/>
      <c r="F18" s="698">
        <f>'Bieu 10'!F18</f>
        <v>80000</v>
      </c>
      <c r="G18" s="698">
        <f>'Bieu 10'!G18</f>
        <v>80000</v>
      </c>
      <c r="H18" s="729">
        <f t="shared" si="2"/>
        <v>240000</v>
      </c>
      <c r="J18" s="580" t="s">
        <v>714</v>
      </c>
      <c r="K18" s="708">
        <v>77000</v>
      </c>
      <c r="L18" s="708">
        <v>78000</v>
      </c>
      <c r="M18" s="708"/>
    </row>
    <row r="19" spans="1:13" ht="20.25" customHeight="1">
      <c r="A19" s="602" t="s">
        <v>18</v>
      </c>
      <c r="B19" s="603" t="s">
        <v>710</v>
      </c>
      <c r="C19" s="720"/>
      <c r="D19" s="699">
        <f>'Bieu 10'!D19</f>
        <v>5080090</v>
      </c>
      <c r="E19" s="699"/>
      <c r="F19" s="699">
        <f>'Bieu 10'!F19</f>
        <v>4671942.5</v>
      </c>
      <c r="G19" s="699">
        <f>'Bieu 10'!G19</f>
        <v>5293353</v>
      </c>
      <c r="H19" s="728">
        <f t="shared" si="2"/>
        <v>15045385.5</v>
      </c>
      <c r="J19" s="580" t="s">
        <v>715</v>
      </c>
      <c r="K19" s="708">
        <f>1436806</f>
        <v>1436806</v>
      </c>
      <c r="L19" s="708">
        <f>1667512</f>
        <v>1667512</v>
      </c>
      <c r="M19" s="708"/>
    </row>
    <row r="20" spans="1:13" ht="20.25" customHeight="1">
      <c r="A20" s="700"/>
      <c r="B20" s="701" t="s">
        <v>161</v>
      </c>
      <c r="C20" s="719"/>
      <c r="D20" s="698"/>
      <c r="E20" s="698"/>
      <c r="F20" s="698"/>
      <c r="G20" s="698"/>
      <c r="H20" s="729">
        <f t="shared" si="2"/>
        <v>0</v>
      </c>
      <c r="J20" s="580" t="s">
        <v>716</v>
      </c>
      <c r="K20" s="708">
        <f>K19/2</f>
        <v>718403</v>
      </c>
      <c r="L20" s="708">
        <f>L19/2</f>
        <v>833756</v>
      </c>
    </row>
    <row r="21" spans="1:13" ht="20.25" customHeight="1">
      <c r="A21" s="700" t="s">
        <v>257</v>
      </c>
      <c r="B21" s="701" t="s">
        <v>554</v>
      </c>
      <c r="C21" s="719">
        <f>'Bieu 17'!C53+'Bieu 17'!C56</f>
        <v>124440</v>
      </c>
      <c r="D21" s="698">
        <f>'Bieu 10'!D21</f>
        <v>102967</v>
      </c>
      <c r="E21" s="698"/>
      <c r="F21" s="698">
        <f>'Bieu 10'!F21</f>
        <v>113264</v>
      </c>
      <c r="G21" s="698">
        <f>'Bieu 10'!G21</f>
        <v>124590</v>
      </c>
      <c r="H21" s="729">
        <f t="shared" si="2"/>
        <v>340821</v>
      </c>
      <c r="J21" s="580" t="s">
        <v>717</v>
      </c>
      <c r="K21" s="708">
        <f>ROUND(K20*40%,0)</f>
        <v>287361</v>
      </c>
      <c r="L21" s="708">
        <f>ROUND(L20*40%,0)</f>
        <v>333502</v>
      </c>
    </row>
    <row r="22" spans="1:13" ht="31.5" customHeight="1">
      <c r="A22" s="700" t="s">
        <v>257</v>
      </c>
      <c r="B22" s="701" t="s">
        <v>586</v>
      </c>
      <c r="C22" s="719">
        <f>'Bieu 17'!C62</f>
        <v>52602</v>
      </c>
      <c r="D22" s="698">
        <f>'Bieu 10'!D22</f>
        <v>166576</v>
      </c>
      <c r="E22" s="698"/>
      <c r="F22" s="698">
        <f>'Bieu 10'!F22</f>
        <v>183234</v>
      </c>
      <c r="G22" s="698">
        <f>'Bieu 10'!G22</f>
        <v>201557</v>
      </c>
      <c r="H22" s="729">
        <f t="shared" si="2"/>
        <v>551367</v>
      </c>
      <c r="J22" s="580" t="s">
        <v>718</v>
      </c>
      <c r="K22" s="708">
        <f>K20-K21</f>
        <v>431042</v>
      </c>
      <c r="L22" s="708">
        <f>L20-L21</f>
        <v>500254</v>
      </c>
    </row>
    <row r="23" spans="1:13" ht="34.5" customHeight="1">
      <c r="A23" s="602" t="s">
        <v>196</v>
      </c>
      <c r="B23" s="603" t="s">
        <v>693</v>
      </c>
      <c r="C23" s="720"/>
      <c r="D23" s="699">
        <f>'ngay 27-11'!$F$194</f>
        <v>2802514</v>
      </c>
      <c r="E23" s="699"/>
      <c r="F23" s="699">
        <f>'Bieu 10'!F23</f>
        <v>3132369.5</v>
      </c>
      <c r="G23" s="699">
        <f>'Bieu 10'!G23</f>
        <v>2935422</v>
      </c>
      <c r="H23" s="728">
        <f t="shared" si="2"/>
        <v>8870305.5</v>
      </c>
    </row>
    <row r="24" spans="1:13" ht="36.75" customHeight="1" thickBot="1">
      <c r="A24" s="702" t="s">
        <v>197</v>
      </c>
      <c r="B24" s="703" t="s">
        <v>724</v>
      </c>
      <c r="C24" s="721"/>
      <c r="D24" s="704">
        <f>'Bieu 17'!D44+'Bieu 17'!D45+'Biểu 49'!D44</f>
        <v>419432</v>
      </c>
      <c r="E24" s="704"/>
      <c r="F24" s="704">
        <v>427576</v>
      </c>
      <c r="G24" s="704">
        <f>'Bieu 10'!G30</f>
        <v>0</v>
      </c>
      <c r="H24" s="730">
        <f t="shared" si="2"/>
        <v>847008</v>
      </c>
    </row>
    <row r="25" spans="1:13" ht="31.5" customHeight="1">
      <c r="A25" s="722"/>
      <c r="B25" s="723"/>
      <c r="C25" s="724"/>
      <c r="D25" s="725"/>
      <c r="E25" s="725"/>
      <c r="F25" s="725"/>
      <c r="G25" s="725"/>
    </row>
    <row r="26" spans="1:13" ht="31.5" customHeight="1">
      <c r="A26" s="1086"/>
      <c r="B26" s="1086"/>
      <c r="C26" s="1086"/>
      <c r="D26" s="1086"/>
      <c r="E26" s="1086"/>
      <c r="F26" s="1086"/>
      <c r="G26" s="1086"/>
    </row>
    <row r="27" spans="1:13" ht="31.5" customHeight="1">
      <c r="A27" s="1087"/>
      <c r="B27" s="1087"/>
      <c r="C27" s="1087"/>
      <c r="D27" s="1087"/>
      <c r="E27" s="1087"/>
      <c r="F27" s="1087"/>
      <c r="G27" s="10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1095" t="s">
        <v>399</v>
      </c>
      <c r="B1" s="1095"/>
      <c r="C1" s="1095"/>
      <c r="D1" s="1095"/>
      <c r="E1" s="1095"/>
      <c r="F1" s="1095"/>
      <c r="G1" s="1095"/>
      <c r="H1" s="1095"/>
      <c r="I1" s="1095"/>
      <c r="J1" s="1095"/>
      <c r="K1" s="1095"/>
      <c r="L1" s="1095"/>
      <c r="M1" s="1095"/>
      <c r="N1" s="1095"/>
      <c r="O1" s="1095"/>
      <c r="P1" s="1095"/>
      <c r="Q1" s="1095"/>
      <c r="R1" s="1095"/>
      <c r="S1" s="1095"/>
      <c r="T1" s="1095"/>
      <c r="U1" s="1095"/>
      <c r="V1" s="1095"/>
      <c r="W1" s="1095"/>
      <c r="X1" s="1095"/>
      <c r="Y1" s="539"/>
      <c r="Z1" s="539"/>
      <c r="AA1" s="539"/>
      <c r="AB1" s="454"/>
      <c r="AC1" s="539"/>
      <c r="AD1" s="539"/>
      <c r="AE1" s="539"/>
      <c r="AF1" s="454"/>
      <c r="AG1" s="454"/>
      <c r="AH1" s="454"/>
      <c r="AI1" s="454"/>
      <c r="AJ1" s="454"/>
      <c r="AK1" s="454"/>
      <c r="AL1" s="454"/>
      <c r="AM1" s="454"/>
      <c r="AN1" s="504"/>
      <c r="AO1" s="454"/>
    </row>
    <row r="2" spans="1:48" ht="21" customHeight="1">
      <c r="A2" s="1096"/>
      <c r="B2" s="1096"/>
      <c r="C2" s="1096"/>
      <c r="D2" s="1096"/>
      <c r="E2" s="1096"/>
      <c r="F2" s="1096"/>
      <c r="G2" s="1096"/>
      <c r="H2" s="1096"/>
      <c r="I2" s="1096"/>
      <c r="J2" s="1096"/>
      <c r="K2" s="1096"/>
      <c r="L2" s="1096"/>
      <c r="M2" s="1096"/>
      <c r="N2" s="1096"/>
      <c r="O2" s="1096"/>
      <c r="P2" s="1096"/>
      <c r="Q2" s="1096"/>
      <c r="R2" s="1096"/>
      <c r="S2" s="1096"/>
      <c r="T2" s="1096"/>
      <c r="U2" s="1096"/>
      <c r="V2" s="1096"/>
      <c r="W2" s="1096"/>
      <c r="X2" s="10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1093" t="s">
        <v>378</v>
      </c>
      <c r="B4" s="1093" t="s">
        <v>379</v>
      </c>
      <c r="C4" s="1098" t="s">
        <v>502</v>
      </c>
      <c r="D4" s="1099"/>
      <c r="E4" s="1099"/>
      <c r="F4" s="1099"/>
      <c r="G4" s="1099"/>
      <c r="H4" s="1099"/>
      <c r="I4" s="1099"/>
      <c r="J4" s="1100"/>
      <c r="K4" s="1093" t="s">
        <v>472</v>
      </c>
      <c r="L4" s="1097" t="s">
        <v>380</v>
      </c>
      <c r="M4" s="1097"/>
      <c r="N4" s="1097"/>
      <c r="O4" s="1097"/>
      <c r="P4" s="1097"/>
      <c r="Q4" s="1097"/>
      <c r="R4" s="1097"/>
      <c r="S4" s="1097"/>
      <c r="T4" s="1097"/>
      <c r="U4" s="1097"/>
      <c r="V4" s="1097"/>
      <c r="W4" s="1097"/>
      <c r="X4" s="1097"/>
      <c r="Y4" s="541"/>
      <c r="Z4" s="541"/>
      <c r="AA4" s="541"/>
      <c r="AB4" s="505"/>
      <c r="AC4" s="541"/>
      <c r="AD4" s="541"/>
      <c r="AE4" s="541"/>
      <c r="AF4" s="505"/>
      <c r="AG4" s="505"/>
      <c r="AH4" s="505"/>
      <c r="AI4" s="505"/>
      <c r="AJ4" s="505"/>
      <c r="AK4" s="505"/>
      <c r="AL4" s="505"/>
      <c r="AM4" s="505"/>
      <c r="AN4" s="508"/>
      <c r="AO4" s="452"/>
    </row>
    <row r="5" spans="1:48" ht="21.75" customHeight="1">
      <c r="A5" s="1093"/>
      <c r="B5" s="1093"/>
      <c r="C5" s="1101" t="s">
        <v>405</v>
      </c>
      <c r="D5" s="1104" t="s">
        <v>471</v>
      </c>
      <c r="E5" s="1105"/>
      <c r="F5" s="1105"/>
      <c r="G5" s="1105"/>
      <c r="H5" s="1105"/>
      <c r="I5" s="1105"/>
      <c r="J5" s="1106"/>
      <c r="K5" s="1093"/>
      <c r="L5" s="1093" t="s">
        <v>474</v>
      </c>
      <c r="M5" s="1093"/>
      <c r="N5" s="1093"/>
      <c r="O5" s="1093"/>
      <c r="P5" s="1093"/>
      <c r="Q5" s="1093"/>
      <c r="R5" s="1093"/>
      <c r="S5" s="1093"/>
      <c r="T5" s="1093"/>
      <c r="U5" s="1092" t="s">
        <v>382</v>
      </c>
      <c r="V5" s="1092"/>
      <c r="W5" s="1092"/>
      <c r="X5" s="1092" t="s">
        <v>479</v>
      </c>
      <c r="Y5" s="1107" t="s">
        <v>498</v>
      </c>
      <c r="Z5" s="1107"/>
      <c r="AA5" s="1107"/>
      <c r="AB5" s="1107"/>
      <c r="AC5" s="1107"/>
      <c r="AD5" s="1107"/>
      <c r="AE5" s="1107"/>
      <c r="AF5" s="1107"/>
      <c r="AG5" s="1094"/>
      <c r="AH5" s="509"/>
      <c r="AI5" s="509"/>
      <c r="AJ5" s="509"/>
      <c r="AK5" s="509"/>
      <c r="AL5" s="506"/>
      <c r="AM5" s="506"/>
      <c r="AN5" s="509"/>
      <c r="AO5" s="505"/>
      <c r="AP5" s="448" t="s">
        <v>404</v>
      </c>
      <c r="AQ5" s="1090" t="s">
        <v>405</v>
      </c>
      <c r="AR5" s="1090"/>
      <c r="AS5" s="1090"/>
      <c r="AT5" s="453"/>
    </row>
    <row r="6" spans="1:48" ht="36" customHeight="1">
      <c r="A6" s="1093"/>
      <c r="B6" s="1093"/>
      <c r="C6" s="1102"/>
      <c r="D6" s="1104"/>
      <c r="E6" s="1105"/>
      <c r="F6" s="1105"/>
      <c r="G6" s="1105"/>
      <c r="H6" s="1105"/>
      <c r="I6" s="1105"/>
      <c r="J6" s="1106"/>
      <c r="K6" s="1093"/>
      <c r="L6" s="1092" t="s">
        <v>405</v>
      </c>
      <c r="M6" s="1092"/>
      <c r="N6" s="1092"/>
      <c r="O6" s="1092" t="s">
        <v>462</v>
      </c>
      <c r="P6" s="1092"/>
      <c r="Q6" s="1092"/>
      <c r="R6" s="1092" t="s">
        <v>477</v>
      </c>
      <c r="S6" s="1092"/>
      <c r="T6" s="1092"/>
      <c r="U6" s="1092"/>
      <c r="V6" s="1092"/>
      <c r="W6" s="1092"/>
      <c r="X6" s="1092"/>
      <c r="Y6" s="1092" t="s">
        <v>353</v>
      </c>
      <c r="Z6" s="1092"/>
      <c r="AA6" s="1092"/>
      <c r="AB6" s="1092"/>
      <c r="AC6" s="1092" t="s">
        <v>354</v>
      </c>
      <c r="AD6" s="1092"/>
      <c r="AE6" s="1092"/>
      <c r="AF6" s="1092"/>
      <c r="AG6" s="1094"/>
      <c r="AH6" s="509"/>
      <c r="AI6" s="509"/>
      <c r="AJ6" s="509"/>
      <c r="AK6" s="509"/>
      <c r="AL6" s="506"/>
      <c r="AM6" s="506"/>
      <c r="AN6" s="519" t="e">
        <f>AN34+R34</f>
        <v>#REF!</v>
      </c>
      <c r="AO6" s="506" t="s">
        <v>457</v>
      </c>
      <c r="AP6" s="448"/>
      <c r="AQ6" s="453" t="s">
        <v>406</v>
      </c>
      <c r="AR6" s="453" t="s">
        <v>37</v>
      </c>
      <c r="AS6" s="453" t="s">
        <v>407</v>
      </c>
      <c r="AT6" s="453"/>
    </row>
    <row r="7" spans="1:48" ht="18.75" customHeight="1">
      <c r="A7" s="1093"/>
      <c r="B7" s="1093"/>
      <c r="C7" s="1102"/>
      <c r="D7" s="1104"/>
      <c r="E7" s="1105"/>
      <c r="F7" s="1105"/>
      <c r="G7" s="1105"/>
      <c r="H7" s="1105"/>
      <c r="I7" s="1105"/>
      <c r="J7" s="1106"/>
      <c r="K7" s="1093"/>
      <c r="L7" s="1092" t="s">
        <v>405</v>
      </c>
      <c r="M7" s="1092" t="s">
        <v>403</v>
      </c>
      <c r="N7" s="1092" t="s">
        <v>402</v>
      </c>
      <c r="O7" s="1092" t="s">
        <v>405</v>
      </c>
      <c r="P7" s="1092" t="s">
        <v>403</v>
      </c>
      <c r="Q7" s="1092" t="s">
        <v>402</v>
      </c>
      <c r="R7" s="1092" t="s">
        <v>405</v>
      </c>
      <c r="S7" s="1092" t="s">
        <v>403</v>
      </c>
      <c r="T7" s="1092" t="s">
        <v>402</v>
      </c>
      <c r="U7" s="1092" t="s">
        <v>405</v>
      </c>
      <c r="V7" s="1092" t="s">
        <v>500</v>
      </c>
      <c r="W7" s="1092" t="s">
        <v>476</v>
      </c>
      <c r="X7" s="1092"/>
      <c r="Y7" s="1092" t="s">
        <v>405</v>
      </c>
      <c r="Z7" s="1092" t="s">
        <v>403</v>
      </c>
      <c r="AA7" s="1092" t="s">
        <v>499</v>
      </c>
      <c r="AB7" s="1092" t="s">
        <v>402</v>
      </c>
      <c r="AC7" s="1092" t="s">
        <v>405</v>
      </c>
      <c r="AD7" s="1092" t="s">
        <v>403</v>
      </c>
      <c r="AE7" s="1092" t="s">
        <v>499</v>
      </c>
      <c r="AF7" s="1092" t="s">
        <v>402</v>
      </c>
      <c r="AG7" s="10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1093"/>
      <c r="B8" s="1093"/>
      <c r="C8" s="1103"/>
      <c r="D8" s="552" t="s">
        <v>503</v>
      </c>
      <c r="E8" s="552" t="s">
        <v>504</v>
      </c>
      <c r="F8" s="559" t="s">
        <v>507</v>
      </c>
      <c r="G8" s="559"/>
      <c r="H8" s="559"/>
      <c r="I8" s="559" t="s">
        <v>505</v>
      </c>
      <c r="J8" s="552" t="s">
        <v>506</v>
      </c>
      <c r="K8" s="1093"/>
      <c r="L8" s="1092"/>
      <c r="M8" s="1092"/>
      <c r="N8" s="1092"/>
      <c r="O8" s="1092"/>
      <c r="P8" s="1092"/>
      <c r="Q8" s="1092"/>
      <c r="R8" s="1092"/>
      <c r="S8" s="1092"/>
      <c r="T8" s="1092"/>
      <c r="U8" s="1092"/>
      <c r="V8" s="1092"/>
      <c r="W8" s="1092"/>
      <c r="X8" s="1092"/>
      <c r="Y8" s="1092"/>
      <c r="Z8" s="1092"/>
      <c r="AA8" s="1092"/>
      <c r="AB8" s="1092"/>
      <c r="AC8" s="1092"/>
      <c r="AD8" s="1092"/>
      <c r="AE8" s="1092"/>
      <c r="AF8" s="1092"/>
      <c r="AG8" s="10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10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10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10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1095" t="s">
        <v>473</v>
      </c>
      <c r="B1" s="1095"/>
      <c r="C1" s="1095"/>
      <c r="D1" s="1095"/>
      <c r="E1" s="1095"/>
      <c r="F1" s="1095"/>
      <c r="G1" s="1095"/>
      <c r="H1" s="1095"/>
      <c r="I1" s="1095"/>
      <c r="J1" s="10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1093" t="s">
        <v>378</v>
      </c>
      <c r="B3" s="1093" t="s">
        <v>379</v>
      </c>
      <c r="C3" s="1101" t="s">
        <v>518</v>
      </c>
      <c r="D3" s="1101" t="s">
        <v>519</v>
      </c>
      <c r="E3" s="1097" t="s">
        <v>520</v>
      </c>
      <c r="F3" s="1097"/>
      <c r="G3" s="1097"/>
      <c r="H3" s="1097"/>
      <c r="I3" s="1097"/>
      <c r="J3" s="1097"/>
      <c r="K3" s="1108" t="s">
        <v>521</v>
      </c>
      <c r="L3" s="1108" t="s">
        <v>471</v>
      </c>
      <c r="M3" s="1108"/>
      <c r="N3" s="1108" t="s">
        <v>524</v>
      </c>
      <c r="O3" s="1108" t="s">
        <v>471</v>
      </c>
      <c r="P3" s="1108"/>
      <c r="Q3" s="1107" t="s">
        <v>510</v>
      </c>
      <c r="R3" s="1107" t="s">
        <v>471</v>
      </c>
      <c r="S3" s="1107"/>
      <c r="T3" s="1107" t="s">
        <v>380</v>
      </c>
      <c r="U3" s="1107"/>
      <c r="V3" s="1107"/>
      <c r="W3" s="1107"/>
      <c r="X3" s="1107"/>
      <c r="Y3" s="1107"/>
      <c r="Z3" s="1107"/>
      <c r="AA3" s="1107"/>
      <c r="AB3" s="1107"/>
      <c r="AC3" s="1107"/>
      <c r="AD3" s="1107" t="s">
        <v>354</v>
      </c>
      <c r="AE3" s="1107" t="s">
        <v>471</v>
      </c>
      <c r="AF3" s="1107"/>
      <c r="AG3" s="1107" t="s">
        <v>380</v>
      </c>
      <c r="AH3" s="1107"/>
      <c r="AI3" s="1107"/>
      <c r="AJ3" s="1107"/>
      <c r="AK3" s="1107"/>
      <c r="AL3" s="1107"/>
      <c r="AM3" s="1107"/>
      <c r="AN3" s="1107"/>
      <c r="AO3" s="1107"/>
      <c r="AP3" s="1107"/>
      <c r="AR3" s="1115" t="s">
        <v>531</v>
      </c>
      <c r="AS3" s="1115"/>
      <c r="AT3" s="1115"/>
    </row>
    <row r="4" spans="1:46" ht="21.75" customHeight="1">
      <c r="A4" s="1093"/>
      <c r="B4" s="1093"/>
      <c r="C4" s="1102"/>
      <c r="D4" s="1102"/>
      <c r="E4" s="1109" t="s">
        <v>381</v>
      </c>
      <c r="F4" s="1110"/>
      <c r="G4" s="1111"/>
      <c r="H4" s="1092" t="s">
        <v>382</v>
      </c>
      <c r="I4" s="1092"/>
      <c r="J4" s="1092"/>
      <c r="K4" s="1108"/>
      <c r="L4" s="1108"/>
      <c r="M4" s="1108"/>
      <c r="N4" s="1108"/>
      <c r="O4" s="1108"/>
      <c r="P4" s="1108"/>
      <c r="Q4" s="1107"/>
      <c r="R4" s="1107"/>
      <c r="S4" s="1107"/>
      <c r="T4" s="1107"/>
      <c r="U4" s="1107"/>
      <c r="V4" s="1107"/>
      <c r="W4" s="1107"/>
      <c r="X4" s="1107"/>
      <c r="Y4" s="1107"/>
      <c r="Z4" s="1107"/>
      <c r="AA4" s="1107"/>
      <c r="AB4" s="1107"/>
      <c r="AC4" s="1107"/>
      <c r="AD4" s="1107"/>
      <c r="AE4" s="1107"/>
      <c r="AF4" s="1107"/>
      <c r="AG4" s="1107"/>
      <c r="AH4" s="1107"/>
      <c r="AI4" s="1107"/>
      <c r="AJ4" s="1107"/>
      <c r="AK4" s="1107"/>
      <c r="AL4" s="1107"/>
      <c r="AM4" s="1107"/>
      <c r="AN4" s="1107"/>
      <c r="AO4" s="1107"/>
      <c r="AP4" s="1107"/>
      <c r="AR4" s="1115"/>
      <c r="AS4" s="1115"/>
      <c r="AT4" s="1115"/>
    </row>
    <row r="5" spans="1:46" ht="36" customHeight="1">
      <c r="A5" s="1093"/>
      <c r="B5" s="1093"/>
      <c r="C5" s="1102"/>
      <c r="D5" s="1102"/>
      <c r="E5" s="1112"/>
      <c r="F5" s="1113"/>
      <c r="G5" s="1114"/>
      <c r="H5" s="1092"/>
      <c r="I5" s="1092"/>
      <c r="J5" s="1092"/>
      <c r="K5" s="1108"/>
      <c r="L5" s="1108"/>
      <c r="M5" s="1108"/>
      <c r="N5" s="1108"/>
      <c r="O5" s="1108"/>
      <c r="P5" s="1108"/>
      <c r="Q5" s="1107"/>
      <c r="R5" s="1107" t="s">
        <v>509</v>
      </c>
      <c r="S5" s="1107" t="s">
        <v>508</v>
      </c>
      <c r="T5" s="1092" t="s">
        <v>513</v>
      </c>
      <c r="U5" s="1092" t="s">
        <v>515</v>
      </c>
      <c r="V5" s="1092" t="s">
        <v>516</v>
      </c>
      <c r="W5" s="1092" t="s">
        <v>517</v>
      </c>
      <c r="X5" s="1092" t="s">
        <v>511</v>
      </c>
      <c r="Y5" s="1092" t="s">
        <v>512</v>
      </c>
      <c r="Z5" s="1092" t="s">
        <v>514</v>
      </c>
      <c r="AA5" s="1092" t="s">
        <v>471</v>
      </c>
      <c r="AB5" s="1092"/>
      <c r="AC5" s="1092" t="s">
        <v>499</v>
      </c>
      <c r="AD5" s="1107"/>
      <c r="AE5" s="1107"/>
      <c r="AF5" s="1107"/>
      <c r="AG5" s="1092" t="s">
        <v>504</v>
      </c>
      <c r="AH5" s="1092" t="s">
        <v>515</v>
      </c>
      <c r="AI5" s="1092" t="s">
        <v>516</v>
      </c>
      <c r="AJ5" s="1092" t="s">
        <v>517</v>
      </c>
      <c r="AK5" s="1092" t="s">
        <v>511</v>
      </c>
      <c r="AL5" s="1092" t="s">
        <v>514</v>
      </c>
      <c r="AM5" s="1092" t="s">
        <v>471</v>
      </c>
      <c r="AN5" s="1092"/>
      <c r="AO5" s="1092" t="s">
        <v>499</v>
      </c>
      <c r="AP5" s="1092" t="s">
        <v>512</v>
      </c>
      <c r="AR5" s="1115"/>
      <c r="AS5" s="1115"/>
      <c r="AT5" s="1115"/>
    </row>
    <row r="6" spans="1:46" ht="18.75" customHeight="1">
      <c r="A6" s="1093"/>
      <c r="B6" s="1093"/>
      <c r="C6" s="1102"/>
      <c r="D6" s="1102"/>
      <c r="E6" s="1092" t="s">
        <v>405</v>
      </c>
      <c r="F6" s="1092" t="s">
        <v>403</v>
      </c>
      <c r="G6" s="1092" t="s">
        <v>402</v>
      </c>
      <c r="H6" s="1092" t="s">
        <v>405</v>
      </c>
      <c r="I6" s="1092" t="s">
        <v>500</v>
      </c>
      <c r="J6" s="1092" t="s">
        <v>476</v>
      </c>
      <c r="K6" s="1108"/>
      <c r="L6" s="1108"/>
      <c r="M6" s="1108"/>
      <c r="N6" s="1108"/>
      <c r="O6" s="1108"/>
      <c r="P6" s="1108"/>
      <c r="Q6" s="1107"/>
      <c r="R6" s="1107"/>
      <c r="S6" s="1107"/>
      <c r="T6" s="1092"/>
      <c r="U6" s="1092"/>
      <c r="V6" s="1092"/>
      <c r="W6" s="1092"/>
      <c r="X6" s="1092"/>
      <c r="Y6" s="1092"/>
      <c r="Z6" s="1092"/>
      <c r="AA6" s="1092"/>
      <c r="AB6" s="1092"/>
      <c r="AC6" s="1092"/>
      <c r="AD6" s="1107"/>
      <c r="AE6" s="1107"/>
      <c r="AF6" s="1107"/>
      <c r="AG6" s="1092"/>
      <c r="AH6" s="1092"/>
      <c r="AI6" s="1092"/>
      <c r="AJ6" s="1092"/>
      <c r="AK6" s="1092"/>
      <c r="AL6" s="1092"/>
      <c r="AM6" s="1092"/>
      <c r="AN6" s="1092"/>
      <c r="AO6" s="1092"/>
      <c r="AP6" s="1092"/>
      <c r="AR6" s="1115"/>
      <c r="AS6" s="1115"/>
      <c r="AT6" s="1115"/>
    </row>
    <row r="7" spans="1:46" ht="49.5" customHeight="1">
      <c r="A7" s="1093"/>
      <c r="B7" s="1093"/>
      <c r="C7" s="1103"/>
      <c r="D7" s="1103"/>
      <c r="E7" s="1092"/>
      <c r="F7" s="1092"/>
      <c r="G7" s="1092"/>
      <c r="H7" s="1092"/>
      <c r="I7" s="1092"/>
      <c r="J7" s="1092"/>
      <c r="K7" s="1108"/>
      <c r="L7" s="571" t="s">
        <v>403</v>
      </c>
      <c r="M7" s="571" t="s">
        <v>522</v>
      </c>
      <c r="N7" s="1108"/>
      <c r="O7" s="571" t="s">
        <v>403</v>
      </c>
      <c r="P7" s="571" t="s">
        <v>522</v>
      </c>
      <c r="Q7" s="1107"/>
      <c r="R7" s="1107"/>
      <c r="S7" s="1107"/>
      <c r="T7" s="1092"/>
      <c r="U7" s="1092"/>
      <c r="V7" s="1092"/>
      <c r="W7" s="1092"/>
      <c r="X7" s="1092"/>
      <c r="Y7" s="1092"/>
      <c r="Z7" s="1092"/>
      <c r="AA7" s="570" t="s">
        <v>509</v>
      </c>
      <c r="AB7" s="570" t="s">
        <v>508</v>
      </c>
      <c r="AC7" s="1092"/>
      <c r="AD7" s="1107"/>
      <c r="AE7" s="550" t="s">
        <v>509</v>
      </c>
      <c r="AF7" s="550" t="s">
        <v>508</v>
      </c>
      <c r="AG7" s="1092"/>
      <c r="AH7" s="1092"/>
      <c r="AI7" s="1092"/>
      <c r="AJ7" s="1092"/>
      <c r="AK7" s="1092"/>
      <c r="AL7" s="1092"/>
      <c r="AM7" s="570" t="s">
        <v>509</v>
      </c>
      <c r="AN7" s="570" t="s">
        <v>508</v>
      </c>
      <c r="AO7" s="1092"/>
      <c r="AP7" s="10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10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10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1095" t="s">
        <v>473</v>
      </c>
      <c r="B1" s="1095"/>
      <c r="C1" s="1095"/>
      <c r="D1" s="1095"/>
      <c r="E1" s="1095"/>
      <c r="F1" s="1095"/>
      <c r="G1" s="1095"/>
      <c r="H1" s="1095"/>
      <c r="I1" s="1095"/>
      <c r="J1" s="1095"/>
      <c r="K1" s="1095"/>
      <c r="L1" s="1095"/>
      <c r="M1" s="1095"/>
      <c r="N1" s="1095"/>
      <c r="O1" s="1095"/>
      <c r="P1" s="1095"/>
      <c r="Q1" s="1095"/>
      <c r="R1" s="10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1093" t="s">
        <v>378</v>
      </c>
      <c r="B3" s="1093" t="s">
        <v>379</v>
      </c>
      <c r="C3" s="1101" t="s">
        <v>518</v>
      </c>
      <c r="D3" s="574"/>
      <c r="E3" s="1101" t="s">
        <v>519</v>
      </c>
      <c r="F3" s="1097" t="s">
        <v>520</v>
      </c>
      <c r="G3" s="1097"/>
      <c r="H3" s="1097"/>
      <c r="I3" s="1097"/>
      <c r="J3" s="1097"/>
      <c r="K3" s="1097"/>
      <c r="L3" s="1097"/>
      <c r="M3" s="1097"/>
      <c r="N3" s="1097"/>
      <c r="O3" s="1097"/>
      <c r="P3" s="1097"/>
      <c r="Q3" s="1097"/>
      <c r="R3" s="1097"/>
      <c r="S3" s="1117" t="s">
        <v>521</v>
      </c>
      <c r="T3" s="1117" t="s">
        <v>471</v>
      </c>
      <c r="U3" s="1117"/>
      <c r="V3" s="1117" t="s">
        <v>524</v>
      </c>
      <c r="W3" s="1117" t="s">
        <v>471</v>
      </c>
      <c r="X3" s="1117"/>
    </row>
    <row r="4" spans="1:26" ht="21.75" customHeight="1">
      <c r="A4" s="1093"/>
      <c r="B4" s="1093"/>
      <c r="C4" s="1102"/>
      <c r="D4" s="630"/>
      <c r="E4" s="1102"/>
      <c r="F4" s="1109" t="s">
        <v>381</v>
      </c>
      <c r="G4" s="1110"/>
      <c r="H4" s="1110"/>
      <c r="I4" s="1110"/>
      <c r="J4" s="1110"/>
      <c r="K4" s="1110"/>
      <c r="L4" s="1111"/>
      <c r="M4" s="1092" t="s">
        <v>382</v>
      </c>
      <c r="N4" s="1092"/>
      <c r="O4" s="1092"/>
      <c r="P4" s="1092"/>
      <c r="Q4" s="1092"/>
      <c r="R4" s="1092"/>
      <c r="S4" s="1117"/>
      <c r="T4" s="1117"/>
      <c r="U4" s="1117"/>
      <c r="V4" s="1117"/>
      <c r="W4" s="1117"/>
      <c r="X4" s="1117"/>
    </row>
    <row r="5" spans="1:26" ht="36" customHeight="1">
      <c r="A5" s="1093"/>
      <c r="B5" s="1093"/>
      <c r="C5" s="1102"/>
      <c r="D5" s="630">
        <f>430118+360500+606500+146382+146380+281040</f>
        <v>1970920</v>
      </c>
      <c r="E5" s="1102"/>
      <c r="F5" s="1112"/>
      <c r="G5" s="1113"/>
      <c r="H5" s="1113"/>
      <c r="I5" s="1113"/>
      <c r="J5" s="1113"/>
      <c r="K5" s="1113"/>
      <c r="L5" s="1114"/>
      <c r="M5" s="1092"/>
      <c r="N5" s="1092"/>
      <c r="O5" s="1092"/>
      <c r="P5" s="1092"/>
      <c r="Q5" s="1092"/>
      <c r="R5" s="1092"/>
      <c r="S5" s="1117"/>
      <c r="T5" s="1117"/>
      <c r="U5" s="1117"/>
      <c r="V5" s="1117"/>
      <c r="W5" s="1117"/>
      <c r="X5" s="1117"/>
    </row>
    <row r="6" spans="1:26" ht="18.75" customHeight="1">
      <c r="A6" s="1093"/>
      <c r="B6" s="1093"/>
      <c r="C6" s="1102"/>
      <c r="D6" s="630">
        <f>C8+D5+S8+V8</f>
        <v>17508393</v>
      </c>
      <c r="E6" s="1102"/>
      <c r="F6" s="1092" t="s">
        <v>405</v>
      </c>
      <c r="G6" s="1116" t="s">
        <v>403</v>
      </c>
      <c r="H6" s="1092" t="s">
        <v>534</v>
      </c>
      <c r="I6" s="1092" t="s">
        <v>513</v>
      </c>
      <c r="J6" s="1092" t="s">
        <v>463</v>
      </c>
      <c r="K6" s="1092" t="s">
        <v>499</v>
      </c>
      <c r="L6" s="1092" t="s">
        <v>402</v>
      </c>
      <c r="M6" s="1092" t="s">
        <v>405</v>
      </c>
      <c r="N6" s="1116" t="s">
        <v>500</v>
      </c>
      <c r="O6" s="1092" t="s">
        <v>767</v>
      </c>
      <c r="P6" s="1092" t="s">
        <v>463</v>
      </c>
      <c r="Q6" s="1092" t="s">
        <v>499</v>
      </c>
      <c r="R6" s="1116" t="s">
        <v>661</v>
      </c>
      <c r="S6" s="1117"/>
      <c r="T6" s="1117"/>
      <c r="U6" s="1117"/>
      <c r="V6" s="1117"/>
      <c r="W6" s="1117"/>
      <c r="X6" s="1117"/>
    </row>
    <row r="7" spans="1:26" ht="49.5" customHeight="1">
      <c r="A7" s="1093"/>
      <c r="B7" s="1093"/>
      <c r="C7" s="1103"/>
      <c r="D7" s="674">
        <f>E8-D5</f>
        <v>18096950</v>
      </c>
      <c r="E7" s="1103"/>
      <c r="F7" s="1092"/>
      <c r="G7" s="1116"/>
      <c r="H7" s="1092"/>
      <c r="I7" s="1092"/>
      <c r="J7" s="1092"/>
      <c r="K7" s="1092"/>
      <c r="L7" s="1092"/>
      <c r="M7" s="1092"/>
      <c r="N7" s="1116"/>
      <c r="O7" s="1092"/>
      <c r="P7" s="1092"/>
      <c r="Q7" s="1092"/>
      <c r="R7" s="1116"/>
      <c r="S7" s="1117"/>
      <c r="T7" s="576" t="s">
        <v>403</v>
      </c>
      <c r="U7" s="576" t="s">
        <v>522</v>
      </c>
      <c r="V7" s="11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662</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663</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664</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656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10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10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3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7"/>
      <c r="B39" s="588"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7"/>
      <c r="B47" s="588"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7"/>
      <c r="B66" s="588"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51" customFormat="1" ht="31.5">
      <c r="A69" s="645" t="s">
        <v>433</v>
      </c>
      <c r="B69" s="646" t="s">
        <v>657</v>
      </c>
      <c r="C69" s="647">
        <v>0</v>
      </c>
      <c r="D69" s="647"/>
      <c r="E69" s="647">
        <f>F69+M69</f>
        <v>145945</v>
      </c>
      <c r="F69" s="648">
        <f t="shared" si="17"/>
        <v>0</v>
      </c>
      <c r="G69" s="649"/>
      <c r="H69" s="648"/>
      <c r="I69" s="648"/>
      <c r="J69" s="648"/>
      <c r="K69" s="648"/>
      <c r="L69" s="648">
        <f>V69-M69</f>
        <v>0</v>
      </c>
      <c r="M69" s="648">
        <f t="shared" si="10"/>
        <v>145945</v>
      </c>
      <c r="N69" s="649"/>
      <c r="O69" s="648"/>
      <c r="P69" s="648">
        <f>49300+69050-49300-69050</f>
        <v>0</v>
      </c>
      <c r="Q69" s="648"/>
      <c r="R69" s="648">
        <f>109800+36145</f>
        <v>145945</v>
      </c>
      <c r="S69" s="650"/>
      <c r="T69" s="650">
        <f t="shared" si="15"/>
        <v>0</v>
      </c>
      <c r="U69" s="650">
        <f t="shared" si="24"/>
        <v>0</v>
      </c>
      <c r="V69" s="648">
        <f>17000+35850+118350-25255</f>
        <v>145945</v>
      </c>
      <c r="W69" s="650">
        <f t="shared" si="18"/>
        <v>0</v>
      </c>
      <c r="X69" s="649">
        <f t="shared" si="19"/>
        <v>145945</v>
      </c>
      <c r="Z69" s="651">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19">
        <v>110015</v>
      </c>
      <c r="H75" s="563"/>
      <c r="I75" s="563"/>
      <c r="J75" s="563"/>
      <c r="K75" s="563"/>
      <c r="L75" s="563">
        <v>0</v>
      </c>
      <c r="M75" s="497">
        <f t="shared" si="10"/>
        <v>0</v>
      </c>
      <c r="N75" s="61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19"/>
      <c r="H76" s="563"/>
      <c r="I76" s="563"/>
      <c r="J76" s="563"/>
      <c r="K76" s="563"/>
      <c r="L76" s="563"/>
      <c r="M76" s="497">
        <f t="shared" si="10"/>
        <v>42102</v>
      </c>
      <c r="N76" s="61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19">
        <v>212258</v>
      </c>
      <c r="H77" s="563"/>
      <c r="I77" s="563"/>
      <c r="J77" s="563"/>
      <c r="K77" s="563"/>
      <c r="L77" s="563">
        <v>0</v>
      </c>
      <c r="M77" s="497">
        <f t="shared" si="10"/>
        <v>0</v>
      </c>
      <c r="N77" s="62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19">
        <v>4</v>
      </c>
      <c r="H78" s="563"/>
      <c r="I78" s="563"/>
      <c r="J78" s="563"/>
      <c r="K78" s="563"/>
      <c r="L78" s="563">
        <v>0</v>
      </c>
      <c r="M78" s="497">
        <f t="shared" si="10"/>
        <v>0</v>
      </c>
      <c r="N78" s="62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19"/>
      <c r="H79" s="563"/>
      <c r="I79" s="563"/>
      <c r="J79" s="563"/>
      <c r="K79" s="563"/>
      <c r="L79" s="563">
        <v>0</v>
      </c>
      <c r="M79" s="497">
        <f t="shared" si="10"/>
        <v>0</v>
      </c>
      <c r="N79" s="62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19">
        <v>31371</v>
      </c>
      <c r="H80" s="563"/>
      <c r="I80" s="563"/>
      <c r="J80" s="563"/>
      <c r="K80" s="563"/>
      <c r="L80" s="563">
        <v>0</v>
      </c>
      <c r="M80" s="497">
        <f t="shared" si="10"/>
        <v>0</v>
      </c>
      <c r="N80" s="62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19"/>
      <c r="H81" s="563"/>
      <c r="I81" s="563"/>
      <c r="J81" s="563"/>
      <c r="K81" s="563"/>
      <c r="L81" s="563"/>
      <c r="M81" s="497">
        <f t="shared" si="10"/>
        <v>7578</v>
      </c>
      <c r="N81" s="61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7"/>
      <c r="B85" s="588"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54" customFormat="1" ht="31.5">
      <c r="A87" s="645" t="s">
        <v>433</v>
      </c>
      <c r="B87" s="646" t="s">
        <v>657</v>
      </c>
      <c r="C87" s="647">
        <v>0</v>
      </c>
      <c r="D87" s="647"/>
      <c r="E87" s="647">
        <f>F87+M87</f>
        <v>37000</v>
      </c>
      <c r="F87" s="652">
        <f t="shared" si="17"/>
        <v>37000</v>
      </c>
      <c r="G87" s="653"/>
      <c r="H87" s="652"/>
      <c r="I87" s="652"/>
      <c r="J87" s="652">
        <v>20000</v>
      </c>
      <c r="K87" s="652"/>
      <c r="L87" s="652">
        <f>V87-M87-J87</f>
        <v>17000</v>
      </c>
      <c r="M87" s="652">
        <f t="shared" si="10"/>
        <v>0</v>
      </c>
      <c r="N87" s="653"/>
      <c r="O87" s="652"/>
      <c r="P87" s="652"/>
      <c r="Q87" s="652"/>
      <c r="R87" s="652"/>
      <c r="S87" s="650"/>
      <c r="T87" s="650">
        <f t="shared" si="75"/>
        <v>0</v>
      </c>
      <c r="U87" s="650">
        <f t="shared" si="78"/>
        <v>0</v>
      </c>
      <c r="V87" s="650">
        <f>13000+4000+20000</f>
        <v>37000</v>
      </c>
      <c r="W87" s="650">
        <f t="shared" si="76"/>
        <v>20000</v>
      </c>
      <c r="X87" s="649">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85" customFormat="1">
      <c r="A90" s="681">
        <v>5</v>
      </c>
      <c r="B90" s="682" t="s">
        <v>390</v>
      </c>
      <c r="C90" s="683">
        <f>C91+C92</f>
        <v>40290</v>
      </c>
      <c r="D90" s="683"/>
      <c r="E90" s="683">
        <f>F90+M90</f>
        <v>40290</v>
      </c>
      <c r="F90" s="683">
        <f>SUM(G90:L90)</f>
        <v>37740</v>
      </c>
      <c r="G90" s="683">
        <f>G91+G92</f>
        <v>32599</v>
      </c>
      <c r="H90" s="683">
        <f t="shared" ref="H90:K90" si="83">H91+H92</f>
        <v>0</v>
      </c>
      <c r="I90" s="683">
        <f t="shared" ref="I90" si="84">I91+I92</f>
        <v>0</v>
      </c>
      <c r="J90" s="683">
        <f t="shared" ref="J90" si="85">J91+J92</f>
        <v>0</v>
      </c>
      <c r="K90" s="683">
        <f t="shared" si="83"/>
        <v>0</v>
      </c>
      <c r="L90" s="683">
        <f>L91+L92</f>
        <v>5141</v>
      </c>
      <c r="M90" s="683">
        <f t="shared" si="81"/>
        <v>2550</v>
      </c>
      <c r="N90" s="683">
        <f>N91+N92</f>
        <v>2550</v>
      </c>
      <c r="O90" s="683">
        <f t="shared" ref="O90" si="86">O91+O92</f>
        <v>0</v>
      </c>
      <c r="P90" s="683">
        <f t="shared" ref="P90" si="87">P91+P92</f>
        <v>0</v>
      </c>
      <c r="Q90" s="683">
        <f>Q91+Q92</f>
        <v>0</v>
      </c>
      <c r="R90" s="683">
        <f>R91+R92</f>
        <v>0</v>
      </c>
      <c r="S90" s="683"/>
      <c r="T90" s="683">
        <f t="shared" si="75"/>
        <v>0</v>
      </c>
      <c r="U90" s="683">
        <f t="shared" si="78"/>
        <v>0</v>
      </c>
      <c r="V90" s="683">
        <f>SUM(V91:V92)</f>
        <v>0</v>
      </c>
      <c r="W90" s="683">
        <f t="shared" si="76"/>
        <v>0</v>
      </c>
      <c r="X90" s="68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85" customFormat="1">
      <c r="A93" s="681">
        <v>6</v>
      </c>
      <c r="B93" s="682" t="s">
        <v>391</v>
      </c>
      <c r="C93" s="683">
        <f>SUM(C94:C103)</f>
        <v>184232</v>
      </c>
      <c r="D93" s="683">
        <f>E93-C93-E97-E98-E99-E100</f>
        <v>400</v>
      </c>
      <c r="E93" s="683">
        <f>F93+M93</f>
        <v>217724</v>
      </c>
      <c r="F93" s="683">
        <f t="shared" si="80"/>
        <v>141502</v>
      </c>
      <c r="G93" s="683">
        <f>SUM(G94:G103)</f>
        <v>64691</v>
      </c>
      <c r="H93" s="683">
        <f t="shared" ref="H93" si="88">SUM(H94:H103)</f>
        <v>0</v>
      </c>
      <c r="I93" s="683">
        <f t="shared" ref="I93" si="89">SUM(I94:I103)</f>
        <v>0</v>
      </c>
      <c r="J93" s="683">
        <f t="shared" ref="J93" si="90">SUM(J94:J103)</f>
        <v>6035</v>
      </c>
      <c r="K93" s="683">
        <f t="shared" ref="K93" si="91">SUM(K94:K103)</f>
        <v>0</v>
      </c>
      <c r="L93" s="683">
        <f>SUM(L94:L103)</f>
        <v>70776</v>
      </c>
      <c r="M93" s="683">
        <f t="shared" si="81"/>
        <v>76222</v>
      </c>
      <c r="N93" s="683">
        <f>SUM(N94:N103)</f>
        <v>61222</v>
      </c>
      <c r="O93" s="683">
        <f t="shared" ref="O93" si="92">SUM(O94:O103)</f>
        <v>0</v>
      </c>
      <c r="P93" s="683">
        <f t="shared" ref="P93" si="93">SUM(P94:P103)</f>
        <v>0</v>
      </c>
      <c r="Q93" s="683">
        <f>SUM(Q94:Q103)</f>
        <v>0</v>
      </c>
      <c r="R93" s="683">
        <f>SUM(R94:R103)</f>
        <v>15000</v>
      </c>
      <c r="S93" s="683"/>
      <c r="T93" s="683">
        <f t="shared" si="75"/>
        <v>0</v>
      </c>
      <c r="U93" s="683">
        <f t="shared" si="78"/>
        <v>0</v>
      </c>
      <c r="V93" s="683">
        <f>SUM(V94:V103)</f>
        <v>12057</v>
      </c>
      <c r="W93" s="683">
        <f t="shared" si="76"/>
        <v>6035</v>
      </c>
      <c r="X93" s="68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51" customFormat="1" ht="31.5">
      <c r="A100" s="645"/>
      <c r="B100" s="646" t="s">
        <v>657</v>
      </c>
      <c r="C100" s="647"/>
      <c r="D100" s="647"/>
      <c r="E100" s="647">
        <f t="shared" si="94"/>
        <v>12070</v>
      </c>
      <c r="F100" s="648">
        <f>SUM(G100:L100)</f>
        <v>12070</v>
      </c>
      <c r="G100" s="649"/>
      <c r="H100" s="648"/>
      <c r="I100" s="648"/>
      <c r="J100" s="648">
        <f>2000+3000+1035</f>
        <v>6035</v>
      </c>
      <c r="K100" s="648"/>
      <c r="L100" s="648">
        <f>V100-M100-G100</f>
        <v>6035</v>
      </c>
      <c r="M100" s="648">
        <f t="shared" si="81"/>
        <v>0</v>
      </c>
      <c r="N100" s="649"/>
      <c r="O100" s="648"/>
      <c r="P100" s="648"/>
      <c r="Q100" s="648"/>
      <c r="R100" s="648"/>
      <c r="S100" s="650"/>
      <c r="T100" s="650">
        <f t="shared" si="75"/>
        <v>0</v>
      </c>
      <c r="U100" s="650">
        <f t="shared" si="78"/>
        <v>0</v>
      </c>
      <c r="V100" s="650">
        <v>6035</v>
      </c>
      <c r="W100" s="650">
        <f t="shared" si="76"/>
        <v>6035</v>
      </c>
      <c r="X100" s="649">
        <f t="shared" si="77"/>
        <v>0</v>
      </c>
      <c r="Z100" s="651">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85" customFormat="1">
      <c r="A104" s="681">
        <v>7</v>
      </c>
      <c r="B104" s="682" t="s">
        <v>392</v>
      </c>
      <c r="C104" s="683">
        <f>SUM(C105:C108)</f>
        <v>48072</v>
      </c>
      <c r="D104" s="683"/>
      <c r="E104" s="683">
        <f t="shared" si="82"/>
        <v>48417</v>
      </c>
      <c r="F104" s="683">
        <f t="shared" si="80"/>
        <v>19495</v>
      </c>
      <c r="G104" s="683">
        <f t="shared" ref="G104:R104" si="95">SUM(G105:G108)</f>
        <v>16639</v>
      </c>
      <c r="H104" s="683">
        <f t="shared" ref="H104" si="96">SUM(H105:H108)</f>
        <v>0</v>
      </c>
      <c r="I104" s="683">
        <f t="shared" ref="I104" si="97">SUM(I105:I108)</f>
        <v>0</v>
      </c>
      <c r="J104" s="683">
        <f t="shared" ref="J104" si="98">SUM(J105:J108)</f>
        <v>0</v>
      </c>
      <c r="K104" s="683">
        <f t="shared" ref="K104" si="99">SUM(K105:K108)</f>
        <v>0</v>
      </c>
      <c r="L104" s="683">
        <f t="shared" si="95"/>
        <v>2856</v>
      </c>
      <c r="M104" s="683">
        <f t="shared" si="81"/>
        <v>28922</v>
      </c>
      <c r="N104" s="683">
        <f t="shared" si="95"/>
        <v>28922</v>
      </c>
      <c r="O104" s="683">
        <f t="shared" ref="O104" si="100">SUM(O105:O108)</f>
        <v>0</v>
      </c>
      <c r="P104" s="683">
        <f t="shared" ref="P104" si="101">SUM(P105:P108)</f>
        <v>0</v>
      </c>
      <c r="Q104" s="683">
        <f t="shared" si="95"/>
        <v>0</v>
      </c>
      <c r="R104" s="683">
        <f t="shared" si="95"/>
        <v>0</v>
      </c>
      <c r="S104" s="683"/>
      <c r="T104" s="683">
        <f t="shared" si="75"/>
        <v>0</v>
      </c>
      <c r="U104" s="683">
        <f t="shared" si="78"/>
        <v>0</v>
      </c>
      <c r="V104" s="683">
        <f>SUM(V105:V108)</f>
        <v>0</v>
      </c>
      <c r="W104" s="683">
        <f t="shared" si="76"/>
        <v>0</v>
      </c>
      <c r="X104" s="68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85" customFormat="1">
      <c r="A109" s="681">
        <v>8</v>
      </c>
      <c r="B109" s="682" t="s">
        <v>393</v>
      </c>
      <c r="C109" s="683">
        <f>SUM(C110:C117)</f>
        <v>56983</v>
      </c>
      <c r="D109" s="683">
        <f>E109-C109-E112-E113-E114-E115</f>
        <v>-662</v>
      </c>
      <c r="E109" s="683">
        <f>F109+M109</f>
        <v>86851</v>
      </c>
      <c r="F109" s="683">
        <f>SUM(G109:L109)</f>
        <v>61124</v>
      </c>
      <c r="G109" s="683">
        <f>SUM(G110:G117)</f>
        <v>31690</v>
      </c>
      <c r="H109" s="683">
        <f t="shared" ref="H109" si="102">SUM(H110:H117)</f>
        <v>0</v>
      </c>
      <c r="I109" s="683">
        <f t="shared" ref="I109" si="103">SUM(I110:I117)</f>
        <v>0</v>
      </c>
      <c r="J109" s="683">
        <f t="shared" ref="J109" si="104">SUM(J110:J117)</f>
        <v>3780</v>
      </c>
      <c r="K109" s="683">
        <f t="shared" ref="K109" si="105">SUM(K110:K117)</f>
        <v>0</v>
      </c>
      <c r="L109" s="683">
        <f>SUM(L110:L117)</f>
        <v>25654</v>
      </c>
      <c r="M109" s="683">
        <f t="shared" si="81"/>
        <v>25727</v>
      </c>
      <c r="N109" s="683">
        <f>SUM(N110:N117)</f>
        <v>23977</v>
      </c>
      <c r="O109" s="683">
        <f t="shared" ref="O109" si="106">SUM(O110:O117)</f>
        <v>0</v>
      </c>
      <c r="P109" s="683">
        <f t="shared" ref="P109" si="107">SUM(P110:P117)</f>
        <v>1750</v>
      </c>
      <c r="Q109" s="683">
        <f>SUM(Q110:Q117)</f>
        <v>0</v>
      </c>
      <c r="R109" s="683">
        <f>SUM(R110:R117)</f>
        <v>0</v>
      </c>
      <c r="S109" s="683"/>
      <c r="T109" s="683">
        <f t="shared" si="75"/>
        <v>0</v>
      </c>
      <c r="U109" s="683">
        <f t="shared" si="78"/>
        <v>0</v>
      </c>
      <c r="V109" s="683">
        <f>SUM(V110:V117)</f>
        <v>30530</v>
      </c>
      <c r="W109" s="683">
        <f t="shared" si="76"/>
        <v>5530</v>
      </c>
      <c r="X109" s="68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51" customFormat="1" ht="31.5">
      <c r="A115" s="645"/>
      <c r="B115" s="646" t="s">
        <v>657</v>
      </c>
      <c r="C115" s="647"/>
      <c r="D115" s="647"/>
      <c r="E115" s="647">
        <f t="shared" si="108"/>
        <v>30530</v>
      </c>
      <c r="F115" s="648">
        <f t="shared" si="80"/>
        <v>28780</v>
      </c>
      <c r="G115" s="649"/>
      <c r="H115" s="648"/>
      <c r="I115" s="648"/>
      <c r="J115" s="648">
        <f>70+150+3560</f>
        <v>3780</v>
      </c>
      <c r="K115" s="648"/>
      <c r="L115" s="648">
        <f>V115-M115-J115</f>
        <v>25000</v>
      </c>
      <c r="M115" s="648">
        <f t="shared" si="81"/>
        <v>1750</v>
      </c>
      <c r="N115" s="649"/>
      <c r="O115" s="648"/>
      <c r="P115" s="648">
        <v>1750</v>
      </c>
      <c r="Q115" s="648"/>
      <c r="R115" s="648"/>
      <c r="S115" s="650"/>
      <c r="T115" s="650">
        <f t="shared" si="75"/>
        <v>0</v>
      </c>
      <c r="U115" s="650">
        <f t="shared" si="78"/>
        <v>0</v>
      </c>
      <c r="V115" s="650">
        <f>1970+13500+3560+11500</f>
        <v>30530</v>
      </c>
      <c r="W115" s="650">
        <f t="shared" si="76"/>
        <v>5530</v>
      </c>
      <c r="X115" s="649">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85" customFormat="1">
      <c r="A118" s="681">
        <v>9</v>
      </c>
      <c r="B118" s="682" t="s">
        <v>394</v>
      </c>
      <c r="C118" s="683">
        <f>SUM(C119:C136)</f>
        <v>917743</v>
      </c>
      <c r="D118" s="683">
        <f>E118-C118-E128-E129-E130-E131-E134</f>
        <v>7640</v>
      </c>
      <c r="E118" s="683">
        <f>F118+M118</f>
        <v>1025896</v>
      </c>
      <c r="F118" s="683">
        <f>SUM(G118:L118)</f>
        <v>406973</v>
      </c>
      <c r="G118" s="683">
        <f>SUM(G119:G136)</f>
        <v>58636</v>
      </c>
      <c r="H118" s="683">
        <f t="shared" ref="H118" si="109">SUM(H119:H136)</f>
        <v>0</v>
      </c>
      <c r="I118" s="683">
        <f t="shared" ref="I118" si="110">SUM(I119:I136)</f>
        <v>0</v>
      </c>
      <c r="J118" s="683">
        <f t="shared" ref="J118" si="111">SUM(J119:J136)</f>
        <v>0</v>
      </c>
      <c r="K118" s="683">
        <f t="shared" ref="K118" si="112">SUM(K119:K136)</f>
        <v>0</v>
      </c>
      <c r="L118" s="683">
        <f>SUM(L119:L136)</f>
        <v>348337</v>
      </c>
      <c r="M118" s="683">
        <f t="shared" si="81"/>
        <v>618923</v>
      </c>
      <c r="N118" s="683">
        <f>SUM(N119:N136)</f>
        <v>603671</v>
      </c>
      <c r="O118" s="683">
        <f t="shared" ref="O118" si="113">SUM(O119:O136)</f>
        <v>0</v>
      </c>
      <c r="P118" s="683">
        <f t="shared" ref="P118" si="114">SUM(P119:P136)</f>
        <v>12752</v>
      </c>
      <c r="Q118" s="683">
        <f>SUM(Q119:Q136)</f>
        <v>0</v>
      </c>
      <c r="R118" s="683">
        <f>SUM(R119:R136)</f>
        <v>2500</v>
      </c>
      <c r="S118" s="683"/>
      <c r="T118" s="683">
        <f t="shared" si="75"/>
        <v>0</v>
      </c>
      <c r="U118" s="683">
        <f t="shared" si="78"/>
        <v>0</v>
      </c>
      <c r="V118" s="683">
        <f>SUM(V119:V136)</f>
        <v>98013</v>
      </c>
      <c r="W118" s="683">
        <f t="shared" si="76"/>
        <v>12752</v>
      </c>
      <c r="X118" s="68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7"/>
      <c r="B130" s="588"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51" customFormat="1" ht="31.5">
      <c r="A134" s="645" t="s">
        <v>433</v>
      </c>
      <c r="B134" s="646" t="s">
        <v>657</v>
      </c>
      <c r="C134" s="647">
        <v>0</v>
      </c>
      <c r="D134" s="647"/>
      <c r="E134" s="647">
        <f t="shared" si="82"/>
        <v>28737</v>
      </c>
      <c r="F134" s="648">
        <f t="shared" si="80"/>
        <v>28737</v>
      </c>
      <c r="G134" s="649"/>
      <c r="H134" s="648"/>
      <c r="I134" s="648"/>
      <c r="J134" s="648"/>
      <c r="K134" s="648"/>
      <c r="L134" s="648">
        <f>V134-M134-J134</f>
        <v>28737</v>
      </c>
      <c r="M134" s="648">
        <f t="shared" si="81"/>
        <v>0</v>
      </c>
      <c r="N134" s="649"/>
      <c r="O134" s="648"/>
      <c r="P134" s="648"/>
      <c r="Q134" s="648"/>
      <c r="R134" s="648"/>
      <c r="S134" s="650"/>
      <c r="T134" s="650">
        <f t="shared" si="75"/>
        <v>0</v>
      </c>
      <c r="U134" s="650">
        <f t="shared" si="78"/>
        <v>0</v>
      </c>
      <c r="V134" s="650">
        <f>20000+88737-80000</f>
        <v>28737</v>
      </c>
      <c r="W134" s="650">
        <f t="shared" si="76"/>
        <v>0</v>
      </c>
      <c r="X134" s="649">
        <f t="shared" si="77"/>
        <v>28737</v>
      </c>
      <c r="Z134" s="651">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85" customFormat="1">
      <c r="A137" s="681">
        <v>10</v>
      </c>
      <c r="B137" s="682" t="s">
        <v>20</v>
      </c>
      <c r="C137" s="683">
        <f>SUM(C138:C150)</f>
        <v>1639492</v>
      </c>
      <c r="D137" s="683">
        <f>E137-C137-E144-E145-E146-E147</f>
        <v>-10539</v>
      </c>
      <c r="E137" s="683">
        <f>F137+M137</f>
        <v>2019780</v>
      </c>
      <c r="F137" s="683">
        <f t="shared" si="80"/>
        <v>927360</v>
      </c>
      <c r="G137" s="683">
        <f>SUM(G138:G150)</f>
        <v>216007</v>
      </c>
      <c r="H137" s="683">
        <f t="shared" ref="H137" si="116">SUM(H138:H150)</f>
        <v>0</v>
      </c>
      <c r="I137" s="683">
        <f t="shared" ref="I137" si="117">SUM(I138:I150)</f>
        <v>0</v>
      </c>
      <c r="J137" s="683">
        <f t="shared" ref="J137" si="118">SUM(J138:J150)</f>
        <v>0</v>
      </c>
      <c r="K137" s="683">
        <f t="shared" ref="K137" si="119">SUM(K138:K150)</f>
        <v>0</v>
      </c>
      <c r="L137" s="683">
        <f>SUM(L138:L150)</f>
        <v>711353</v>
      </c>
      <c r="M137" s="683">
        <f>SUM(N137:R137)</f>
        <v>1092420</v>
      </c>
      <c r="N137" s="683">
        <f>SUM(N138:N150)</f>
        <v>1011775</v>
      </c>
      <c r="O137" s="683">
        <f t="shared" ref="O137" si="120">SUM(O138:O150)</f>
        <v>0</v>
      </c>
      <c r="P137" s="683">
        <f t="shared" ref="P137" si="121">SUM(P138:P150)</f>
        <v>9619</v>
      </c>
      <c r="Q137" s="683">
        <f>SUM(Q138:Q150)</f>
        <v>0</v>
      </c>
      <c r="R137" s="683">
        <f>SUM(R138:R150)</f>
        <v>71026</v>
      </c>
      <c r="S137" s="683"/>
      <c r="T137" s="683">
        <f t="shared" si="75"/>
        <v>0</v>
      </c>
      <c r="U137" s="683">
        <f t="shared" si="78"/>
        <v>0</v>
      </c>
      <c r="V137" s="683">
        <f>SUM(V138:V150)</f>
        <v>319801</v>
      </c>
      <c r="W137" s="683">
        <f t="shared" si="76"/>
        <v>9619</v>
      </c>
      <c r="X137" s="68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7"/>
      <c r="B146" s="588"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51" customFormat="1" ht="31.5">
      <c r="A147" s="645"/>
      <c r="B147" s="646" t="s">
        <v>657</v>
      </c>
      <c r="C147" s="647"/>
      <c r="D147" s="647"/>
      <c r="E147" s="647">
        <f t="shared" si="125"/>
        <v>201779</v>
      </c>
      <c r="F147" s="648">
        <f t="shared" si="80"/>
        <v>196020</v>
      </c>
      <c r="G147" s="649"/>
      <c r="H147" s="648"/>
      <c r="I147" s="648"/>
      <c r="J147" s="648"/>
      <c r="K147" s="648"/>
      <c r="L147" s="648">
        <f>V147-M147</f>
        <v>196020</v>
      </c>
      <c r="M147" s="648">
        <f t="shared" si="81"/>
        <v>5759</v>
      </c>
      <c r="N147" s="649"/>
      <c r="O147" s="648"/>
      <c r="P147" s="648">
        <v>5759</v>
      </c>
      <c r="Q147" s="648"/>
      <c r="R147" s="648"/>
      <c r="S147" s="650"/>
      <c r="T147" s="650">
        <f t="shared" si="122"/>
        <v>0</v>
      </c>
      <c r="U147" s="650">
        <f t="shared" si="126"/>
        <v>0</v>
      </c>
      <c r="V147" s="648">
        <f>67432+150000+10000+30000+5759+5500+10000+103140+5000+5000-4992-3560-11500-20000-150000</f>
        <v>201779</v>
      </c>
      <c r="W147" s="650">
        <f t="shared" si="123"/>
        <v>5759</v>
      </c>
      <c r="X147" s="649">
        <f t="shared" si="124"/>
        <v>196020</v>
      </c>
      <c r="Z147" s="651">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85" customFormat="1">
      <c r="A151" s="681">
        <v>11</v>
      </c>
      <c r="B151" s="682" t="s">
        <v>131</v>
      </c>
      <c r="C151" s="683">
        <f>SUM(C152:C155)</f>
        <v>160306</v>
      </c>
      <c r="D151" s="683"/>
      <c r="E151" s="683">
        <f t="shared" si="82"/>
        <v>171528</v>
      </c>
      <c r="F151" s="683">
        <f t="shared" si="80"/>
        <v>102624</v>
      </c>
      <c r="G151" s="683">
        <f>SUM(G152:G155)</f>
        <v>39545</v>
      </c>
      <c r="H151" s="683">
        <f t="shared" ref="H151" si="128">SUM(H152:H155)</f>
        <v>0</v>
      </c>
      <c r="I151" s="683">
        <f t="shared" ref="I151" si="129">SUM(I152:I155)</f>
        <v>0</v>
      </c>
      <c r="J151" s="683">
        <f t="shared" ref="J151" si="130">SUM(J152:J155)</f>
        <v>0</v>
      </c>
      <c r="K151" s="683">
        <f t="shared" ref="K151" si="131">SUM(K152:K155)</f>
        <v>0</v>
      </c>
      <c r="L151" s="683">
        <f t="shared" ref="L151:R151" si="132">SUM(L152:L155)</f>
        <v>63079</v>
      </c>
      <c r="M151" s="683">
        <f>SUM(N151:R151)</f>
        <v>68904</v>
      </c>
      <c r="N151" s="683">
        <f t="shared" si="132"/>
        <v>67420</v>
      </c>
      <c r="O151" s="683">
        <f t="shared" ref="O151" si="133">SUM(O152:O155)</f>
        <v>0</v>
      </c>
      <c r="P151" s="683">
        <f t="shared" ref="P151" si="134">SUM(P152:P155)</f>
        <v>0</v>
      </c>
      <c r="Q151" s="683">
        <f t="shared" si="132"/>
        <v>0</v>
      </c>
      <c r="R151" s="683">
        <f t="shared" si="132"/>
        <v>1484</v>
      </c>
      <c r="S151" s="683"/>
      <c r="T151" s="683">
        <f t="shared" si="122"/>
        <v>0</v>
      </c>
      <c r="U151" s="683">
        <f t="shared" si="127"/>
        <v>0</v>
      </c>
      <c r="V151" s="683">
        <f>SUM(V152:V155)</f>
        <v>0</v>
      </c>
      <c r="W151" s="683">
        <f t="shared" si="123"/>
        <v>0</v>
      </c>
      <c r="X151" s="684">
        <f t="shared" si="124"/>
        <v>0</v>
      </c>
    </row>
    <row r="152" spans="1:26">
      <c r="A152" s="431" t="s">
        <v>433</v>
      </c>
      <c r="B152" s="588"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85" customFormat="1">
      <c r="A156" s="681">
        <v>12</v>
      </c>
      <c r="B156" s="682" t="s">
        <v>395</v>
      </c>
      <c r="C156" s="683">
        <f>SUM(C157:C167)</f>
        <v>2092707</v>
      </c>
      <c r="D156" s="683">
        <f>E156-C156-E159-E160-E161-E162</f>
        <v>-63823</v>
      </c>
      <c r="E156" s="683">
        <f>F156+M156</f>
        <v>2150852</v>
      </c>
      <c r="F156" s="683">
        <f>SUM(G156:L156)</f>
        <v>650667</v>
      </c>
      <c r="G156" s="683">
        <f>SUM(G157:G167)</f>
        <v>420536</v>
      </c>
      <c r="H156" s="683">
        <f t="shared" ref="H156" si="135">SUM(H157:H167)</f>
        <v>0</v>
      </c>
      <c r="I156" s="683">
        <f t="shared" ref="I156" si="136">SUM(I157:I167)</f>
        <v>0</v>
      </c>
      <c r="J156" s="683">
        <f t="shared" ref="J156" si="137">SUM(J157:J167)</f>
        <v>14432</v>
      </c>
      <c r="K156" s="683">
        <f t="shared" ref="K156" si="138">SUM(K157:K167)</f>
        <v>0</v>
      </c>
      <c r="L156" s="683">
        <f>SUM(L157:L167)</f>
        <v>215699</v>
      </c>
      <c r="M156" s="683">
        <f>SUM(N156:R156)</f>
        <v>1500185</v>
      </c>
      <c r="N156" s="683">
        <f>SUM(N157:N167)</f>
        <v>1450721</v>
      </c>
      <c r="O156" s="683">
        <f t="shared" ref="O156" si="139">SUM(O157:O167)</f>
        <v>0</v>
      </c>
      <c r="P156" s="683">
        <f t="shared" ref="P156" si="140">SUM(P157:P167)</f>
        <v>36322</v>
      </c>
      <c r="Q156" s="683">
        <f>SUM(Q157:Q167)</f>
        <v>0</v>
      </c>
      <c r="R156" s="683">
        <f>SUM(R157:R167)</f>
        <v>13142</v>
      </c>
      <c r="S156" s="683"/>
      <c r="T156" s="683">
        <f t="shared" si="122"/>
        <v>0</v>
      </c>
      <c r="U156" s="683">
        <f t="shared" si="127"/>
        <v>0</v>
      </c>
      <c r="V156" s="683">
        <f>SUM(V157:V167)</f>
        <v>108826</v>
      </c>
      <c r="W156" s="683">
        <f t="shared" si="123"/>
        <v>50754</v>
      </c>
      <c r="X156" s="68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7"/>
      <c r="B161" s="588"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51" customFormat="1" ht="31.5">
      <c r="A162" s="645"/>
      <c r="B162" s="646" t="s">
        <v>657</v>
      </c>
      <c r="C162" s="647"/>
      <c r="D162" s="647"/>
      <c r="E162" s="647">
        <f t="shared" si="141"/>
        <v>102080</v>
      </c>
      <c r="F162" s="648">
        <f t="shared" si="80"/>
        <v>65758</v>
      </c>
      <c r="G162" s="649"/>
      <c r="H162" s="648"/>
      <c r="I162" s="648"/>
      <c r="J162" s="648">
        <v>9666</v>
      </c>
      <c r="K162" s="648"/>
      <c r="L162" s="648">
        <f>V162-M162-J162</f>
        <v>56092</v>
      </c>
      <c r="M162" s="648">
        <f t="shared" si="81"/>
        <v>36322</v>
      </c>
      <c r="N162" s="649"/>
      <c r="O162" s="648"/>
      <c r="P162" s="648">
        <v>36322</v>
      </c>
      <c r="Q162" s="648"/>
      <c r="R162" s="648"/>
      <c r="S162" s="650"/>
      <c r="T162" s="650">
        <f t="shared" si="122"/>
        <v>0</v>
      </c>
      <c r="U162" s="650">
        <f t="shared" si="126"/>
        <v>0</v>
      </c>
      <c r="V162" s="650">
        <f>20000+10000+2500+3000+1000+1320+11908+70272-50000+32080</f>
        <v>102080</v>
      </c>
      <c r="W162" s="650">
        <f t="shared" si="123"/>
        <v>45988</v>
      </c>
      <c r="X162" s="649">
        <f t="shared" si="124"/>
        <v>56092</v>
      </c>
      <c r="Z162" s="651">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668</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95" customFormat="1" ht="31.5">
      <c r="A174" s="692">
        <v>15</v>
      </c>
      <c r="B174" s="642" t="s">
        <v>671</v>
      </c>
      <c r="C174" s="693"/>
      <c r="D174" s="693"/>
      <c r="E174" s="693">
        <f t="shared" ref="E174" si="153">F174+M174</f>
        <v>39449</v>
      </c>
      <c r="F174" s="694">
        <f t="shared" ref="F174" si="154">SUM(G174:L174)</f>
        <v>0</v>
      </c>
      <c r="G174" s="650"/>
      <c r="H174" s="694"/>
      <c r="I174" s="694"/>
      <c r="J174" s="694"/>
      <c r="K174" s="694"/>
      <c r="L174" s="694"/>
      <c r="M174" s="694">
        <f t="shared" ref="M174" si="155">SUM(N174:R174)</f>
        <v>39449</v>
      </c>
      <c r="N174" s="650"/>
      <c r="O174" s="694"/>
      <c r="P174" s="694"/>
      <c r="Q174" s="694"/>
      <c r="R174" s="694">
        <v>39449</v>
      </c>
      <c r="S174" s="650"/>
      <c r="T174" s="650">
        <f t="shared" ref="T174" si="156">I174+O174</f>
        <v>0</v>
      </c>
      <c r="U174" s="650">
        <f t="shared" ref="U174" si="157">S174-T174</f>
        <v>0</v>
      </c>
      <c r="V174" s="650"/>
      <c r="W174" s="650">
        <f t="shared" ref="W174" si="158">J174+P174</f>
        <v>0</v>
      </c>
      <c r="X174" s="650">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32"/>
      <c r="B195" s="433" t="s">
        <v>735</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32"/>
      <c r="B196" s="435" t="s">
        <v>733</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32"/>
      <c r="B197" s="435" t="s">
        <v>734</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727</v>
      </c>
      <c r="C198" s="731"/>
      <c r="D198" s="731"/>
      <c r="E198" s="73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728</v>
      </c>
      <c r="C199" s="731"/>
      <c r="D199" s="731"/>
      <c r="E199" s="73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729</v>
      </c>
      <c r="C200" s="731"/>
      <c r="D200" s="731"/>
      <c r="E200" s="73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730</v>
      </c>
      <c r="C201" s="731"/>
      <c r="D201" s="731"/>
      <c r="E201" s="73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732</v>
      </c>
      <c r="C202" s="731"/>
      <c r="D202" s="731"/>
      <c r="E202" s="73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731</v>
      </c>
      <c r="C203" s="731"/>
      <c r="D203" s="731"/>
      <c r="E203" s="73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32"/>
      <c r="B204" s="433" t="s">
        <v>736</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733</v>
      </c>
      <c r="C205" s="731"/>
      <c r="D205" s="731"/>
      <c r="E205" s="73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734</v>
      </c>
      <c r="C206" s="731"/>
      <c r="D206" s="731"/>
      <c r="E206" s="73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727</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728</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729</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730</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732</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731</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669</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884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1015" t="s">
        <v>695</v>
      </c>
      <c r="B1" s="1015"/>
      <c r="C1" s="1015"/>
      <c r="D1" s="1015"/>
      <c r="E1" s="1015"/>
      <c r="F1" s="1015"/>
      <c r="G1" s="1015"/>
      <c r="H1" s="1015"/>
    </row>
    <row r="2" spans="1:14" ht="42.75" customHeight="1">
      <c r="A2" s="1088" t="s">
        <v>696</v>
      </c>
      <c r="B2" s="1088"/>
      <c r="C2" s="1088"/>
      <c r="D2" s="1088"/>
      <c r="E2" s="1088"/>
      <c r="F2" s="1088"/>
      <c r="G2" s="1088"/>
      <c r="H2" s="1088"/>
    </row>
    <row r="3" spans="1:14" ht="15.75" customHeight="1">
      <c r="A3" s="1026"/>
      <c r="B3" s="1026"/>
      <c r="C3" s="1026"/>
      <c r="D3" s="1026"/>
      <c r="E3" s="1026"/>
      <c r="F3" s="1026"/>
      <c r="G3" s="1026"/>
      <c r="H3" s="1026"/>
    </row>
    <row r="4" spans="1:14" ht="16.5" customHeight="1" thickBot="1">
      <c r="A4" s="1089" t="s">
        <v>199</v>
      </c>
      <c r="B4" s="1089"/>
      <c r="C4" s="1089"/>
      <c r="D4" s="1089"/>
      <c r="E4" s="1089"/>
      <c r="F4" s="1089"/>
      <c r="G4" s="1089"/>
      <c r="H4" s="1089"/>
    </row>
    <row r="5" spans="1:14" ht="66.75" customHeight="1" thickBot="1">
      <c r="A5" s="610" t="s">
        <v>11</v>
      </c>
      <c r="B5" s="690" t="s">
        <v>289</v>
      </c>
      <c r="C5" s="690" t="s">
        <v>400</v>
      </c>
      <c r="D5" s="690" t="s">
        <v>641</v>
      </c>
      <c r="E5" s="690" t="s">
        <v>405</v>
      </c>
      <c r="F5" s="690" t="s">
        <v>697</v>
      </c>
      <c r="G5" s="690" t="s">
        <v>698</v>
      </c>
      <c r="H5" s="690" t="s">
        <v>699</v>
      </c>
    </row>
    <row r="6" spans="1:14" ht="21" customHeight="1" thickBot="1">
      <c r="A6" s="689" t="s">
        <v>12</v>
      </c>
      <c r="B6" s="581" t="s">
        <v>13</v>
      </c>
      <c r="C6" s="581">
        <v>1</v>
      </c>
      <c r="D6" s="581">
        <v>2</v>
      </c>
      <c r="E6" s="581">
        <v>1</v>
      </c>
      <c r="F6" s="581">
        <v>2</v>
      </c>
      <c r="G6" s="581">
        <v>3</v>
      </c>
      <c r="H6" s="581" t="s">
        <v>762</v>
      </c>
    </row>
    <row r="7" spans="1:14" ht="27.75" customHeight="1">
      <c r="A7" s="600" t="s">
        <v>12</v>
      </c>
      <c r="B7" s="601" t="s">
        <v>700</v>
      </c>
      <c r="C7" s="712"/>
      <c r="D7" s="712"/>
      <c r="E7" s="712"/>
      <c r="F7" s="712"/>
      <c r="G7" s="712"/>
      <c r="H7" s="712"/>
    </row>
    <row r="8" spans="1:14" ht="25.5" customHeight="1">
      <c r="A8" s="602" t="s">
        <v>17</v>
      </c>
      <c r="B8" s="603" t="s">
        <v>701</v>
      </c>
      <c r="C8" s="706" t="e">
        <f>C9+C10+C13+C14+C15</f>
        <v>#REF!</v>
      </c>
      <c r="D8" s="705" t="e">
        <f t="shared" ref="D8:H8" si="0">D9+D10+D13+D14+D15</f>
        <v>#REF!</v>
      </c>
      <c r="E8" s="705">
        <f>F8+G8+H8</f>
        <v>50877008</v>
      </c>
      <c r="F8" s="705">
        <f t="shared" si="0"/>
        <v>16571341</v>
      </c>
      <c r="G8" s="705">
        <f>G9+G10+G13+G14+G15</f>
        <v>16637224</v>
      </c>
      <c r="H8" s="705">
        <f t="shared" si="0"/>
        <v>17668443</v>
      </c>
      <c r="J8" s="621">
        <f>G17+G31</f>
        <v>21272368</v>
      </c>
      <c r="K8" s="621">
        <f>H17+H31</f>
        <v>22780557</v>
      </c>
      <c r="M8" s="714">
        <f>G9+G25+G12+G15+G22</f>
        <v>21272368</v>
      </c>
      <c r="N8" s="714">
        <f>H9+H12+H15+H22+H25</f>
        <v>22780557</v>
      </c>
    </row>
    <row r="9" spans="1:14" ht="32.25" customHeight="1">
      <c r="A9" s="604">
        <v>1</v>
      </c>
      <c r="B9" s="605" t="s">
        <v>630</v>
      </c>
      <c r="C9" s="697" t="e">
        <f>'Biểu 47'!#REF!</f>
        <v>#REF!</v>
      </c>
      <c r="D9" s="697" t="e">
        <f>'Biểu 47'!#REF!</f>
        <v>#REF!</v>
      </c>
      <c r="E9" s="697">
        <f>F9+G9+H9</f>
        <v>35262613</v>
      </c>
      <c r="F9" s="697">
        <f>'Bieu 9'!E9</f>
        <v>10261342</v>
      </c>
      <c r="G9" s="697">
        <f>'Bieu 9'!F9</f>
        <v>11570583</v>
      </c>
      <c r="H9" s="697">
        <f>'Bieu 9'!G9</f>
        <v>13430688</v>
      </c>
      <c r="K9" s="580">
        <v>453719</v>
      </c>
      <c r="L9" s="580">
        <v>397852</v>
      </c>
    </row>
    <row r="10" spans="1:14" ht="18.75" customHeight="1">
      <c r="A10" s="604">
        <v>2</v>
      </c>
      <c r="B10" s="605" t="s">
        <v>631</v>
      </c>
      <c r="C10" s="697" t="e">
        <f>C11+C12</f>
        <v>#REF!</v>
      </c>
      <c r="D10" s="697" t="e">
        <f t="shared" ref="D10:H10" si="1">D11+D12</f>
        <v>#REF!</v>
      </c>
      <c r="E10" s="697">
        <f t="shared" ref="E10:E36" si="2">F10+G10+H10</f>
        <v>8158070</v>
      </c>
      <c r="F10" s="697">
        <f t="shared" si="1"/>
        <v>2464674</v>
      </c>
      <c r="G10" s="697">
        <f t="shared" si="1"/>
        <v>2711141</v>
      </c>
      <c r="H10" s="697">
        <f t="shared" si="1"/>
        <v>2982255</v>
      </c>
      <c r="K10" s="621">
        <f>K9-G22</f>
        <v>0</v>
      </c>
      <c r="L10" s="621">
        <f>L9-H22</f>
        <v>-25000</v>
      </c>
    </row>
    <row r="11" spans="1:14" ht="20.25" customHeight="1">
      <c r="A11" s="604" t="s">
        <v>257</v>
      </c>
      <c r="B11" s="605" t="s">
        <v>579</v>
      </c>
      <c r="C11" s="697"/>
      <c r="D11" s="697"/>
      <c r="E11" s="697">
        <f t="shared" si="2"/>
        <v>0</v>
      </c>
      <c r="F11" s="697"/>
      <c r="G11" s="697"/>
      <c r="H11" s="697"/>
      <c r="K11" s="621">
        <f>G12-F12</f>
        <v>246467</v>
      </c>
      <c r="L11" s="621">
        <f>H12-F12</f>
        <v>517581</v>
      </c>
    </row>
    <row r="12" spans="1:14" ht="16.5" customHeight="1">
      <c r="A12" s="604" t="s">
        <v>257</v>
      </c>
      <c r="B12" s="605" t="s">
        <v>580</v>
      </c>
      <c r="C12" s="697" t="e">
        <f>'Biểu 47'!#REF!</f>
        <v>#REF!</v>
      </c>
      <c r="D12" s="697" t="e">
        <f>'Biểu 47'!#REF!</f>
        <v>#REF!</v>
      </c>
      <c r="E12" s="697">
        <f t="shared" si="2"/>
        <v>8158070</v>
      </c>
      <c r="F12" s="697">
        <f>'Bieu 9'!E12</f>
        <v>2464674</v>
      </c>
      <c r="G12" s="697">
        <f>'Bieu 9'!F12</f>
        <v>2711141</v>
      </c>
      <c r="H12" s="697">
        <f>'Bieu 9'!G12</f>
        <v>2982255</v>
      </c>
    </row>
    <row r="13" spans="1:14" ht="20.25" customHeight="1">
      <c r="A13" s="604">
        <v>3</v>
      </c>
      <c r="B13" s="605" t="s">
        <v>581</v>
      </c>
      <c r="C13" s="697"/>
      <c r="D13" s="697"/>
      <c r="E13" s="697">
        <f t="shared" si="2"/>
        <v>0</v>
      </c>
      <c r="F13" s="697"/>
      <c r="G13" s="697"/>
      <c r="H13" s="697"/>
    </row>
    <row r="14" spans="1:14" ht="20.25" customHeight="1">
      <c r="A14" s="604">
        <v>4</v>
      </c>
      <c r="B14" s="605" t="s">
        <v>582</v>
      </c>
      <c r="C14" s="697"/>
      <c r="D14" s="697"/>
      <c r="E14" s="697">
        <f t="shared" si="2"/>
        <v>0</v>
      </c>
      <c r="F14" s="697"/>
      <c r="G14" s="697"/>
      <c r="H14" s="697"/>
    </row>
    <row r="15" spans="1:14" ht="20.25" customHeight="1">
      <c r="A15" s="604">
        <v>5</v>
      </c>
      <c r="B15" s="605" t="s">
        <v>583</v>
      </c>
      <c r="C15" s="697" t="e">
        <f>'Biểu 47'!#REF!</f>
        <v>#REF!</v>
      </c>
      <c r="D15" s="697" t="e">
        <f>'Biểu 47'!#REF!</f>
        <v>#REF!</v>
      </c>
      <c r="E15" s="697">
        <f t="shared" si="2"/>
        <v>7456325</v>
      </c>
      <c r="F15" s="697">
        <f>'Bieu 9'!E15</f>
        <v>3845325</v>
      </c>
      <c r="G15" s="697">
        <f>(F15-'ngay 27-11'!V8)-175000</f>
        <v>2355500</v>
      </c>
      <c r="H15" s="697">
        <f>G15-1100000</f>
        <v>1255500</v>
      </c>
    </row>
    <row r="16" spans="1:14" ht="20.25" customHeight="1">
      <c r="A16" s="602" t="s">
        <v>18</v>
      </c>
      <c r="B16" s="603" t="s">
        <v>632</v>
      </c>
      <c r="C16" s="705" t="e">
        <f>C17+C18+C21</f>
        <v>#REF!</v>
      </c>
      <c r="D16" s="705" t="e">
        <f t="shared" ref="D16:G16" si="3">D17+D18+D21</f>
        <v>#REF!</v>
      </c>
      <c r="E16" s="705">
        <f t="shared" si="2"/>
        <v>51829878</v>
      </c>
      <c r="F16" s="705">
        <f>F17+F18+F21</f>
        <v>16647640</v>
      </c>
      <c r="G16" s="705">
        <f t="shared" si="3"/>
        <v>17090943</v>
      </c>
      <c r="H16" s="705">
        <f>H17+H18+H21</f>
        <v>18091295</v>
      </c>
      <c r="K16" s="621">
        <f>H16-'Bieu 10'!G7</f>
        <v>0</v>
      </c>
    </row>
    <row r="17" spans="1:13" ht="20.25" customHeight="1">
      <c r="A17" s="604">
        <v>1</v>
      </c>
      <c r="B17" s="605" t="s">
        <v>654</v>
      </c>
      <c r="C17" s="697" t="e">
        <f>'Biểu 47'!#REF!</f>
        <v>#REF!</v>
      </c>
      <c r="D17" s="697" t="e">
        <f>'Biểu 47'!#REF!</f>
        <v>#REF!</v>
      </c>
      <c r="E17" s="697">
        <f t="shared" si="2"/>
        <v>36234268</v>
      </c>
      <c r="F17" s="697">
        <f>'Bieu 9'!E17</f>
        <v>11496917</v>
      </c>
      <c r="G17" s="697">
        <f>'Bieu 9'!F17</f>
        <v>11892723</v>
      </c>
      <c r="H17" s="697">
        <f>'Bieu 9'!G17</f>
        <v>12844628</v>
      </c>
      <c r="J17" s="621">
        <f>G8-G16</f>
        <v>-453719</v>
      </c>
      <c r="K17" s="621">
        <f>H8-H16</f>
        <v>-422852</v>
      </c>
    </row>
    <row r="18" spans="1:13" ht="20.25" customHeight="1">
      <c r="A18" s="604">
        <v>2</v>
      </c>
      <c r="B18" s="605" t="s">
        <v>633</v>
      </c>
      <c r="C18" s="697" t="e">
        <f>C19+C20</f>
        <v>#REF!</v>
      </c>
      <c r="D18" s="697" t="e">
        <f t="shared" ref="D18:H18" si="4">D19+D20</f>
        <v>#REF!</v>
      </c>
      <c r="E18" s="697">
        <f t="shared" si="2"/>
        <v>15595610</v>
      </c>
      <c r="F18" s="697">
        <f t="shared" si="4"/>
        <v>5150723</v>
      </c>
      <c r="G18" s="697">
        <f t="shared" si="4"/>
        <v>5198220</v>
      </c>
      <c r="H18" s="697">
        <f t="shared" si="4"/>
        <v>5246667</v>
      </c>
    </row>
    <row r="19" spans="1:13" ht="20.25" customHeight="1">
      <c r="A19" s="604" t="s">
        <v>257</v>
      </c>
      <c r="B19" s="605" t="s">
        <v>634</v>
      </c>
      <c r="C19" s="697" t="e">
        <f>'Biểu 47'!#REF!</f>
        <v>#REF!</v>
      </c>
      <c r="D19" s="697" t="e">
        <f>'Biểu 47'!#REF!</f>
        <v>#REF!</v>
      </c>
      <c r="E19" s="697">
        <f t="shared" si="2"/>
        <v>8327547</v>
      </c>
      <c r="F19" s="697">
        <f>'Bieu 9'!E19</f>
        <v>2775849</v>
      </c>
      <c r="G19" s="697">
        <f>'Bieu 9'!F19</f>
        <v>2775849</v>
      </c>
      <c r="H19" s="697">
        <f>'Bieu 9'!G19</f>
        <v>2775849</v>
      </c>
    </row>
    <row r="20" spans="1:13" ht="20.25" customHeight="1">
      <c r="A20" s="604" t="s">
        <v>257</v>
      </c>
      <c r="B20" s="605" t="s">
        <v>635</v>
      </c>
      <c r="C20" s="697" t="e">
        <f>'Biểu 47'!#REF!</f>
        <v>#REF!</v>
      </c>
      <c r="D20" s="697" t="e">
        <f>'Biểu 47'!#REF!</f>
        <v>#REF!</v>
      </c>
      <c r="E20" s="697">
        <f t="shared" si="2"/>
        <v>7268063</v>
      </c>
      <c r="F20" s="697">
        <f>'Bieu 9'!E20</f>
        <v>2374874</v>
      </c>
      <c r="G20" s="697">
        <f>'Bieu 9'!F20</f>
        <v>2422371</v>
      </c>
      <c r="H20" s="697">
        <f>'Bieu 9'!G20</f>
        <v>2470818</v>
      </c>
    </row>
    <row r="21" spans="1:13" ht="20.25" customHeight="1">
      <c r="A21" s="604">
        <v>3</v>
      </c>
      <c r="B21" s="605" t="s">
        <v>587</v>
      </c>
      <c r="C21" s="697" t="e">
        <f>'Biểu 47'!#REF!</f>
        <v>#REF!</v>
      </c>
      <c r="D21" s="697" t="e">
        <f>'Biểu 47'!#REF!</f>
        <v>#REF!</v>
      </c>
      <c r="E21" s="697">
        <f t="shared" si="2"/>
        <v>0</v>
      </c>
      <c r="F21" s="697">
        <f>'Biểu 47'!C24</f>
        <v>0</v>
      </c>
      <c r="G21" s="697"/>
      <c r="H21" s="697"/>
    </row>
    <row r="22" spans="1:13" ht="31.5" customHeight="1">
      <c r="A22" s="602" t="s">
        <v>196</v>
      </c>
      <c r="B22" s="603" t="s">
        <v>702</v>
      </c>
      <c r="C22" s="705" t="e">
        <f>C16-C8</f>
        <v>#REF!</v>
      </c>
      <c r="D22" s="705" t="e">
        <f>D16-D8</f>
        <v>#REF!</v>
      </c>
      <c r="E22" s="705">
        <f t="shared" si="2"/>
        <v>952871</v>
      </c>
      <c r="F22" s="705">
        <f>F16-F8+1</f>
        <v>76300</v>
      </c>
      <c r="G22" s="705">
        <f>G16-G8</f>
        <v>453719</v>
      </c>
      <c r="H22" s="705">
        <f>H16-H8</f>
        <v>422852</v>
      </c>
      <c r="M22" s="621">
        <f>F16-'10 sua'!D7</f>
        <v>0</v>
      </c>
    </row>
    <row r="23" spans="1:13" ht="31.5" customHeight="1">
      <c r="A23" s="602" t="s">
        <v>13</v>
      </c>
      <c r="B23" s="603" t="s">
        <v>650</v>
      </c>
      <c r="C23" s="697"/>
      <c r="D23" s="697"/>
      <c r="E23" s="697">
        <f t="shared" si="2"/>
        <v>0</v>
      </c>
      <c r="F23" s="697"/>
      <c r="G23" s="697"/>
      <c r="H23" s="697"/>
    </row>
    <row r="24" spans="1:13" ht="31.5" customHeight="1">
      <c r="A24" s="602" t="s">
        <v>17</v>
      </c>
      <c r="B24" s="603" t="s">
        <v>701</v>
      </c>
      <c r="C24" s="705" t="e">
        <f>C25+C26+C29+C30</f>
        <v>#REF!</v>
      </c>
      <c r="D24" s="705" t="e">
        <f t="shared" ref="D24:H24" si="5">D25+D26+D29+D30</f>
        <v>#REF!</v>
      </c>
      <c r="E24" s="705">
        <f t="shared" si="2"/>
        <v>27886527</v>
      </c>
      <c r="F24" s="705">
        <f t="shared" si="5"/>
        <v>8570953</v>
      </c>
      <c r="G24" s="705">
        <f t="shared" si="5"/>
        <v>9379645</v>
      </c>
      <c r="H24" s="705">
        <f t="shared" si="5"/>
        <v>9935929</v>
      </c>
    </row>
    <row r="25" spans="1:13" ht="31.5" customHeight="1">
      <c r="A25" s="604">
        <v>1</v>
      </c>
      <c r="B25" s="605" t="s">
        <v>630</v>
      </c>
      <c r="C25" s="697" t="e">
        <f>'Biểu 47'!#REF!</f>
        <v>#REF!</v>
      </c>
      <c r="D25" s="697" t="e">
        <f>'Biểu 47'!#REF!</f>
        <v>#REF!</v>
      </c>
      <c r="E25" s="697">
        <f t="shared" si="2"/>
        <v>12290917</v>
      </c>
      <c r="F25" s="697">
        <f>'Bieu 9'!E25</f>
        <v>3420230</v>
      </c>
      <c r="G25" s="697">
        <f>'Bieu 9'!F25</f>
        <v>4181425</v>
      </c>
      <c r="H25" s="697">
        <f>'Bieu 9'!G25</f>
        <v>4689262</v>
      </c>
    </row>
    <row r="26" spans="1:13" ht="31.5" customHeight="1">
      <c r="A26" s="604">
        <v>2</v>
      </c>
      <c r="B26" s="605" t="s">
        <v>631</v>
      </c>
      <c r="C26" s="697" t="e">
        <f>C27+C28</f>
        <v>#REF!</v>
      </c>
      <c r="D26" s="697" t="e">
        <f t="shared" ref="D26:H26" si="6">D27+D28</f>
        <v>#REF!</v>
      </c>
      <c r="E26" s="697">
        <f t="shared" si="2"/>
        <v>15595610</v>
      </c>
      <c r="F26" s="697">
        <f t="shared" si="6"/>
        <v>5150723</v>
      </c>
      <c r="G26" s="697">
        <f t="shared" si="6"/>
        <v>5198220</v>
      </c>
      <c r="H26" s="697">
        <f t="shared" si="6"/>
        <v>5246667</v>
      </c>
    </row>
    <row r="27" spans="1:13" ht="40.5" customHeight="1">
      <c r="A27" s="604" t="s">
        <v>257</v>
      </c>
      <c r="B27" s="605" t="s">
        <v>579</v>
      </c>
      <c r="C27" s="697" t="e">
        <f>C19</f>
        <v>#REF!</v>
      </c>
      <c r="D27" s="697" t="e">
        <f t="shared" ref="D27:H28" si="7">D19</f>
        <v>#REF!</v>
      </c>
      <c r="E27" s="697">
        <f t="shared" si="2"/>
        <v>8327547</v>
      </c>
      <c r="F27" s="697">
        <f>F19</f>
        <v>2775849</v>
      </c>
      <c r="G27" s="697">
        <f t="shared" si="7"/>
        <v>2775849</v>
      </c>
      <c r="H27" s="697">
        <f t="shared" si="7"/>
        <v>2775849</v>
      </c>
    </row>
    <row r="28" spans="1:13" ht="20.25" customHeight="1">
      <c r="A28" s="604" t="s">
        <v>257</v>
      </c>
      <c r="B28" s="605" t="s">
        <v>580</v>
      </c>
      <c r="C28" s="697" t="e">
        <f>C20</f>
        <v>#REF!</v>
      </c>
      <c r="D28" s="697" t="e">
        <f t="shared" si="7"/>
        <v>#REF!</v>
      </c>
      <c r="E28" s="697">
        <f t="shared" si="2"/>
        <v>7268063</v>
      </c>
      <c r="F28" s="697">
        <f t="shared" si="7"/>
        <v>2374874</v>
      </c>
      <c r="G28" s="697">
        <f t="shared" si="7"/>
        <v>2422371</v>
      </c>
      <c r="H28" s="697">
        <f t="shared" si="7"/>
        <v>2470818</v>
      </c>
    </row>
    <row r="29" spans="1:13" ht="20.25" customHeight="1">
      <c r="A29" s="604">
        <v>3</v>
      </c>
      <c r="B29" s="605" t="s">
        <v>582</v>
      </c>
      <c r="C29" s="697"/>
      <c r="D29" s="697"/>
      <c r="E29" s="697">
        <f t="shared" si="2"/>
        <v>0</v>
      </c>
      <c r="F29" s="697"/>
      <c r="G29" s="697"/>
      <c r="H29" s="697"/>
    </row>
    <row r="30" spans="1:13" ht="20.25" customHeight="1">
      <c r="A30" s="604">
        <v>4</v>
      </c>
      <c r="B30" s="605" t="s">
        <v>583</v>
      </c>
      <c r="C30" s="697" t="e">
        <f>'Biểu 47'!#REF!</f>
        <v>#REF!</v>
      </c>
      <c r="D30" s="697" t="e">
        <f>'Biểu 47'!#REF!</f>
        <v>#REF!</v>
      </c>
      <c r="E30" s="697">
        <f t="shared" si="2"/>
        <v>0</v>
      </c>
      <c r="F30" s="697">
        <f>'Biểu 47'!C34</f>
        <v>0</v>
      </c>
      <c r="G30" s="697">
        <v>0</v>
      </c>
      <c r="H30" s="697">
        <v>0</v>
      </c>
    </row>
    <row r="31" spans="1:13" ht="31.5" customHeight="1" thickBot="1">
      <c r="A31" s="602" t="s">
        <v>18</v>
      </c>
      <c r="B31" s="603" t="s">
        <v>632</v>
      </c>
      <c r="C31" s="705" t="e">
        <f>C24</f>
        <v>#REF!</v>
      </c>
      <c r="D31" s="705" t="e">
        <f t="shared" ref="D31:H31" si="8">D24</f>
        <v>#REF!</v>
      </c>
      <c r="E31" s="705">
        <f t="shared" si="2"/>
        <v>27886527</v>
      </c>
      <c r="F31" s="705">
        <f t="shared" si="8"/>
        <v>8570953</v>
      </c>
      <c r="G31" s="705">
        <f t="shared" si="8"/>
        <v>9379645</v>
      </c>
      <c r="H31" s="705">
        <f t="shared" si="8"/>
        <v>9935929</v>
      </c>
    </row>
    <row r="32" spans="1:13" ht="20.25" hidden="1" customHeight="1">
      <c r="A32" s="604">
        <v>1</v>
      </c>
      <c r="B32" s="605" t="s">
        <v>703</v>
      </c>
      <c r="C32" s="697"/>
      <c r="D32" s="697"/>
      <c r="E32" s="697">
        <f t="shared" si="2"/>
        <v>0</v>
      </c>
      <c r="F32" s="697"/>
      <c r="G32" s="697"/>
      <c r="H32" s="697"/>
    </row>
    <row r="33" spans="1:8" hidden="1">
      <c r="A33" s="604">
        <v>2</v>
      </c>
      <c r="B33" s="605" t="s">
        <v>633</v>
      </c>
      <c r="C33" s="697"/>
      <c r="D33" s="697"/>
      <c r="E33" s="697">
        <f t="shared" si="2"/>
        <v>0</v>
      </c>
      <c r="F33" s="697"/>
      <c r="G33" s="697"/>
      <c r="H33" s="697"/>
    </row>
    <row r="34" spans="1:8" hidden="1">
      <c r="A34" s="604" t="s">
        <v>257</v>
      </c>
      <c r="B34" s="605" t="s">
        <v>634</v>
      </c>
      <c r="C34" s="697"/>
      <c r="D34" s="697"/>
      <c r="E34" s="697">
        <f t="shared" si="2"/>
        <v>0</v>
      </c>
      <c r="F34" s="697"/>
      <c r="G34" s="697"/>
      <c r="H34" s="697"/>
    </row>
    <row r="35" spans="1:8" hidden="1">
      <c r="A35" s="604" t="s">
        <v>257</v>
      </c>
      <c r="B35" s="605" t="s">
        <v>635</v>
      </c>
      <c r="C35" s="697"/>
      <c r="D35" s="697"/>
      <c r="E35" s="697">
        <f t="shared" si="2"/>
        <v>0</v>
      </c>
      <c r="F35" s="697"/>
      <c r="G35" s="697"/>
      <c r="H35" s="697"/>
    </row>
    <row r="36" spans="1:8" ht="17.25" hidden="1" thickBot="1">
      <c r="A36" s="606">
        <v>3</v>
      </c>
      <c r="B36" s="611" t="s">
        <v>587</v>
      </c>
      <c r="C36" s="606"/>
      <c r="D36" s="606"/>
      <c r="E36" s="606">
        <f t="shared" si="2"/>
        <v>0</v>
      </c>
      <c r="F36" s="606"/>
      <c r="G36" s="606"/>
      <c r="H36" s="606"/>
    </row>
    <row r="37" spans="1:8">
      <c r="A37" s="1084"/>
      <c r="B37" s="1084"/>
      <c r="C37" s="1084"/>
      <c r="D37" s="1084"/>
      <c r="E37" s="1084"/>
      <c r="F37" s="1084"/>
      <c r="G37" s="1084"/>
      <c r="H37" s="1084"/>
    </row>
    <row r="38" spans="1:8">
      <c r="E38" s="803">
        <f>E17+E31</f>
        <v>64120795</v>
      </c>
      <c r="F38" s="803">
        <f>F17+F31</f>
        <v>20067870</v>
      </c>
      <c r="G38" s="803">
        <f>G17+G31</f>
        <v>21272368</v>
      </c>
      <c r="H38" s="803">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973" t="s">
        <v>159</v>
      </c>
      <c r="B2" s="973"/>
      <c r="C2" s="973"/>
      <c r="D2" s="973"/>
      <c r="E2" s="973"/>
      <c r="F2" s="973"/>
      <c r="G2" s="973"/>
      <c r="H2" s="973"/>
      <c r="I2" s="973"/>
      <c r="J2" s="973"/>
      <c r="K2" s="973"/>
      <c r="L2" s="973"/>
      <c r="M2" s="973"/>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974"/>
      <c r="M3" s="97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376</v>
      </c>
      <c r="M6" s="980" t="s">
        <v>371</v>
      </c>
    </row>
    <row r="7" spans="1:256" s="77" customFormat="1" ht="21" customHeight="1">
      <c r="A7" s="1001"/>
      <c r="B7" s="978"/>
      <c r="C7" s="980"/>
      <c r="D7" s="980"/>
      <c r="E7" s="980"/>
      <c r="F7" s="980"/>
      <c r="G7" s="980"/>
      <c r="H7" s="980"/>
      <c r="I7" s="980"/>
      <c r="J7" s="1002" t="s">
        <v>353</v>
      </c>
      <c r="K7" s="1002" t="s">
        <v>354</v>
      </c>
      <c r="L7" s="980"/>
      <c r="M7" s="980"/>
    </row>
    <row r="8" spans="1:256" s="77" customFormat="1" ht="24.75" customHeight="1">
      <c r="A8" s="1001"/>
      <c r="B8" s="978"/>
      <c r="C8" s="980"/>
      <c r="D8" s="980"/>
      <c r="E8" s="980"/>
      <c r="F8" s="980"/>
      <c r="G8" s="980"/>
      <c r="H8" s="980"/>
      <c r="I8" s="980"/>
      <c r="J8" s="1002"/>
      <c r="K8" s="1002"/>
      <c r="L8" s="980"/>
      <c r="M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987" t="s">
        <v>200</v>
      </c>
      <c r="F1" s="987"/>
      <c r="G1" s="207">
        <v>33</v>
      </c>
    </row>
    <row r="2" spans="1:14" ht="17.25">
      <c r="A2" s="990" t="s">
        <v>26</v>
      </c>
      <c r="B2" s="990"/>
      <c r="C2" s="991"/>
      <c r="D2" s="991"/>
      <c r="E2" s="991"/>
      <c r="F2" s="991"/>
      <c r="G2" s="991"/>
      <c r="H2" s="991"/>
      <c r="I2" s="991"/>
      <c r="J2" s="991"/>
      <c r="K2" s="991"/>
    </row>
    <row r="3" spans="1:14" ht="17.25">
      <c r="A3" s="990" t="str">
        <f>+'chi 2016 xac định lại'!A3:G3</f>
        <v>Quảng Nam</v>
      </c>
      <c r="B3" s="990"/>
      <c r="C3" s="990"/>
      <c r="D3" s="990"/>
      <c r="E3" s="990"/>
      <c r="F3" s="990"/>
      <c r="G3" s="990"/>
      <c r="H3" s="990"/>
      <c r="I3" s="990"/>
      <c r="J3" s="990"/>
      <c r="K3" s="990"/>
    </row>
    <row r="4" spans="1:14" ht="17.25">
      <c r="A4" s="40"/>
      <c r="B4" s="1"/>
      <c r="C4" s="1"/>
      <c r="D4" s="1"/>
      <c r="E4" s="1"/>
      <c r="F4" s="1"/>
      <c r="G4" s="1"/>
      <c r="H4" s="1"/>
      <c r="I4" s="1"/>
      <c r="J4" s="1"/>
      <c r="K4" s="1"/>
    </row>
    <row r="5" spans="1:14" ht="18.75" thickBot="1">
      <c r="A5" s="41"/>
      <c r="B5" s="2"/>
      <c r="C5" s="2"/>
      <c r="D5" s="2"/>
      <c r="E5" s="2"/>
      <c r="F5" s="2"/>
      <c r="G5" s="2"/>
      <c r="H5" s="2"/>
      <c r="I5" s="2"/>
      <c r="J5" s="992" t="s">
        <v>0</v>
      </c>
      <c r="K5" s="992"/>
    </row>
    <row r="6" spans="1:14" s="32" customFormat="1" ht="28.5" customHeight="1">
      <c r="A6" s="993" t="s">
        <v>1</v>
      </c>
      <c r="B6" s="983" t="s">
        <v>27</v>
      </c>
      <c r="C6" s="983" t="s">
        <v>212</v>
      </c>
      <c r="D6" s="995" t="s">
        <v>28</v>
      </c>
      <c r="E6" s="995"/>
      <c r="F6" s="995" t="s">
        <v>29</v>
      </c>
      <c r="G6" s="995"/>
      <c r="H6" s="985" t="s">
        <v>2</v>
      </c>
      <c r="I6" s="985"/>
      <c r="J6" s="985"/>
      <c r="K6" s="986"/>
    </row>
    <row r="7" spans="1:14" s="32" customFormat="1" ht="57.75" customHeight="1">
      <c r="A7" s="994"/>
      <c r="B7" s="984"/>
      <c r="C7" s="98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988"/>
      <c r="B49" s="988"/>
      <c r="C49" s="989"/>
      <c r="D49" s="989"/>
      <c r="E49" s="989"/>
      <c r="F49" s="989"/>
      <c r="G49" s="989"/>
      <c r="H49" s="989"/>
      <c r="I49" s="989"/>
      <c r="J49" s="989"/>
      <c r="K49" s="98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997" t="s">
        <v>323</v>
      </c>
      <c r="B3" s="997"/>
      <c r="C3" s="997"/>
      <c r="D3" s="997"/>
      <c r="E3" s="997"/>
      <c r="F3" s="99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998" t="s">
        <v>292</v>
      </c>
      <c r="F5" s="998"/>
      <c r="H5" s="217"/>
      <c r="I5" s="217"/>
      <c r="J5" s="998" t="s">
        <v>292</v>
      </c>
      <c r="K5" s="998"/>
    </row>
    <row r="6" spans="1:12" s="248" customFormat="1" ht="23.25" customHeight="1">
      <c r="A6" s="261" t="s">
        <v>194</v>
      </c>
      <c r="B6" s="260"/>
      <c r="C6" s="999" t="s">
        <v>291</v>
      </c>
      <c r="D6" s="100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996" t="s">
        <v>245</v>
      </c>
      <c r="B48" s="996"/>
      <c r="C48" s="996"/>
      <c r="D48" s="996"/>
      <c r="E48" s="996"/>
      <c r="F48" s="99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371</v>
      </c>
    </row>
    <row r="7" spans="1:256" s="77" customFormat="1" ht="21" customHeight="1">
      <c r="A7" s="1001"/>
      <c r="B7" s="978"/>
      <c r="C7" s="980"/>
      <c r="D7" s="980"/>
      <c r="E7" s="980"/>
      <c r="F7" s="980"/>
      <c r="G7" s="980"/>
      <c r="H7" s="980"/>
      <c r="I7" s="980"/>
      <c r="J7" s="1002" t="s">
        <v>353</v>
      </c>
      <c r="K7" s="1002" t="s">
        <v>354</v>
      </c>
      <c r="L7" s="980"/>
    </row>
    <row r="8" spans="1:256" s="77" customFormat="1" ht="24.75" customHeight="1">
      <c r="A8" s="1001"/>
      <c r="B8" s="978"/>
      <c r="C8" s="980"/>
      <c r="D8" s="980"/>
      <c r="E8" s="980"/>
      <c r="F8" s="980"/>
      <c r="G8" s="980"/>
      <c r="H8" s="980"/>
      <c r="I8" s="980"/>
      <c r="J8" s="1002"/>
      <c r="K8" s="1002"/>
      <c r="L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row>
    <row r="7" spans="1:256" s="77" customFormat="1" ht="21" customHeight="1">
      <c r="A7" s="1001"/>
      <c r="B7" s="978"/>
      <c r="C7" s="980"/>
      <c r="D7" s="980"/>
      <c r="E7" s="980"/>
      <c r="F7" s="980"/>
      <c r="G7" s="980"/>
      <c r="H7" s="980"/>
      <c r="I7" s="980"/>
      <c r="J7" s="1002" t="s">
        <v>353</v>
      </c>
      <c r="K7" s="1002" t="s">
        <v>354</v>
      </c>
    </row>
    <row r="8" spans="1:256" s="77" customFormat="1" ht="24.75" customHeight="1">
      <c r="A8" s="1001"/>
      <c r="B8" s="978"/>
      <c r="C8" s="980"/>
      <c r="D8" s="980"/>
      <c r="E8" s="980"/>
      <c r="F8" s="980"/>
      <c r="G8" s="980"/>
      <c r="H8" s="980"/>
      <c r="I8" s="980"/>
      <c r="J8" s="1002"/>
      <c r="K8" s="100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970" t="s">
        <v>151</v>
      </c>
      <c r="C180" s="970"/>
      <c r="D180" s="97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970" t="s">
        <v>152</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970" t="s">
        <v>153</v>
      </c>
      <c r="C182" s="970"/>
      <c r="D182" s="97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970" t="s">
        <v>154</v>
      </c>
      <c r="C183" s="970"/>
      <c r="D183" s="97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970" t="s">
        <v>155</v>
      </c>
      <c r="C184" s="970"/>
      <c r="D184" s="97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970" t="s">
        <v>156</v>
      </c>
      <c r="C185" s="970"/>
      <c r="D185" s="97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B11" sqref="B11"/>
    </sheetView>
  </sheetViews>
  <sheetFormatPr defaultColWidth="9.140625" defaultRowHeight="16.5"/>
  <cols>
    <col min="1" max="1" width="6.7109375" style="589" customWidth="1"/>
    <col min="2" max="2" width="64" style="589" customWidth="1"/>
    <col min="3" max="3" width="16.85546875" style="589" customWidth="1"/>
    <col min="4" max="4" width="9.140625" style="589"/>
    <col min="5" max="5" width="10" style="589" bestFit="1" customWidth="1"/>
    <col min="6" max="6" width="16.140625" style="589" customWidth="1"/>
    <col min="7" max="16384" width="9.140625" style="589"/>
  </cols>
  <sheetData>
    <row r="1" spans="1:6">
      <c r="A1" s="1004" t="s">
        <v>901</v>
      </c>
      <c r="B1" s="1004"/>
    </row>
    <row r="2" spans="1:6">
      <c r="A2" s="1005" t="s">
        <v>900</v>
      </c>
      <c r="B2" s="1005"/>
      <c r="C2" s="1005"/>
    </row>
    <row r="3" spans="1:6" ht="18.75">
      <c r="A3" s="1009" t="s">
        <v>640</v>
      </c>
      <c r="B3" s="1009"/>
      <c r="C3" s="1009"/>
    </row>
    <row r="4" spans="1:6">
      <c r="A4" s="1006" t="s">
        <v>998</v>
      </c>
      <c r="B4" s="1006"/>
      <c r="C4" s="1006"/>
    </row>
    <row r="5" spans="1:6">
      <c r="A5" s="1007" t="s">
        <v>199</v>
      </c>
      <c r="B5" s="1007"/>
      <c r="C5" s="1007"/>
    </row>
    <row r="6" spans="1:6" ht="16.5" customHeight="1">
      <c r="A6" s="1008" t="s">
        <v>11</v>
      </c>
      <c r="B6" s="1008" t="s">
        <v>289</v>
      </c>
      <c r="C6" s="1008" t="s">
        <v>472</v>
      </c>
    </row>
    <row r="7" spans="1:6">
      <c r="A7" s="1008"/>
      <c r="B7" s="1008"/>
      <c r="C7" s="1008"/>
    </row>
    <row r="8" spans="1:6">
      <c r="A8" s="752" t="s">
        <v>12</v>
      </c>
      <c r="B8" s="752" t="s">
        <v>13</v>
      </c>
      <c r="C8" s="752">
        <v>1</v>
      </c>
    </row>
    <row r="9" spans="1:6" s="625" customFormat="1">
      <c r="A9" s="749" t="s">
        <v>12</v>
      </c>
      <c r="B9" s="749" t="s">
        <v>574</v>
      </c>
      <c r="C9" s="750">
        <f>C10+C15+C18+C19+C20-1</f>
        <v>19991570</v>
      </c>
      <c r="F9" s="677"/>
    </row>
    <row r="10" spans="1:6" s="625" customFormat="1">
      <c r="A10" s="613" t="s">
        <v>17</v>
      </c>
      <c r="B10" s="614" t="s">
        <v>575</v>
      </c>
      <c r="C10" s="624">
        <f>C11+C13</f>
        <v>13681572</v>
      </c>
      <c r="F10" s="677"/>
    </row>
    <row r="11" spans="1:6">
      <c r="A11" s="616" t="s">
        <v>257</v>
      </c>
      <c r="B11" s="615" t="s">
        <v>576</v>
      </c>
      <c r="C11" s="623">
        <v>1888800</v>
      </c>
      <c r="F11" s="680"/>
    </row>
    <row r="12" spans="1:6" s="673" customFormat="1" hidden="1">
      <c r="A12" s="670"/>
      <c r="B12" s="671" t="s">
        <v>660</v>
      </c>
      <c r="C12" s="672"/>
    </row>
    <row r="13" spans="1:6">
      <c r="A13" s="616" t="s">
        <v>257</v>
      </c>
      <c r="B13" s="615" t="s">
        <v>577</v>
      </c>
      <c r="C13" s="623">
        <v>11792772</v>
      </c>
      <c r="F13" s="680"/>
    </row>
    <row r="14" spans="1:6" ht="33">
      <c r="A14" s="616"/>
      <c r="B14" s="671" t="s">
        <v>771</v>
      </c>
      <c r="C14" s="672">
        <v>12714572</v>
      </c>
    </row>
    <row r="15" spans="1:6" s="625" customFormat="1">
      <c r="A15" s="613" t="s">
        <v>18</v>
      </c>
      <c r="B15" s="614" t="s">
        <v>578</v>
      </c>
      <c r="C15" s="624">
        <f t="shared" ref="C15" si="0">C16+C17</f>
        <v>2464674</v>
      </c>
    </row>
    <row r="16" spans="1:6">
      <c r="A16" s="616">
        <v>1</v>
      </c>
      <c r="B16" s="615" t="s">
        <v>579</v>
      </c>
      <c r="C16" s="623"/>
    </row>
    <row r="17" spans="1:6">
      <c r="A17" s="616">
        <v>2</v>
      </c>
      <c r="B17" s="615" t="s">
        <v>580</v>
      </c>
      <c r="C17" s="623">
        <v>2464674</v>
      </c>
    </row>
    <row r="18" spans="1:6">
      <c r="A18" s="613" t="s">
        <v>196</v>
      </c>
      <c r="B18" s="614" t="s">
        <v>581</v>
      </c>
      <c r="C18" s="623"/>
    </row>
    <row r="19" spans="1:6">
      <c r="A19" s="613" t="s">
        <v>197</v>
      </c>
      <c r="B19" s="614" t="s">
        <v>582</v>
      </c>
      <c r="C19" s="623"/>
    </row>
    <row r="20" spans="1:6" s="625" customFormat="1">
      <c r="A20" s="613" t="s">
        <v>419</v>
      </c>
      <c r="B20" s="614" t="s">
        <v>583</v>
      </c>
      <c r="C20" s="624">
        <v>3845325</v>
      </c>
    </row>
    <row r="21" spans="1:6">
      <c r="A21" s="613" t="s">
        <v>13</v>
      </c>
      <c r="B21" s="613" t="s">
        <v>383</v>
      </c>
      <c r="C21" s="624">
        <f>C22+C30+C33</f>
        <v>20067870</v>
      </c>
    </row>
    <row r="22" spans="1:6" s="625" customFormat="1">
      <c r="A22" s="613" t="s">
        <v>17</v>
      </c>
      <c r="B22" s="614" t="s">
        <v>584</v>
      </c>
      <c r="C22" s="624">
        <f>SUM(C23:C29)</f>
        <v>17603196</v>
      </c>
    </row>
    <row r="23" spans="1:6">
      <c r="A23" s="616">
        <v>1</v>
      </c>
      <c r="B23" s="615" t="s">
        <v>616</v>
      </c>
      <c r="C23" s="623">
        <f>'Bieu 17'!D10</f>
        <v>2461938</v>
      </c>
    </row>
    <row r="24" spans="1:6">
      <c r="A24" s="616">
        <v>2</v>
      </c>
      <c r="B24" s="615" t="s">
        <v>551</v>
      </c>
      <c r="C24" s="623">
        <f>'Bieu 17'!D25</f>
        <v>11543671</v>
      </c>
    </row>
    <row r="25" spans="1:6">
      <c r="A25" s="616">
        <v>3</v>
      </c>
      <c r="B25" s="615" t="s">
        <v>772</v>
      </c>
      <c r="C25" s="623">
        <f>'Bieu 17'!D44</f>
        <v>11901</v>
      </c>
    </row>
    <row r="26" spans="1:6">
      <c r="A26" s="616">
        <v>4</v>
      </c>
      <c r="B26" s="615" t="s">
        <v>572</v>
      </c>
      <c r="C26" s="623">
        <f>'Bieu 17'!D45</f>
        <v>1450</v>
      </c>
    </row>
    <row r="27" spans="1:6">
      <c r="A27" s="616">
        <v>5</v>
      </c>
      <c r="B27" s="615" t="s">
        <v>552</v>
      </c>
      <c r="C27" s="623">
        <f>'Bieu 17'!D46</f>
        <v>512325</v>
      </c>
    </row>
    <row r="28" spans="1:6">
      <c r="A28" s="616">
        <v>6</v>
      </c>
      <c r="B28" s="615" t="s">
        <v>693</v>
      </c>
      <c r="C28" s="623">
        <f>'Bieu 17'!D47</f>
        <v>3032462</v>
      </c>
    </row>
    <row r="29" spans="1:6">
      <c r="A29" s="616">
        <v>7</v>
      </c>
      <c r="B29" s="615" t="s">
        <v>671</v>
      </c>
      <c r="C29" s="623">
        <f>'ngay 27-11'!E174</f>
        <v>39449</v>
      </c>
      <c r="F29" s="680"/>
    </row>
    <row r="30" spans="1:6" s="625" customFormat="1">
      <c r="A30" s="613" t="s">
        <v>18</v>
      </c>
      <c r="B30" s="614" t="s">
        <v>585</v>
      </c>
      <c r="C30" s="624">
        <f t="shared" ref="C30" si="1">C31+C32</f>
        <v>2464674</v>
      </c>
    </row>
    <row r="31" spans="1:6">
      <c r="A31" s="616">
        <v>1</v>
      </c>
      <c r="B31" s="615" t="s">
        <v>554</v>
      </c>
      <c r="C31" s="623">
        <f>'Bieu 17'!D50</f>
        <v>472921</v>
      </c>
    </row>
    <row r="32" spans="1:6">
      <c r="A32" s="616">
        <v>2</v>
      </c>
      <c r="B32" s="615" t="s">
        <v>586</v>
      </c>
      <c r="C32" s="623">
        <f>'Bieu 17'!D57</f>
        <v>1991753</v>
      </c>
    </row>
    <row r="33" spans="1:6" s="625" customFormat="1">
      <c r="A33" s="613" t="s">
        <v>196</v>
      </c>
      <c r="B33" s="614" t="s">
        <v>587</v>
      </c>
      <c r="C33" s="624"/>
    </row>
    <row r="34" spans="1:6" s="625" customFormat="1">
      <c r="A34" s="613" t="s">
        <v>273</v>
      </c>
      <c r="B34" s="613" t="s">
        <v>773</v>
      </c>
      <c r="C34" s="624">
        <v>76300</v>
      </c>
    </row>
    <row r="35" spans="1:6" s="625" customFormat="1">
      <c r="A35" s="613" t="s">
        <v>271</v>
      </c>
      <c r="B35" s="613" t="s">
        <v>774</v>
      </c>
      <c r="C35" s="678">
        <v>74653</v>
      </c>
      <c r="E35" s="677"/>
    </row>
    <row r="36" spans="1:6" s="625" customFormat="1">
      <c r="A36" s="613" t="s">
        <v>17</v>
      </c>
      <c r="B36" s="614" t="s">
        <v>588</v>
      </c>
      <c r="C36" s="624"/>
    </row>
    <row r="37" spans="1:6" s="625" customFormat="1" ht="33">
      <c r="A37" s="613" t="s">
        <v>18</v>
      </c>
      <c r="B37" s="614" t="s">
        <v>589</v>
      </c>
      <c r="C37" s="624"/>
      <c r="F37" s="677"/>
    </row>
    <row r="38" spans="1:6" s="625" customFormat="1">
      <c r="A38" s="613" t="s">
        <v>269</v>
      </c>
      <c r="B38" s="613" t="s">
        <v>775</v>
      </c>
      <c r="C38" s="624">
        <f>C39</f>
        <v>76300</v>
      </c>
    </row>
    <row r="39" spans="1:6" s="625" customFormat="1">
      <c r="A39" s="613" t="s">
        <v>17</v>
      </c>
      <c r="B39" s="614" t="s">
        <v>590</v>
      </c>
      <c r="C39" s="624">
        <v>76300</v>
      </c>
    </row>
    <row r="40" spans="1:6" s="625" customFormat="1">
      <c r="A40" s="617" t="s">
        <v>18</v>
      </c>
      <c r="B40" s="618" t="s">
        <v>591</v>
      </c>
      <c r="C40" s="679"/>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1014" t="s">
        <v>901</v>
      </c>
      <c r="B1" s="1014"/>
      <c r="C1" s="1014"/>
    </row>
    <row r="2" spans="1:6" ht="20.25" customHeight="1">
      <c r="A2" s="1015" t="s">
        <v>902</v>
      </c>
      <c r="B2" s="1015"/>
      <c r="C2" s="1015"/>
    </row>
    <row r="3" spans="1:6" ht="39" customHeight="1">
      <c r="A3" s="1016" t="s">
        <v>642</v>
      </c>
      <c r="B3" s="1016"/>
      <c r="C3" s="1016"/>
    </row>
    <row r="4" spans="1:6">
      <c r="A4" s="1006" t="s">
        <v>999</v>
      </c>
      <c r="B4" s="1006"/>
      <c r="C4" s="1006"/>
    </row>
    <row r="5" spans="1:6" ht="16.5" customHeight="1">
      <c r="A5" s="1012" t="s">
        <v>199</v>
      </c>
      <c r="B5" s="1012"/>
      <c r="C5" s="1012"/>
    </row>
    <row r="6" spans="1:6" ht="21.75" customHeight="1">
      <c r="A6" s="1008" t="s">
        <v>11</v>
      </c>
      <c r="B6" s="1008" t="s">
        <v>289</v>
      </c>
      <c r="C6" s="1008" t="s">
        <v>472</v>
      </c>
    </row>
    <row r="7" spans="1:6">
      <c r="A7" s="1008"/>
      <c r="B7" s="1008"/>
      <c r="C7" s="1008"/>
    </row>
    <row r="8" spans="1:6">
      <c r="A8" s="751" t="s">
        <v>12</v>
      </c>
      <c r="B8" s="751" t="s">
        <v>13</v>
      </c>
      <c r="C8" s="751">
        <v>1</v>
      </c>
    </row>
    <row r="9" spans="1:6">
      <c r="A9" s="766" t="s">
        <v>12</v>
      </c>
      <c r="B9" s="767" t="s">
        <v>653</v>
      </c>
      <c r="C9" s="768"/>
    </row>
    <row r="10" spans="1:6">
      <c r="A10" s="634" t="s">
        <v>17</v>
      </c>
      <c r="B10" s="635" t="s">
        <v>629</v>
      </c>
      <c r="C10" s="761">
        <f>C11+C13+C16+C17+C18</f>
        <v>16571341</v>
      </c>
      <c r="D10" s="621"/>
    </row>
    <row r="11" spans="1:6">
      <c r="A11" s="637">
        <v>1</v>
      </c>
      <c r="B11" s="638" t="s">
        <v>630</v>
      </c>
      <c r="C11" s="760">
        <f>9998344+262998</f>
        <v>10261342</v>
      </c>
      <c r="D11" s="621"/>
      <c r="F11" s="621"/>
    </row>
    <row r="12" spans="1:6" s="627" customFormat="1" ht="15.75">
      <c r="A12" s="641"/>
      <c r="B12" s="643" t="s">
        <v>652</v>
      </c>
      <c r="C12" s="760"/>
      <c r="D12" s="629"/>
      <c r="E12" s="629"/>
    </row>
    <row r="13" spans="1:6">
      <c r="A13" s="637">
        <v>2</v>
      </c>
      <c r="B13" s="638" t="s">
        <v>631</v>
      </c>
      <c r="C13" s="760">
        <f t="shared" ref="C13" si="0">C14+C15</f>
        <v>2464674</v>
      </c>
    </row>
    <row r="14" spans="1:6">
      <c r="A14" s="637" t="s">
        <v>257</v>
      </c>
      <c r="B14" s="638" t="s">
        <v>579</v>
      </c>
      <c r="C14" s="760"/>
      <c r="F14" s="621"/>
    </row>
    <row r="15" spans="1:6">
      <c r="A15" s="637" t="s">
        <v>257</v>
      </c>
      <c r="B15" s="638" t="s">
        <v>580</v>
      </c>
      <c r="C15" s="760">
        <v>2464674</v>
      </c>
    </row>
    <row r="16" spans="1:6">
      <c r="A16" s="637">
        <v>3</v>
      </c>
      <c r="B16" s="638" t="s">
        <v>581</v>
      </c>
      <c r="C16" s="760"/>
    </row>
    <row r="17" spans="1:6">
      <c r="A17" s="637">
        <v>4</v>
      </c>
      <c r="B17" s="638" t="s">
        <v>582</v>
      </c>
      <c r="C17" s="760"/>
      <c r="F17" s="621"/>
    </row>
    <row r="18" spans="1:6">
      <c r="A18" s="637">
        <v>5</v>
      </c>
      <c r="B18" s="638" t="s">
        <v>583</v>
      </c>
      <c r="C18" s="760">
        <v>3845325</v>
      </c>
      <c r="D18" s="621"/>
      <c r="E18" s="621"/>
    </row>
    <row r="19" spans="1:6">
      <c r="A19" s="634" t="s">
        <v>18</v>
      </c>
      <c r="B19" s="635" t="s">
        <v>632</v>
      </c>
      <c r="C19" s="761">
        <f>C20+C21+C24+1</f>
        <v>16647641</v>
      </c>
    </row>
    <row r="20" spans="1:6">
      <c r="A20" s="637">
        <v>1</v>
      </c>
      <c r="B20" s="638" t="s">
        <v>654</v>
      </c>
      <c r="C20" s="760">
        <f>'Biểu 49'!D9</f>
        <v>11496917</v>
      </c>
      <c r="D20" s="621"/>
      <c r="F20" s="621"/>
    </row>
    <row r="21" spans="1:6">
      <c r="A21" s="637">
        <v>2</v>
      </c>
      <c r="B21" s="638" t="s">
        <v>633</v>
      </c>
      <c r="C21" s="760">
        <f>C22+C23</f>
        <v>5150723</v>
      </c>
      <c r="D21" s="628"/>
    </row>
    <row r="22" spans="1:6">
      <c r="A22" s="637" t="s">
        <v>257</v>
      </c>
      <c r="B22" s="638" t="s">
        <v>634</v>
      </c>
      <c r="C22" s="760">
        <v>2775849</v>
      </c>
      <c r="F22" s="621"/>
    </row>
    <row r="23" spans="1:6">
      <c r="A23" s="637" t="s">
        <v>257</v>
      </c>
      <c r="B23" s="638" t="s">
        <v>635</v>
      </c>
      <c r="C23" s="760">
        <f>[1]MT2018!C4</f>
        <v>2374874</v>
      </c>
      <c r="E23" s="621"/>
      <c r="F23" s="621"/>
    </row>
    <row r="24" spans="1:6">
      <c r="A24" s="637">
        <v>3</v>
      </c>
      <c r="B24" s="638" t="s">
        <v>587</v>
      </c>
      <c r="C24" s="760"/>
      <c r="F24" s="621"/>
    </row>
    <row r="25" spans="1:6">
      <c r="A25" s="634" t="s">
        <v>196</v>
      </c>
      <c r="B25" s="635" t="s">
        <v>655</v>
      </c>
      <c r="C25" s="549">
        <f>C19-C10</f>
        <v>76300</v>
      </c>
      <c r="D25" s="621"/>
    </row>
    <row r="26" spans="1:6">
      <c r="A26" s="634" t="s">
        <v>13</v>
      </c>
      <c r="B26" s="635" t="s">
        <v>650</v>
      </c>
      <c r="C26" s="760"/>
      <c r="D26" s="621"/>
    </row>
    <row r="27" spans="1:6">
      <c r="A27" s="634" t="s">
        <v>17</v>
      </c>
      <c r="B27" s="635" t="s">
        <v>629</v>
      </c>
      <c r="C27" s="761">
        <f>C28+C30+C33+C34</f>
        <v>8570953</v>
      </c>
    </row>
    <row r="28" spans="1:6">
      <c r="A28" s="637">
        <v>1</v>
      </c>
      <c r="B28" s="638" t="s">
        <v>630</v>
      </c>
      <c r="C28" s="760">
        <f>3683229-262998-1</f>
        <v>3420230</v>
      </c>
      <c r="D28" s="621"/>
    </row>
    <row r="29" spans="1:6" s="626" customFormat="1" ht="15.75">
      <c r="A29" s="658"/>
      <c r="B29" s="643" t="s">
        <v>652</v>
      </c>
      <c r="C29" s="762"/>
    </row>
    <row r="30" spans="1:6">
      <c r="A30" s="637">
        <v>2</v>
      </c>
      <c r="B30" s="638" t="s">
        <v>631</v>
      </c>
      <c r="C30" s="760">
        <f>C31+C32</f>
        <v>5150723</v>
      </c>
    </row>
    <row r="31" spans="1:6">
      <c r="A31" s="637" t="s">
        <v>257</v>
      </c>
      <c r="B31" s="638" t="s">
        <v>579</v>
      </c>
      <c r="C31" s="760">
        <f>C22</f>
        <v>2775849</v>
      </c>
      <c r="D31" s="621"/>
    </row>
    <row r="32" spans="1:6">
      <c r="A32" s="637" t="s">
        <v>257</v>
      </c>
      <c r="B32" s="638" t="s">
        <v>580</v>
      </c>
      <c r="C32" s="760">
        <f>C23</f>
        <v>2374874</v>
      </c>
    </row>
    <row r="33" spans="1:5">
      <c r="A33" s="637">
        <v>3</v>
      </c>
      <c r="B33" s="638" t="s">
        <v>582</v>
      </c>
      <c r="C33" s="760"/>
      <c r="E33" s="621"/>
    </row>
    <row r="34" spans="1:5">
      <c r="A34" s="637">
        <v>4</v>
      </c>
      <c r="B34" s="638" t="s">
        <v>583</v>
      </c>
      <c r="C34" s="760"/>
      <c r="D34" s="621"/>
    </row>
    <row r="35" spans="1:5">
      <c r="A35" s="634" t="s">
        <v>18</v>
      </c>
      <c r="B35" s="635" t="s">
        <v>636</v>
      </c>
      <c r="C35" s="761">
        <f>C36+C37+C40</f>
        <v>8570953</v>
      </c>
    </row>
    <row r="36" spans="1:5">
      <c r="A36" s="637">
        <v>1</v>
      </c>
      <c r="B36" s="638" t="s">
        <v>651</v>
      </c>
      <c r="C36" s="760">
        <f>'Biểu 49'!E9</f>
        <v>8570953</v>
      </c>
    </row>
    <row r="37" spans="1:5">
      <c r="A37" s="637">
        <v>2</v>
      </c>
      <c r="B37" s="638" t="s">
        <v>637</v>
      </c>
      <c r="C37" s="760"/>
    </row>
    <row r="38" spans="1:5">
      <c r="A38" s="637" t="s">
        <v>257</v>
      </c>
      <c r="B38" s="638" t="s">
        <v>634</v>
      </c>
      <c r="C38" s="760"/>
    </row>
    <row r="39" spans="1:5">
      <c r="A39" s="637" t="s">
        <v>257</v>
      </c>
      <c r="B39" s="638" t="s">
        <v>635</v>
      </c>
      <c r="C39" s="760"/>
    </row>
    <row r="40" spans="1:5">
      <c r="A40" s="763">
        <v>3</v>
      </c>
      <c r="B40" s="764" t="s">
        <v>587</v>
      </c>
      <c r="C40" s="765"/>
    </row>
    <row r="41" spans="1:5" ht="17.25" hidden="1">
      <c r="A41" s="1013" t="s">
        <v>776</v>
      </c>
      <c r="B41" s="1013"/>
      <c r="C41" s="1013"/>
    </row>
    <row r="42" spans="1:5" ht="17.25" hidden="1">
      <c r="A42" s="1013" t="s">
        <v>638</v>
      </c>
      <c r="B42" s="1013"/>
      <c r="C42" s="1013"/>
    </row>
    <row r="43" spans="1:5" hidden="1">
      <c r="A43" s="1010" t="s">
        <v>639</v>
      </c>
      <c r="B43" s="1010"/>
      <c r="C43" s="1010"/>
    </row>
    <row r="44" spans="1:5" hidden="1">
      <c r="A44" s="1011" t="s">
        <v>592</v>
      </c>
      <c r="B44" s="1011"/>
      <c r="C44" s="1011"/>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opLeftCell="A56"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95" t="s">
        <v>901</v>
      </c>
      <c r="B1" s="1018" t="s">
        <v>965</v>
      </c>
      <c r="C1" s="1018"/>
      <c r="D1" s="1018"/>
    </row>
    <row r="2" spans="1:4" ht="15.75">
      <c r="A2" s="1023"/>
      <c r="B2" s="1023"/>
      <c r="C2" s="1023"/>
      <c r="D2" s="1023"/>
    </row>
    <row r="3" spans="1:4" ht="18.75">
      <c r="A3" s="1024" t="s">
        <v>964</v>
      </c>
      <c r="B3" s="1024"/>
      <c r="C3" s="1024"/>
      <c r="D3" s="1024"/>
    </row>
    <row r="4" spans="1:4" ht="21" customHeight="1">
      <c r="A4" s="1025" t="s">
        <v>1000</v>
      </c>
      <c r="B4" s="1025"/>
      <c r="C4" s="1025"/>
      <c r="D4" s="1025"/>
    </row>
    <row r="5" spans="1:4" ht="15.75">
      <c r="A5" s="862"/>
      <c r="B5" s="1017" t="s">
        <v>903</v>
      </c>
      <c r="C5" s="1017"/>
      <c r="D5" s="1017"/>
    </row>
    <row r="6" spans="1:4" ht="25.5" customHeight="1">
      <c r="A6" s="1022" t="s">
        <v>1</v>
      </c>
      <c r="B6" s="1019" t="s">
        <v>959</v>
      </c>
      <c r="C6" s="1020"/>
      <c r="D6" s="1021"/>
    </row>
    <row r="7" spans="1:4" ht="44.25" customHeight="1">
      <c r="A7" s="1022"/>
      <c r="B7" s="863" t="s">
        <v>904</v>
      </c>
      <c r="C7" s="864" t="s">
        <v>906</v>
      </c>
      <c r="D7" s="863" t="s">
        <v>905</v>
      </c>
    </row>
    <row r="8" spans="1:4" ht="15.75">
      <c r="A8" s="865" t="s">
        <v>907</v>
      </c>
      <c r="B8" s="866">
        <f>+B9+B80</f>
        <v>19676000</v>
      </c>
      <c r="C8" s="866">
        <f>+C9+C80</f>
        <v>1794428</v>
      </c>
      <c r="D8" s="866">
        <f>+D9+D80</f>
        <v>13681572</v>
      </c>
    </row>
    <row r="9" spans="1:4" ht="15.75">
      <c r="A9" s="867" t="s">
        <v>908</v>
      </c>
      <c r="B9" s="868">
        <f>+B14+B22+B30+B39+B47+B48+B49+B50+B51+B54+B62+B65+B67+B68+B74+B75+B79</f>
        <v>15476000</v>
      </c>
      <c r="C9" s="868">
        <f>+C14+C22+C30+C39+C47+C48+C49+C50+C51+C54+C62+C65+C67+C68+C74+C75+C79</f>
        <v>1794428</v>
      </c>
      <c r="D9" s="868">
        <f>+D14+D22+D30+D39+D47+D48+D49+D50+D51+D54+D62+D65+D67+D68+D74+D75+D79</f>
        <v>13681572</v>
      </c>
    </row>
    <row r="10" spans="1:4" ht="15.75" hidden="1">
      <c r="A10" s="869" t="s">
        <v>909</v>
      </c>
      <c r="B10" s="870">
        <f>B9-B11</f>
        <v>15421000</v>
      </c>
      <c r="C10" s="870">
        <f>C9-C11</f>
        <v>1794428</v>
      </c>
      <c r="D10" s="870">
        <f>D9-D11</f>
        <v>13626572</v>
      </c>
    </row>
    <row r="11" spans="1:4" ht="31.5" hidden="1">
      <c r="A11" s="871" t="s">
        <v>910</v>
      </c>
      <c r="B11" s="870">
        <f>B58+B59+B70</f>
        <v>55000</v>
      </c>
      <c r="C11" s="870">
        <f>C58+C59+C70</f>
        <v>0</v>
      </c>
      <c r="D11" s="870">
        <f>D58+D59+D70</f>
        <v>55000</v>
      </c>
    </row>
    <row r="12" spans="1:4" ht="31.5" hidden="1">
      <c r="A12" s="872" t="s">
        <v>911</v>
      </c>
      <c r="B12" s="873">
        <f>B9-B62-B79</f>
        <v>14579000</v>
      </c>
      <c r="C12" s="873">
        <f>C9-C62-C79</f>
        <v>1794428</v>
      </c>
      <c r="D12" s="873">
        <f>D9-D62-D79</f>
        <v>12784572</v>
      </c>
    </row>
    <row r="13" spans="1:4" ht="31.5" hidden="1">
      <c r="A13" s="871" t="s">
        <v>912</v>
      </c>
      <c r="B13" s="873">
        <f>B9-B62-B79-B58-B59-B70</f>
        <v>14524000</v>
      </c>
      <c r="C13" s="873">
        <f>C9-C62-C79-C58-C59-C70</f>
        <v>1794428</v>
      </c>
      <c r="D13" s="873">
        <f>D9-D62-D79-D58-D59-D70</f>
        <v>12729572</v>
      </c>
    </row>
    <row r="14" spans="1:4" ht="15.75">
      <c r="A14" s="874" t="s">
        <v>913</v>
      </c>
      <c r="B14" s="868">
        <f>+B15+B16+B17+B19+B20+B21</f>
        <v>901900</v>
      </c>
      <c r="C14" s="868">
        <f t="shared" ref="C14:D14" si="0">+C15+C16+C17+C19+C20+C21</f>
        <v>59460</v>
      </c>
      <c r="D14" s="868">
        <f t="shared" si="0"/>
        <v>842440</v>
      </c>
    </row>
    <row r="15" spans="1:4" ht="15.75">
      <c r="A15" s="875" t="s">
        <v>914</v>
      </c>
      <c r="B15" s="877">
        <v>541600</v>
      </c>
      <c r="C15" s="876">
        <f>B15*0.1</f>
        <v>54160</v>
      </c>
      <c r="D15" s="876">
        <f>B15-C15</f>
        <v>487440</v>
      </c>
    </row>
    <row r="16" spans="1:4" ht="15.75">
      <c r="A16" s="875" t="s">
        <v>915</v>
      </c>
      <c r="B16" s="876">
        <v>53000</v>
      </c>
      <c r="C16" s="876">
        <f>B16*0.1</f>
        <v>5300</v>
      </c>
      <c r="D16" s="876">
        <f>B16-C16</f>
        <v>47700</v>
      </c>
    </row>
    <row r="17" spans="1:4" ht="15.75">
      <c r="A17" s="875" t="s">
        <v>916</v>
      </c>
      <c r="B17" s="876"/>
      <c r="C17" s="876"/>
      <c r="D17" s="876"/>
    </row>
    <row r="18" spans="1:4" ht="31.5" hidden="1">
      <c r="A18" s="878" t="s">
        <v>917</v>
      </c>
      <c r="B18" s="879"/>
      <c r="C18" s="879"/>
      <c r="D18" s="879"/>
    </row>
    <row r="19" spans="1:4" ht="15.75">
      <c r="A19" s="875" t="s">
        <v>918</v>
      </c>
      <c r="B19" s="877">
        <v>307300</v>
      </c>
      <c r="C19" s="876"/>
      <c r="D19" s="876">
        <f>B19</f>
        <v>307300</v>
      </c>
    </row>
    <row r="20" spans="1:4" ht="15.75" hidden="1">
      <c r="A20" s="875" t="s">
        <v>919</v>
      </c>
      <c r="B20" s="876"/>
      <c r="C20" s="876"/>
      <c r="D20" s="876"/>
    </row>
    <row r="21" spans="1:4" ht="15.75" hidden="1">
      <c r="A21" s="875" t="s">
        <v>920</v>
      </c>
      <c r="B21" s="876"/>
      <c r="C21" s="876"/>
      <c r="D21" s="876"/>
    </row>
    <row r="22" spans="1:4" ht="15.75">
      <c r="A22" s="874" t="s">
        <v>921</v>
      </c>
      <c r="B22" s="868">
        <f t="shared" ref="B22:D22" si="1">B23+B24+B25+B27+B28+B29</f>
        <v>130000</v>
      </c>
      <c r="C22" s="868">
        <f t="shared" si="1"/>
        <v>11500</v>
      </c>
      <c r="D22" s="868">
        <f t="shared" si="1"/>
        <v>118500</v>
      </c>
    </row>
    <row r="23" spans="1:4" ht="15.75">
      <c r="A23" s="875" t="s">
        <v>922</v>
      </c>
      <c r="B23" s="876">
        <v>90000</v>
      </c>
      <c r="C23" s="876">
        <f>B23*0.1</f>
        <v>9000</v>
      </c>
      <c r="D23" s="876">
        <f>B23-C23</f>
        <v>81000</v>
      </c>
    </row>
    <row r="24" spans="1:4" ht="15.75">
      <c r="A24" s="875" t="s">
        <v>915</v>
      </c>
      <c r="B24" s="876">
        <v>24400</v>
      </c>
      <c r="C24" s="876">
        <f>B24*0.1</f>
        <v>2440</v>
      </c>
      <c r="D24" s="876">
        <f>B24-C24</f>
        <v>21960</v>
      </c>
    </row>
    <row r="25" spans="1:4" ht="15.75">
      <c r="A25" s="875" t="s">
        <v>923</v>
      </c>
      <c r="B25" s="876">
        <v>600</v>
      </c>
      <c r="C25" s="876">
        <f>B25*0.1</f>
        <v>60</v>
      </c>
      <c r="D25" s="876">
        <f>B25-C25</f>
        <v>540</v>
      </c>
    </row>
    <row r="26" spans="1:4" ht="31.5" hidden="1">
      <c r="A26" s="878" t="s">
        <v>917</v>
      </c>
      <c r="B26" s="879"/>
      <c r="C26" s="879"/>
      <c r="D26" s="879"/>
    </row>
    <row r="27" spans="1:4" ht="15.75">
      <c r="A27" s="875" t="s">
        <v>918</v>
      </c>
      <c r="B27" s="876">
        <v>15000</v>
      </c>
      <c r="C27" s="876"/>
      <c r="D27" s="876">
        <f>B27</f>
        <v>15000</v>
      </c>
    </row>
    <row r="28" spans="1:4" ht="15.75" hidden="1">
      <c r="A28" s="875" t="s">
        <v>919</v>
      </c>
      <c r="B28" s="876"/>
      <c r="C28" s="876"/>
      <c r="D28" s="876"/>
    </row>
    <row r="29" spans="1:4" ht="15.75" hidden="1">
      <c r="A29" s="875" t="s">
        <v>920</v>
      </c>
      <c r="B29" s="876"/>
      <c r="C29" s="876"/>
      <c r="D29" s="876"/>
    </row>
    <row r="30" spans="1:4" ht="15.75">
      <c r="A30" s="874" t="s">
        <v>924</v>
      </c>
      <c r="B30" s="868">
        <f t="shared" ref="B30" si="2">+B31+B35+B36+B32+B33+B38</f>
        <v>1313000</v>
      </c>
      <c r="C30" s="868">
        <f>+C31+C35+C36+C37+C32+C33+C38</f>
        <v>130900</v>
      </c>
      <c r="D30" s="868">
        <f>+D31+D35+D36+D37+D32+D33+D38</f>
        <v>1182100</v>
      </c>
    </row>
    <row r="31" spans="1:4" ht="15.75">
      <c r="A31" s="875" t="s">
        <v>914</v>
      </c>
      <c r="B31" s="876">
        <v>323000</v>
      </c>
      <c r="C31" s="876">
        <f>B31*0.1</f>
        <v>32300</v>
      </c>
      <c r="D31" s="876">
        <f>B31-C31</f>
        <v>290700</v>
      </c>
    </row>
    <row r="32" spans="1:4" ht="15.75">
      <c r="A32" s="875" t="s">
        <v>915</v>
      </c>
      <c r="B32" s="876">
        <v>241000</v>
      </c>
      <c r="C32" s="876">
        <f>B32*0.1</f>
        <v>24100</v>
      </c>
      <c r="D32" s="876">
        <f>B32-C32</f>
        <v>216900</v>
      </c>
    </row>
    <row r="33" spans="1:4" ht="15.75">
      <c r="A33" s="875" t="s">
        <v>923</v>
      </c>
      <c r="B33" s="877">
        <f>545000+200000</f>
        <v>745000</v>
      </c>
      <c r="C33" s="876">
        <f>B33*0.1</f>
        <v>74500</v>
      </c>
      <c r="D33" s="876">
        <f>B33-C33</f>
        <v>670500</v>
      </c>
    </row>
    <row r="34" spans="1:4" ht="31.5" hidden="1">
      <c r="A34" s="878" t="s">
        <v>917</v>
      </c>
      <c r="B34" s="879"/>
      <c r="C34" s="879"/>
      <c r="D34" s="879"/>
    </row>
    <row r="35" spans="1:4" ht="15.75">
      <c r="A35" s="875" t="s">
        <v>918</v>
      </c>
      <c r="B35" s="876">
        <v>4000</v>
      </c>
      <c r="C35" s="876"/>
      <c r="D35" s="876">
        <f>B35</f>
        <v>4000</v>
      </c>
    </row>
    <row r="36" spans="1:4" ht="15.75" hidden="1">
      <c r="A36" s="875" t="s">
        <v>919</v>
      </c>
      <c r="B36" s="876"/>
      <c r="C36" s="876"/>
      <c r="D36" s="876"/>
    </row>
    <row r="37" spans="1:4" ht="15.75" hidden="1">
      <c r="A37" s="875" t="s">
        <v>925</v>
      </c>
      <c r="B37" s="876"/>
      <c r="C37" s="876"/>
      <c r="D37" s="876"/>
    </row>
    <row r="38" spans="1:4" ht="15.75" hidden="1">
      <c r="A38" s="875" t="s">
        <v>920</v>
      </c>
      <c r="B38" s="876"/>
      <c r="C38" s="876"/>
      <c r="D38" s="876"/>
    </row>
    <row r="39" spans="1:4" ht="15.75">
      <c r="A39" s="874" t="s">
        <v>926</v>
      </c>
      <c r="B39" s="868">
        <f t="shared" ref="B39:D39" si="3">+B40+B41+B42+B44+B45+B46</f>
        <v>10766100</v>
      </c>
      <c r="C39" s="868">
        <f t="shared" si="3"/>
        <v>1184280</v>
      </c>
      <c r="D39" s="868">
        <f t="shared" si="3"/>
        <v>9581820</v>
      </c>
    </row>
    <row r="40" spans="1:4" ht="15.75">
      <c r="A40" s="875" t="s">
        <v>914</v>
      </c>
      <c r="B40" s="876">
        <v>2911800</v>
      </c>
      <c r="C40" s="876">
        <f>B40*0.1</f>
        <v>291180</v>
      </c>
      <c r="D40" s="876">
        <f>B40-C40</f>
        <v>2620620</v>
      </c>
    </row>
    <row r="41" spans="1:4" ht="15.75">
      <c r="A41" s="875" t="s">
        <v>915</v>
      </c>
      <c r="B41" s="876">
        <v>646000</v>
      </c>
      <c r="C41" s="876">
        <f>B41*0.1</f>
        <v>64600</v>
      </c>
      <c r="D41" s="876">
        <f>B41-C41</f>
        <v>581400</v>
      </c>
    </row>
    <row r="42" spans="1:4" ht="15.75">
      <c r="A42" s="875" t="s">
        <v>923</v>
      </c>
      <c r="B42" s="876">
        <v>7115000</v>
      </c>
      <c r="C42" s="876">
        <f>B43+(B42-B43)*0.1</f>
        <v>828500</v>
      </c>
      <c r="D42" s="876">
        <f>B42-C42</f>
        <v>6286500</v>
      </c>
    </row>
    <row r="43" spans="1:4" ht="31.5">
      <c r="A43" s="880" t="s">
        <v>927</v>
      </c>
      <c r="B43" s="881">
        <v>130000</v>
      </c>
      <c r="C43" s="881">
        <f>B43</f>
        <v>130000</v>
      </c>
      <c r="D43" s="881"/>
    </row>
    <row r="44" spans="1:4" ht="15.75">
      <c r="A44" s="875" t="s">
        <v>918</v>
      </c>
      <c r="B44" s="876">
        <v>93300</v>
      </c>
      <c r="C44" s="876"/>
      <c r="D44" s="876">
        <f>B44</f>
        <v>93300</v>
      </c>
    </row>
    <row r="45" spans="1:4" ht="15.75" hidden="1">
      <c r="A45" s="875" t="s">
        <v>919</v>
      </c>
      <c r="B45" s="876"/>
      <c r="C45" s="876"/>
      <c r="D45" s="876"/>
    </row>
    <row r="46" spans="1:4" ht="15.75" hidden="1">
      <c r="A46" s="875" t="s">
        <v>928</v>
      </c>
      <c r="B46" s="876"/>
      <c r="C46" s="876"/>
      <c r="D46" s="876"/>
    </row>
    <row r="47" spans="1:4" ht="15.75">
      <c r="A47" s="874" t="s">
        <v>929</v>
      </c>
      <c r="B47" s="868">
        <v>250000</v>
      </c>
      <c r="C47" s="868"/>
      <c r="D47" s="868">
        <f>B47</f>
        <v>250000</v>
      </c>
    </row>
    <row r="48" spans="1:4" ht="15.75" hidden="1">
      <c r="A48" s="874" t="s">
        <v>930</v>
      </c>
      <c r="B48" s="868"/>
      <c r="C48" s="868"/>
      <c r="D48" s="868"/>
    </row>
    <row r="49" spans="1:4" ht="15.75">
      <c r="A49" s="874" t="s">
        <v>931</v>
      </c>
      <c r="B49" s="868">
        <v>4000</v>
      </c>
      <c r="C49" s="868"/>
      <c r="D49" s="868">
        <f>B49</f>
        <v>4000</v>
      </c>
    </row>
    <row r="50" spans="1:4" ht="15.75">
      <c r="A50" s="874" t="s">
        <v>932</v>
      </c>
      <c r="B50" s="868">
        <v>380000</v>
      </c>
      <c r="C50" s="868">
        <f>B50*0.1</f>
        <v>38000</v>
      </c>
      <c r="D50" s="868">
        <f>B50-C50</f>
        <v>342000</v>
      </c>
    </row>
    <row r="51" spans="1:4" ht="15.75">
      <c r="A51" s="874" t="s">
        <v>933</v>
      </c>
      <c r="B51" s="868">
        <v>430000</v>
      </c>
      <c r="C51" s="868">
        <f>C52+C53</f>
        <v>284488</v>
      </c>
      <c r="D51" s="868">
        <f>D52+D53</f>
        <v>145512</v>
      </c>
    </row>
    <row r="52" spans="1:4" ht="15.75">
      <c r="A52" s="883" t="s">
        <v>934</v>
      </c>
      <c r="B52" s="881">
        <f>B51*0.624</f>
        <v>268320</v>
      </c>
      <c r="C52" s="881">
        <f>B52</f>
        <v>268320</v>
      </c>
      <c r="D52" s="881"/>
    </row>
    <row r="53" spans="1:4" ht="15.75">
      <c r="A53" s="883" t="s">
        <v>935</v>
      </c>
      <c r="B53" s="881">
        <f>B51-B52</f>
        <v>161680</v>
      </c>
      <c r="C53" s="881">
        <f>B53*0.1</f>
        <v>16168</v>
      </c>
      <c r="D53" s="881">
        <f>B53-C53</f>
        <v>145512</v>
      </c>
    </row>
    <row r="54" spans="1:4" ht="15.75">
      <c r="A54" s="874" t="s">
        <v>936</v>
      </c>
      <c r="B54" s="868">
        <f>100000</f>
        <v>100000</v>
      </c>
      <c r="C54" s="868">
        <f>C55</f>
        <v>33000</v>
      </c>
      <c r="D54" s="868">
        <f>D56</f>
        <v>67000</v>
      </c>
    </row>
    <row r="55" spans="1:4" ht="15.75">
      <c r="A55" s="875" t="s">
        <v>937</v>
      </c>
      <c r="B55" s="876">
        <v>33000</v>
      </c>
      <c r="C55" s="876">
        <f>B55</f>
        <v>33000</v>
      </c>
      <c r="D55" s="876"/>
    </row>
    <row r="56" spans="1:4" ht="15.75">
      <c r="A56" s="875" t="s">
        <v>938</v>
      </c>
      <c r="B56" s="876">
        <f>B54-B55</f>
        <v>67000</v>
      </c>
      <c r="C56" s="876"/>
      <c r="D56" s="876">
        <f>B56</f>
        <v>67000</v>
      </c>
    </row>
    <row r="57" spans="1:4" ht="15.75">
      <c r="A57" s="884" t="s">
        <v>939</v>
      </c>
      <c r="B57" s="876"/>
      <c r="C57" s="876"/>
      <c r="D57" s="876"/>
    </row>
    <row r="58" spans="1:4" ht="15.75">
      <c r="A58" s="885" t="s">
        <v>940</v>
      </c>
      <c r="B58" s="879">
        <v>30000</v>
      </c>
      <c r="C58" s="876"/>
      <c r="D58" s="879">
        <f>B58</f>
        <v>30000</v>
      </c>
    </row>
    <row r="59" spans="1:4" ht="15.75" hidden="1">
      <c r="A59" s="886" t="s">
        <v>941</v>
      </c>
      <c r="B59" s="876"/>
      <c r="C59" s="876"/>
      <c r="D59" s="876"/>
    </row>
    <row r="60" spans="1:4" ht="15.75">
      <c r="A60" s="880" t="s">
        <v>942</v>
      </c>
      <c r="B60" s="881">
        <v>15000</v>
      </c>
      <c r="C60" s="881"/>
      <c r="D60" s="881">
        <f>B60</f>
        <v>15000</v>
      </c>
    </row>
    <row r="61" spans="1:4" ht="15.75" hidden="1">
      <c r="A61" s="880" t="s">
        <v>943</v>
      </c>
      <c r="B61" s="881">
        <f>B56-B58-B59-B60</f>
        <v>22000</v>
      </c>
      <c r="C61" s="881"/>
      <c r="D61" s="881">
        <f>B61</f>
        <v>22000</v>
      </c>
    </row>
    <row r="62" spans="1:4" ht="15.75">
      <c r="A62" s="887" t="s">
        <v>944</v>
      </c>
      <c r="B62" s="882">
        <f>700000+58000+63260-260</f>
        <v>821000</v>
      </c>
      <c r="C62" s="882"/>
      <c r="D62" s="882">
        <f>B62</f>
        <v>821000</v>
      </c>
    </row>
    <row r="63" spans="1:4" ht="15.75" hidden="1">
      <c r="A63" s="884" t="s">
        <v>945</v>
      </c>
      <c r="B63" s="888"/>
      <c r="C63" s="888"/>
      <c r="D63" s="889"/>
    </row>
    <row r="64" spans="1:4" ht="15.75" hidden="1">
      <c r="A64" s="884" t="s">
        <v>946</v>
      </c>
      <c r="B64" s="888"/>
      <c r="C64" s="888"/>
      <c r="D64" s="889"/>
    </row>
    <row r="65" spans="1:4" ht="15.75">
      <c r="A65" s="874" t="s">
        <v>947</v>
      </c>
      <c r="B65" s="882">
        <f>100000+60000-58000-63260+260</f>
        <v>39000</v>
      </c>
      <c r="C65" s="882"/>
      <c r="D65" s="882">
        <f>B65</f>
        <v>39000</v>
      </c>
    </row>
    <row r="66" spans="1:4" ht="15.75" hidden="1">
      <c r="A66" s="884"/>
      <c r="B66" s="879"/>
      <c r="C66" s="879"/>
      <c r="D66" s="870"/>
    </row>
    <row r="67" spans="1:4" ht="15.75" hidden="1">
      <c r="A67" s="874" t="s">
        <v>948</v>
      </c>
      <c r="B67" s="868"/>
      <c r="C67" s="868"/>
      <c r="D67" s="868"/>
    </row>
    <row r="68" spans="1:4" ht="15.75">
      <c r="A68" s="874" t="s">
        <v>960</v>
      </c>
      <c r="B68" s="868">
        <v>170000</v>
      </c>
      <c r="C68" s="868">
        <f>C71+C72</f>
        <v>50000</v>
      </c>
      <c r="D68" s="868">
        <f>B68-C68</f>
        <v>120000</v>
      </c>
    </row>
    <row r="69" spans="1:4" ht="15.75">
      <c r="A69" s="884" t="s">
        <v>949</v>
      </c>
      <c r="B69" s="868"/>
      <c r="C69" s="868"/>
      <c r="D69" s="868"/>
    </row>
    <row r="70" spans="1:4" ht="15.75">
      <c r="A70" s="885" t="s">
        <v>950</v>
      </c>
      <c r="B70" s="879">
        <v>25000</v>
      </c>
      <c r="C70" s="868"/>
      <c r="D70" s="879">
        <f>B70</f>
        <v>25000</v>
      </c>
    </row>
    <row r="71" spans="1:4" ht="15.75">
      <c r="A71" s="883" t="s">
        <v>951</v>
      </c>
      <c r="B71" s="888">
        <v>25000</v>
      </c>
      <c r="C71" s="888">
        <f>B71</f>
        <v>25000</v>
      </c>
      <c r="D71" s="888">
        <f>B71-C71</f>
        <v>0</v>
      </c>
    </row>
    <row r="72" spans="1:4" ht="15.75">
      <c r="A72" s="880" t="s">
        <v>952</v>
      </c>
      <c r="B72" s="888">
        <v>25000</v>
      </c>
      <c r="C72" s="888">
        <f>B72</f>
        <v>25000</v>
      </c>
      <c r="D72" s="888"/>
    </row>
    <row r="73" spans="1:4" ht="15.75" hidden="1">
      <c r="A73" s="880" t="s">
        <v>953</v>
      </c>
      <c r="B73" s="881">
        <f>B68-B70-B71-B72</f>
        <v>95000</v>
      </c>
      <c r="C73" s="888"/>
      <c r="D73" s="888">
        <f>B73</f>
        <v>95000</v>
      </c>
    </row>
    <row r="74" spans="1:4" ht="15.75">
      <c r="A74" s="874" t="s">
        <v>961</v>
      </c>
      <c r="B74" s="868">
        <v>40000</v>
      </c>
      <c r="C74" s="868"/>
      <c r="D74" s="868">
        <f>B74</f>
        <v>40000</v>
      </c>
    </row>
    <row r="75" spans="1:4" ht="15.75">
      <c r="A75" s="874" t="s">
        <v>962</v>
      </c>
      <c r="B75" s="868">
        <v>55000</v>
      </c>
      <c r="C75" s="868">
        <f>C77+C78</f>
        <v>2800</v>
      </c>
      <c r="D75" s="868">
        <f>D77+D78</f>
        <v>52200</v>
      </c>
    </row>
    <row r="76" spans="1:4" ht="15.75">
      <c r="A76" s="883" t="s">
        <v>161</v>
      </c>
      <c r="B76" s="890"/>
      <c r="C76" s="890"/>
      <c r="D76" s="890"/>
    </row>
    <row r="77" spans="1:4" ht="15.75">
      <c r="A77" s="883" t="s">
        <v>954</v>
      </c>
      <c r="B77" s="881">
        <v>4000</v>
      </c>
      <c r="C77" s="881">
        <f>B77*0.7</f>
        <v>2800</v>
      </c>
      <c r="D77" s="881">
        <f>B77-C77</f>
        <v>1200</v>
      </c>
    </row>
    <row r="78" spans="1:4" ht="15.75">
      <c r="A78" s="883" t="s">
        <v>955</v>
      </c>
      <c r="B78" s="881">
        <f>B75-B77</f>
        <v>51000</v>
      </c>
      <c r="C78" s="881"/>
      <c r="D78" s="881">
        <f>B78</f>
        <v>51000</v>
      </c>
    </row>
    <row r="79" spans="1:4" ht="15.75">
      <c r="A79" s="874" t="s">
        <v>963</v>
      </c>
      <c r="B79" s="868">
        <v>76000</v>
      </c>
      <c r="C79" s="890"/>
      <c r="D79" s="868">
        <f>B79</f>
        <v>76000</v>
      </c>
    </row>
    <row r="80" spans="1:4" ht="15.75">
      <c r="A80" s="891" t="s">
        <v>956</v>
      </c>
      <c r="B80" s="882">
        <f>B81+B82</f>
        <v>4200000</v>
      </c>
      <c r="C80" s="882"/>
      <c r="D80" s="882"/>
    </row>
    <row r="81" spans="1:4" ht="15.75">
      <c r="A81" s="875" t="s">
        <v>957</v>
      </c>
      <c r="B81" s="892">
        <f>5000+1994500+500</f>
        <v>2000000</v>
      </c>
      <c r="C81" s="892"/>
      <c r="D81" s="892"/>
    </row>
    <row r="82" spans="1:4" ht="15.75">
      <c r="A82" s="893" t="s">
        <v>958</v>
      </c>
      <c r="B82" s="894">
        <v>2200000</v>
      </c>
      <c r="C82" s="894"/>
      <c r="D82" s="89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04A532-37F3-4766-8F64-38A914CA6971}"/>
</file>

<file path=customXml/itemProps2.xml><?xml version="1.0" encoding="utf-8"?>
<ds:datastoreItem xmlns:ds="http://schemas.openxmlformats.org/officeDocument/2006/customXml" ds:itemID="{94F3AECC-4DED-4B47-9B12-C4AA69DE2499}"/>
</file>

<file path=customXml/itemProps3.xml><?xml version="1.0" encoding="utf-8"?>
<ds:datastoreItem xmlns:ds="http://schemas.openxmlformats.org/officeDocument/2006/customXml" ds:itemID="{F349FAF2-F3D4-41BA-877D-4304C62229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31</vt:i4>
      </vt:variant>
    </vt:vector>
  </HeadingPairs>
  <TitlesOfParts>
    <vt:vector size="58" baseType="lpstr">
      <vt:lpstr>chi 2016 xac định lại</vt:lpstr>
      <vt:lpstr>Vong II</vt:lpstr>
      <vt:lpstr>Chi</vt:lpstr>
      <vt:lpstr>Boi chi NSDP</vt:lpstr>
      <vt:lpstr>Sheet1</vt:lpstr>
      <vt:lpstr>Quang Nam</vt:lpstr>
      <vt:lpstr>Biểu 46</vt:lpstr>
      <vt:lpstr>Biểu 47</vt:lpstr>
      <vt:lpstr>Biểu 48</vt:lpstr>
      <vt:lpstr>Biểu 49</vt:lpstr>
      <vt:lpstr>Biểu 50</vt:lpstr>
      <vt:lpstr>Biểu 52</vt:lpstr>
      <vt:lpstr>Biểu 53</vt:lpstr>
      <vt:lpstr>Biểu 54</vt:lpstr>
      <vt:lpstr>Biểu 55</vt:lpstr>
      <vt:lpstr>Biểu 56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'Biểu 56'!Print_Area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'Biểu 47'!Print_Titles</vt:lpstr>
      <vt:lpstr>'Biểu 48'!Print_Titles</vt:lpstr>
      <vt:lpstr>'Biểu 49'!Print_Titles</vt:lpstr>
      <vt:lpstr>'Biểu 50'!Print_Titles</vt:lpstr>
      <vt:lpstr>'Biểu 52'!Print_Titles</vt:lpstr>
      <vt:lpstr>'Biểu 53'!Print_Titles</vt:lpstr>
      <vt:lpstr>'Biểu 56'!Print_Titles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2020-06-12T03:24:31Z</dcterms:modified>
</cp:coreProperties>
</file>