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styles.xml" ContentType="application/vnd.openxmlformats-officedocument.spreadsheetml.style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comments22.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23.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17.xml" ContentType="application/vnd.openxmlformats-officedocument.spreadsheetml.comments+xml"/>
  <Override PartName="/xl/comments1.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14.xml" ContentType="application/vnd.openxmlformats-officedocument.spreadsheetml.comments+xml"/>
  <Override PartName="/xl/comments2.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2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Bao cao" sheetId="95" r:id="rId35"/>
    <sheet name="Nguồn CĐCS chuyển sang 2018" sheetId="106" state="hidden" r:id="rId36"/>
  </sheets>
  <externalReferences>
    <externalReference r:id="rId37"/>
    <externalReference r:id="rId38"/>
    <externalReference r:id="rId39"/>
    <externalReference r:id="rId40"/>
    <externalReference r:id="rId41"/>
    <externalReference r:id="rId42"/>
  </externalReferences>
  <definedNames>
    <definedName name="_xlnm.Print_Area" localSheetId="20">'10%TK tăng thêm so với năm 2018'!$A$1:$J$20</definedName>
    <definedName name="_xlnm.Print_Area" localSheetId="34">'Bao cao'!$A$5:$E$48</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14">'Phụ lục số 7'!$A$1:$Z$20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34" hidden="1">'Bao cao'!$A$5:$E$48</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14" hidden="1">'Phụ lục số 7'!$A$1:$Z$20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16" hidden="1">'Thu NSH'!$A:$B,'Thu NSH'!$2:$7</definedName>
    <definedName name="Z_88621519_296E_4458_B04E_813E881018FE_.wvu.Rows" localSheetId="34" hidden="1">'Bao cao'!$1:$3,'Bao cao'!$44:$46</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B26" i="91" l="1"/>
  <c r="D25" i="91"/>
  <c r="B25" i="91"/>
  <c r="B24" i="91"/>
  <c r="B27" i="91" l="1"/>
  <c r="D27" i="91"/>
  <c r="C27" i="91"/>
  <c r="N75" i="1" l="1"/>
  <c r="N74" i="1"/>
  <c r="N73" i="1"/>
  <c r="S26" i="84" l="1"/>
  <c r="S14" i="84"/>
  <c r="C49" i="89" l="1"/>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D18" i="89"/>
  <c r="C14" i="89"/>
  <c r="C11" i="89" s="1"/>
  <c r="E19" i="89"/>
  <c r="C27" i="89"/>
  <c r="C19" i="89" s="1"/>
  <c r="D10" i="89"/>
  <c r="D50" i="89" s="1"/>
  <c r="E30" i="89"/>
  <c r="E28" i="89" s="1"/>
  <c r="E18" i="89" s="1"/>
  <c r="E10" i="89" s="1"/>
  <c r="C31" i="89"/>
  <c r="C30" i="89" s="1"/>
  <c r="C28" i="89" s="1"/>
  <c r="C18" i="89" l="1"/>
  <c r="C10" i="89"/>
  <c r="C50" i="89"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AD38" i="63"/>
  <c r="AA38" i="63"/>
  <c r="X38" i="63"/>
  <c r="U39" i="63"/>
  <c r="O13" i="65" s="1"/>
  <c r="U38" i="63"/>
  <c r="R38" i="63"/>
  <c r="O38" i="63"/>
  <c r="L38" i="63"/>
  <c r="I38" i="63"/>
  <c r="F38" i="63"/>
  <c r="F18" i="75"/>
  <c r="E18" i="75"/>
  <c r="C18" i="75"/>
  <c r="T38" i="63" l="1"/>
  <c r="O16" i="65"/>
  <c r="W38" i="63"/>
  <c r="Q38" i="63"/>
  <c r="W39" i="63"/>
  <c r="AF38" i="63"/>
  <c r="K38" i="63"/>
  <c r="Z38" i="63"/>
  <c r="AO38" i="63"/>
  <c r="AF39" i="63"/>
  <c r="H38" i="63"/>
  <c r="N38" i="63"/>
  <c r="AC38" i="63"/>
  <c r="AI38" i="63"/>
  <c r="K39" i="63"/>
  <c r="T39" i="63"/>
  <c r="H39" i="63"/>
  <c r="AI39" i="63"/>
  <c r="O17" i="65"/>
  <c r="AO39" i="63"/>
  <c r="N39" i="63"/>
  <c r="AC39" i="63"/>
  <c r="AL39" i="63"/>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Z39" i="63" l="1"/>
  <c r="O14" i="65"/>
  <c r="Q39" i="63"/>
  <c r="O11" i="65"/>
  <c r="C39" i="63"/>
  <c r="D43" i="90" s="1"/>
  <c r="C46" i="84"/>
  <c r="O64" i="84"/>
  <c r="O20" i="65" l="1"/>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C38" i="63"/>
  <c r="D42" i="90" s="1"/>
  <c r="L18" i="65"/>
  <c r="L20" i="65" s="1"/>
  <c r="E38" i="63"/>
  <c r="Q16" i="75"/>
  <c r="Y16" i="75"/>
  <c r="AO14" i="75"/>
  <c r="R64" i="1" l="1"/>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4" i="95"/>
  <c r="D34" i="95"/>
  <c r="C34" i="95" s="1"/>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46" i="95" l="1"/>
  <c r="D45" i="95"/>
  <c r="D44" i="95"/>
  <c r="D33" i="95"/>
  <c r="D31" i="90"/>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W37" i="63" l="1"/>
  <c r="AI37" i="63"/>
  <c r="AO37" i="63"/>
  <c r="Z37" i="63"/>
  <c r="AL37" i="63"/>
  <c r="AC37" i="63"/>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9" i="65"/>
  <c r="Q18" i="65"/>
  <c r="CJ19" i="75"/>
  <c r="CB19" i="75"/>
  <c r="BT19" i="75"/>
  <c r="BL19" i="75"/>
  <c r="BD19" i="75"/>
  <c r="AN19" i="75"/>
  <c r="AF19" i="75"/>
  <c r="X19" i="75"/>
  <c r="P19" i="75"/>
  <c r="L42" i="63" l="1"/>
  <c r="AD19" i="75"/>
  <c r="AG19" i="75" s="1"/>
  <c r="O42" i="63"/>
  <c r="AL19" i="75"/>
  <c r="AO19" i="75" s="1"/>
  <c r="I42" i="63"/>
  <c r="V19" i="75"/>
  <c r="Y19" i="75" s="1"/>
  <c r="X42" i="63"/>
  <c r="BJ19" i="75"/>
  <c r="BM19" i="75" s="1"/>
  <c r="AA42" i="63"/>
  <c r="BR19" i="75"/>
  <c r="BU19" i="75" s="1"/>
  <c r="AD42" i="63"/>
  <c r="BZ19" i="75"/>
  <c r="CC19" i="75" s="1"/>
  <c r="F42" i="63"/>
  <c r="N19" i="75"/>
  <c r="Q19" i="75" s="1"/>
  <c r="U42" i="63"/>
  <c r="BB19" i="75"/>
  <c r="AG42" i="63"/>
  <c r="CH19" i="75"/>
  <c r="CK19" i="75" s="1"/>
  <c r="Q10" i="65" l="1"/>
  <c r="BE19" i="75"/>
  <c r="Q8" i="65"/>
  <c r="Q17" i="65"/>
  <c r="Q13" i="65"/>
  <c r="Q16" i="65"/>
  <c r="Q14" i="65"/>
  <c r="Q9" i="65"/>
  <c r="Q15" i="65"/>
  <c r="Q11" i="65"/>
  <c r="Q20" i="65" l="1"/>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C23" i="63"/>
  <c r="H19" i="107" s="1"/>
  <c r="C16" i="63"/>
  <c r="I5" i="63"/>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6" i="95"/>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3" i="95"/>
  <c r="E20" i="9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6" i="95" l="1"/>
  <c r="D36" i="95"/>
  <c r="D31" i="95"/>
  <c r="E34" i="90"/>
  <c r="D34" i="90"/>
  <c r="D29" i="90"/>
  <c r="C24" i="88"/>
  <c r="C21" i="88"/>
  <c r="C20" i="88"/>
  <c r="C19" i="88"/>
  <c r="C18" i="88"/>
  <c r="C17" i="88"/>
  <c r="C12" i="87"/>
  <c r="C29" i="87" s="1"/>
  <c r="C11" i="87"/>
  <c r="C28" i="87" s="1"/>
  <c r="C24" i="71"/>
  <c r="C12" i="69"/>
  <c r="C11" i="69"/>
  <c r="C36" i="95" l="1"/>
  <c r="C34" i="90"/>
  <c r="H37" i="63" l="1"/>
  <c r="E11" i="86" l="1"/>
  <c r="F9" i="102"/>
  <c r="C9" i="102"/>
  <c r="R55" i="1"/>
  <c r="N17" i="2" s="1"/>
  <c r="J9" i="105" l="1"/>
  <c r="I9" i="105" s="1"/>
  <c r="J9" i="102"/>
  <c r="Q55" i="1"/>
  <c r="K17" i="2" l="1"/>
  <c r="J22" i="102"/>
  <c r="D11" i="86" s="1"/>
  <c r="C11" i="86" s="1"/>
  <c r="C113" i="84"/>
  <c r="J22" i="105"/>
  <c r="C21" i="70"/>
  <c r="D37" i="101"/>
  <c r="C37" i="101" s="1"/>
  <c r="D14" i="72"/>
  <c r="D16" i="95"/>
  <c r="D14" i="90"/>
  <c r="I9" i="102"/>
  <c r="ES45" i="74"/>
  <c r="EG45" i="74"/>
  <c r="DU45" i="74"/>
  <c r="DI45" i="74"/>
  <c r="CW45" i="74"/>
  <c r="CK45" i="74"/>
  <c r="BY45" i="74"/>
  <c r="BM45" i="74"/>
  <c r="BA45" i="74"/>
  <c r="AO45" i="74"/>
  <c r="AC45" i="74"/>
  <c r="C29" i="69" l="1"/>
  <c r="E13" i="109"/>
  <c r="C10" i="91"/>
  <c r="M17" i="2"/>
  <c r="R17" i="2"/>
  <c r="I22" i="105"/>
  <c r="Q45" i="74"/>
  <c r="C16" i="95"/>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CX17" i="75"/>
  <c r="DA17" i="75" s="1"/>
  <c r="AG36" i="63"/>
  <c r="CH17" i="75"/>
  <c r="CK17" i="75" s="1"/>
  <c r="AD36" i="63"/>
  <c r="BZ17" i="75"/>
  <c r="CC17" i="75" s="1"/>
  <c r="AA36" i="63"/>
  <c r="BR17" i="75"/>
  <c r="BU17" i="75" s="1"/>
  <c r="U36" i="63"/>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Q36" i="63"/>
  <c r="N36" i="63"/>
  <c r="N15" i="65"/>
  <c r="W36" i="63"/>
  <c r="AI36" i="63"/>
  <c r="T36" i="63"/>
  <c r="N11" i="65"/>
  <c r="N17" i="65"/>
  <c r="N10" i="65"/>
  <c r="N16" i="65"/>
  <c r="AC36" i="63"/>
  <c r="AJ36" i="63"/>
  <c r="CP17" i="75"/>
  <c r="CS17" i="75" s="1"/>
  <c r="I36" i="63"/>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AS22" i="75"/>
  <c r="AV22" i="75" s="1"/>
  <c r="H7" i="64"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F7" i="64"/>
  <c r="I7" i="64"/>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CW21" i="75"/>
  <c r="G7" i="75"/>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G20" i="102"/>
  <c r="G20" i="105"/>
  <c r="N22" i="75"/>
  <c r="BY25" i="75"/>
  <c r="BX27" i="75"/>
  <c r="BQ25" i="75"/>
  <c r="BP27" i="75"/>
  <c r="BI25" i="75"/>
  <c r="BH27" i="75"/>
  <c r="BA25" i="75"/>
  <c r="AZ27" i="75"/>
  <c r="AK25" i="75"/>
  <c r="AJ27" i="75"/>
  <c r="AC25" i="75"/>
  <c r="AB27" i="75"/>
  <c r="M7" i="64"/>
  <c r="BY21" i="75"/>
  <c r="CZ22" i="75"/>
  <c r="AO10" i="63"/>
  <c r="AO6" i="63" s="1"/>
  <c r="AO5" i="63" s="1"/>
  <c r="AL6" i="63"/>
  <c r="AL5" i="63" s="1"/>
  <c r="AI6" i="63"/>
  <c r="AI5" i="63" s="1"/>
  <c r="AF6" i="63"/>
  <c r="AF5" i="63" s="1"/>
  <c r="AC6" i="63"/>
  <c r="AC5" i="63" s="1"/>
  <c r="Z6" i="63"/>
  <c r="W6" i="63"/>
  <c r="W5" i="63" s="1"/>
  <c r="T6" i="63"/>
  <c r="T5" i="63" s="1"/>
  <c r="Q6" i="63"/>
  <c r="Q5" i="63" s="1"/>
  <c r="N6" i="63"/>
  <c r="N5" i="63" s="1"/>
  <c r="D44" i="101"/>
  <c r="C44" i="101" s="1"/>
  <c r="H20" i="102"/>
  <c r="J7" i="64"/>
  <c r="N7" i="64"/>
  <c r="L7" i="64"/>
  <c r="K7" i="64"/>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5" i="95"/>
  <c r="E33" i="90"/>
  <c r="E40" i="101"/>
  <c r="K32" i="102"/>
  <c r="E18" i="86" s="1"/>
  <c r="E31" i="95"/>
  <c r="C31" i="95"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H7" i="63"/>
  <c r="F6" i="63"/>
  <c r="F5" i="63" s="1"/>
  <c r="C7" i="63"/>
  <c r="N36" i="1" s="1"/>
  <c r="S36" i="1" s="1"/>
  <c r="M16" i="64"/>
  <c r="I16" i="64"/>
  <c r="E16" i="64"/>
  <c r="C13" i="63"/>
  <c r="X45" i="1"/>
  <c r="C12" i="63"/>
  <c r="C9" i="63"/>
  <c r="N38" i="1" s="1"/>
  <c r="X6" i="63"/>
  <c r="CP21" i="75"/>
  <c r="CR23" i="75"/>
  <c r="C22" i="71"/>
  <c r="C19" i="71"/>
  <c r="C18" i="71"/>
  <c r="G13" i="65"/>
  <c r="AJ6" i="63"/>
  <c r="AJ5" i="63" s="1"/>
  <c r="L6" i="63"/>
  <c r="L5" i="63" s="1"/>
  <c r="C18" i="64"/>
  <c r="L16" i="64"/>
  <c r="H16" i="64"/>
  <c r="P8" i="75"/>
  <c r="C8" i="63"/>
  <c r="N37" i="1" s="1"/>
  <c r="R6" i="63"/>
  <c r="R5" i="63" s="1"/>
  <c r="AM6" i="63"/>
  <c r="AM5" i="63" s="1"/>
  <c r="AA6" i="63"/>
  <c r="AA5" i="63" s="1"/>
  <c r="O6" i="63"/>
  <c r="O5" i="63" s="1"/>
  <c r="BO21" i="75"/>
  <c r="BZ21" i="75"/>
  <c r="E23" i="75"/>
  <c r="C17" i="64"/>
  <c r="E15" i="101"/>
  <c r="C18" i="101"/>
  <c r="D15" i="101"/>
  <c r="C21" i="101"/>
  <c r="C16" i="101"/>
  <c r="C8" i="109" l="1"/>
  <c r="F16" i="109"/>
  <c r="D15" i="109"/>
  <c r="F15" i="109" s="1"/>
  <c r="D19" i="109"/>
  <c r="F20" i="109"/>
  <c r="F19" i="109"/>
  <c r="C115" i="84"/>
  <c r="D27" i="75"/>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D28" i="95"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AG5" i="63"/>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AI8" i="75"/>
  <c r="AI7" i="75" s="1"/>
  <c r="BO8" i="75"/>
  <c r="BO7" i="75" s="1"/>
  <c r="CU8" i="75"/>
  <c r="CU7" i="75" s="1"/>
  <c r="BB23" i="75"/>
  <c r="C21" i="72"/>
  <c r="I15" i="1"/>
  <c r="E12" i="63"/>
  <c r="AT21" i="75"/>
  <c r="G17" i="65"/>
  <c r="E11" i="65"/>
  <c r="L36" i="1"/>
  <c r="BT21" i="75"/>
  <c r="K8" i="64"/>
  <c r="K8" i="75"/>
  <c r="K7" i="75" s="1"/>
  <c r="AQ8" i="75"/>
  <c r="AQ7" i="75" s="1"/>
  <c r="BW8" i="75"/>
  <c r="BW7" i="75" s="1"/>
  <c r="AN21" i="75"/>
  <c r="G8" i="64"/>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7" i="63"/>
  <c r="D7" i="63" s="1"/>
  <c r="E8" i="63"/>
  <c r="D8" i="63" s="1"/>
  <c r="E14" i="63"/>
  <c r="D14" i="63" s="1"/>
  <c r="K35" i="1"/>
  <c r="C11" i="65"/>
  <c r="E9" i="63"/>
  <c r="C16" i="64"/>
  <c r="C10" i="65"/>
  <c r="CR21" i="75"/>
  <c r="N8" i="64"/>
  <c r="Q42" i="1"/>
  <c r="C16" i="65"/>
  <c r="D15" i="63"/>
  <c r="C23" i="110" l="1"/>
  <c r="O42" i="1"/>
  <c r="C15" i="88"/>
  <c r="C15" i="71"/>
  <c r="S42" i="1"/>
  <c r="R42" i="1" s="1"/>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D30" i="95" s="1"/>
  <c r="F35" i="102"/>
  <c r="E18" i="105"/>
  <c r="E17" i="105" s="1"/>
  <c r="E28" i="105"/>
  <c r="C28" i="105" s="1"/>
  <c r="E18" i="102"/>
  <c r="E17" i="102" s="1"/>
  <c r="D22" i="90"/>
  <c r="S26" i="2"/>
  <c r="D24" i="95"/>
  <c r="K29" i="2"/>
  <c r="E25" i="109" s="1"/>
  <c r="G25" i="109" s="1"/>
  <c r="D27" i="95"/>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5" i="95"/>
  <c r="D26" i="95"/>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D29" i="95"/>
  <c r="P26" i="2"/>
  <c r="P30" i="2"/>
  <c r="S23" i="2"/>
  <c r="X23" i="2" s="1"/>
  <c r="J26" i="105"/>
  <c r="I26" i="105" s="1"/>
  <c r="D18" i="90"/>
  <c r="K23" i="2"/>
  <c r="E17" i="109" s="1"/>
  <c r="D20" i="95"/>
  <c r="C20" i="95"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4" i="95"/>
  <c r="D12" i="90"/>
  <c r="C14" i="88"/>
  <c r="R41" i="1"/>
  <c r="Q35" i="1"/>
  <c r="R37" i="1"/>
  <c r="H19" i="2"/>
  <c r="H23" i="75"/>
  <c r="H21" i="75" s="1"/>
  <c r="S35" i="1"/>
  <c r="AQ24" i="75"/>
  <c r="AQ20" i="75" s="1"/>
  <c r="BD21" i="75"/>
  <c r="I8" i="64"/>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4" i="95"/>
  <c r="C14" i="95"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E15" i="95"/>
  <c r="E12" i="95"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3" i="95"/>
  <c r="C23" i="95"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X11" i="75"/>
  <c r="AF11" i="75"/>
  <c r="BL11" i="75"/>
  <c r="BT11" i="75" l="1"/>
  <c r="CB11" i="75"/>
  <c r="BD11" i="75"/>
  <c r="CR11" i="75"/>
  <c r="AV11" i="75"/>
  <c r="K17" i="65"/>
  <c r="AI34" i="63"/>
  <c r="AA34" i="63"/>
  <c r="L34" i="63"/>
  <c r="I34" i="63"/>
  <c r="X34" i="63"/>
  <c r="AM34" i="63"/>
  <c r="U34" i="63" l="1"/>
  <c r="AD34" i="63"/>
  <c r="AJ34" i="63"/>
  <c r="P11" i="75"/>
  <c r="R34" i="63"/>
  <c r="K19" i="65"/>
  <c r="AO34" i="63"/>
  <c r="K10" i="65"/>
  <c r="N34" i="63"/>
  <c r="Z34" i="63"/>
  <c r="K14" i="65"/>
  <c r="AC34" i="63"/>
  <c r="K15" i="65"/>
  <c r="K9" i="65"/>
  <c r="K34" i="63"/>
  <c r="AF34" i="63" l="1"/>
  <c r="K16" i="65"/>
  <c r="W34" i="63"/>
  <c r="K13" i="65"/>
  <c r="AL34" i="63"/>
  <c r="K18" i="65"/>
  <c r="F34" i="63"/>
  <c r="T34" i="63"/>
  <c r="K12" i="65"/>
  <c r="AN11" i="75" l="1"/>
  <c r="F11" i="75"/>
  <c r="H34" i="63"/>
  <c r="K8" i="65"/>
  <c r="I11" i="75" l="1"/>
  <c r="J11" i="75"/>
  <c r="O34" i="63"/>
  <c r="H11" i="75"/>
  <c r="Q34" i="63" l="1"/>
  <c r="E34" i="63" s="1"/>
  <c r="D40" i="95" s="1"/>
  <c r="K11" i="65"/>
  <c r="C34" i="63"/>
  <c r="D38" i="90" s="1"/>
  <c r="E27" i="90" l="1"/>
  <c r="C27" i="90" s="1"/>
  <c r="E29" i="95"/>
  <c r="C29" i="95" s="1"/>
  <c r="K31" i="2"/>
  <c r="E27" i="109" s="1"/>
  <c r="G27" i="109" s="1"/>
  <c r="K20" i="65"/>
  <c r="D30" i="72"/>
  <c r="R31" i="2" l="1"/>
  <c r="E26" i="90"/>
  <c r="C26" i="90" s="1"/>
  <c r="E28" i="95"/>
  <c r="C28" i="95"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5" i="95"/>
  <c r="D13" i="72"/>
  <c r="D36" i="101"/>
  <c r="D34" i="101" s="1"/>
  <c r="I8" i="102"/>
  <c r="I21" i="105" l="1"/>
  <c r="I19" i="105" s="1"/>
  <c r="J19" i="105"/>
  <c r="C28" i="69"/>
  <c r="R16" i="2"/>
  <c r="I21" i="102"/>
  <c r="I19" i="102" s="1"/>
  <c r="C9" i="91"/>
  <c r="C15" i="95"/>
  <c r="D12" i="95"/>
  <c r="C12" i="95" s="1"/>
  <c r="C13" i="90"/>
  <c r="D10" i="90"/>
  <c r="C10" i="90" s="1"/>
  <c r="C36" i="101"/>
  <c r="C34" i="101" s="1"/>
  <c r="M16" i="2"/>
  <c r="K14" i="2"/>
  <c r="C18" i="70"/>
  <c r="C13" i="72"/>
  <c r="D10" i="72"/>
  <c r="E25" i="110" l="1"/>
  <c r="R14" i="2"/>
  <c r="C26" i="87"/>
  <c r="C6" i="91"/>
  <c r="C26" i="69"/>
  <c r="M14" i="2"/>
  <c r="C10" i="72"/>
  <c r="E24" i="95" l="1"/>
  <c r="C24" i="95" s="1"/>
  <c r="E22" i="90"/>
  <c r="C22" i="90" s="1"/>
  <c r="K26" i="2"/>
  <c r="E22" i="109" s="1"/>
  <c r="G22" i="109" s="1"/>
  <c r="R26" i="2" l="1"/>
  <c r="E24" i="90"/>
  <c r="C24" i="90" s="1"/>
  <c r="E26" i="95"/>
  <c r="C26" i="95" s="1"/>
  <c r="E25" i="95"/>
  <c r="C25" i="95" s="1"/>
  <c r="E23" i="90"/>
  <c r="C23" i="90" s="1"/>
  <c r="E27" i="95"/>
  <c r="C27" i="95"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CZ13" i="75"/>
  <c r="P27" i="77"/>
  <c r="CX29" i="75"/>
  <c r="DA29" i="75" s="1"/>
  <c r="CP29" i="75"/>
  <c r="CT29" i="75" s="1"/>
  <c r="CR13" i="75"/>
  <c r="O27" i="77"/>
  <c r="CH13" i="75"/>
  <c r="CH12" i="75" s="1"/>
  <c r="CH7" i="75" s="1"/>
  <c r="CJ12" i="75"/>
  <c r="M8" i="77"/>
  <c r="M25" i="77" s="1"/>
  <c r="M27" i="77" s="1"/>
  <c r="BT13" i="75"/>
  <c r="BR29" i="75"/>
  <c r="BT29" i="75" s="1"/>
  <c r="K15" i="64" s="1"/>
  <c r="L27" i="77"/>
  <c r="BB29" i="75"/>
  <c r="BD29" i="75" s="1"/>
  <c r="BE13" i="75"/>
  <c r="BE14" i="75"/>
  <c r="AV13" i="75"/>
  <c r="AT29" i="75"/>
  <c r="AV29" i="75" s="1"/>
  <c r="H15" i="64"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CZ29" i="75"/>
  <c r="O15" i="64" s="1"/>
  <c r="CR29" i="75"/>
  <c r="N15" i="64" s="1"/>
  <c r="AW29" i="75"/>
  <c r="AN12" i="75"/>
  <c r="CX13" i="75"/>
  <c r="CX12" i="75" s="1"/>
  <c r="CX7" i="75" s="1"/>
  <c r="CZ12" i="75"/>
  <c r="CP13" i="75"/>
  <c r="CP12" i="75" s="1"/>
  <c r="CP7" i="75" s="1"/>
  <c r="CR12" i="75"/>
  <c r="AG35" i="63"/>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9" i="65" l="1"/>
  <c r="O35" i="63"/>
  <c r="AA11" i="65"/>
  <c r="AA18" i="65"/>
  <c r="AM35" i="63"/>
  <c r="DB7" i="75"/>
  <c r="DA12" i="75"/>
  <c r="DA7" i="75" s="1"/>
  <c r="AJ35" i="63"/>
  <c r="CS12" i="75"/>
  <c r="CS7" i="75" s="1"/>
  <c r="CT7" i="75"/>
  <c r="AG33" i="63"/>
  <c r="AI33" i="63" s="1"/>
  <c r="M17" i="65"/>
  <c r="J17" i="65" s="1"/>
  <c r="AI35" i="63"/>
  <c r="BZ13" i="75"/>
  <c r="BZ12" i="75" s="1"/>
  <c r="CB12" i="75"/>
  <c r="CC29" i="75"/>
  <c r="AA35" i="63"/>
  <c r="BU12" i="75"/>
  <c r="BU7" i="75" s="1"/>
  <c r="BV7" i="75"/>
  <c r="AA13" i="65"/>
  <c r="R35" i="63"/>
  <c r="AW12" i="75"/>
  <c r="AW7" i="75" s="1"/>
  <c r="AX7" i="75"/>
  <c r="AP7" i="75"/>
  <c r="AO12" i="75"/>
  <c r="AO7" i="75" s="1"/>
  <c r="AA10" i="65"/>
  <c r="AH7" i="75"/>
  <c r="AG12" i="75"/>
  <c r="AG7" i="75" s="1"/>
  <c r="L35" i="63"/>
  <c r="X12" i="75"/>
  <c r="V13" i="75"/>
  <c r="V12" i="75" s="1"/>
  <c r="V7" i="75" s="1"/>
  <c r="X29" i="75"/>
  <c r="E15" i="64"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P13" i="75"/>
  <c r="G5" i="105"/>
  <c r="N29" i="75"/>
  <c r="E27" i="77"/>
  <c r="T7" i="105"/>
  <c r="T12" i="105" s="1"/>
  <c r="H5" i="105"/>
  <c r="H10" i="105"/>
  <c r="F7" i="105"/>
  <c r="F6" i="105" s="1"/>
  <c r="E27" i="75"/>
  <c r="E24" i="75" s="1"/>
  <c r="E20" i="75" s="1"/>
  <c r="T7" i="102"/>
  <c r="T12" i="102" s="1"/>
  <c r="H10" i="102"/>
  <c r="E42" i="63"/>
  <c r="C4" i="101"/>
  <c r="F7" i="102"/>
  <c r="N33" i="63" l="1"/>
  <c r="M16" i="65"/>
  <c r="AF35" i="63"/>
  <c r="M9" i="65"/>
  <c r="K35" i="63"/>
  <c r="P12" i="75"/>
  <c r="N13" i="75"/>
  <c r="T17" i="105"/>
  <c r="T25" i="105" s="1"/>
  <c r="T17" i="102"/>
  <c r="S66" i="1" s="1"/>
  <c r="Q29" i="75"/>
  <c r="P29" i="75"/>
  <c r="F10" i="102"/>
  <c r="F5" i="105"/>
  <c r="F10" i="105"/>
  <c r="X7" i="105"/>
  <c r="X7" i="102"/>
  <c r="F35" i="63" l="1"/>
  <c r="N12" i="75"/>
  <c r="N7" i="75" s="1"/>
  <c r="K15" i="102"/>
  <c r="E23" i="101"/>
  <c r="H30" i="105"/>
  <c r="F30" i="105" s="1"/>
  <c r="H30" i="102"/>
  <c r="F30" i="102" s="1"/>
  <c r="F36" i="2"/>
  <c r="D32" i="109" s="1"/>
  <c r="E31" i="101"/>
  <c r="T25" i="102"/>
  <c r="D15" i="64"/>
  <c r="H35" i="63" l="1"/>
  <c r="F33" i="63"/>
  <c r="H33" i="63" s="1"/>
  <c r="M8" i="65"/>
  <c r="J8" i="65" s="1"/>
  <c r="Q12" i="75"/>
  <c r="R7" i="75"/>
  <c r="K15" i="105"/>
  <c r="D30" i="110"/>
  <c r="E24" i="101"/>
  <c r="C24" i="101" s="1"/>
  <c r="J12" i="2"/>
  <c r="H31" i="105"/>
  <c r="F31" i="105" s="1"/>
  <c r="H31" i="102"/>
  <c r="AA8" i="65"/>
  <c r="I15" i="105" l="1"/>
  <c r="F13" i="102"/>
  <c r="C13" i="102"/>
  <c r="O11" i="64"/>
  <c r="N11" i="64"/>
  <c r="M11" i="64"/>
  <c r="I11" i="64"/>
  <c r="N15" i="105" l="1"/>
  <c r="N15" i="102"/>
  <c r="L15" i="102" s="1"/>
  <c r="T66" i="1"/>
  <c r="W66" i="1"/>
  <c r="Y68" i="1"/>
  <c r="W19" i="65"/>
  <c r="W18" i="65"/>
  <c r="W17" i="65"/>
  <c r="W13" i="65"/>
  <c r="L11" i="64"/>
  <c r="F21" i="110" l="1"/>
  <c r="F12" i="110" s="1"/>
  <c r="J36" i="107"/>
  <c r="L15" i="105"/>
  <c r="N5" i="105"/>
  <c r="W16" i="65"/>
  <c r="K11" i="64"/>
  <c r="H11" i="64"/>
  <c r="W15" i="65" l="1"/>
  <c r="W12" i="65"/>
  <c r="G11" i="64"/>
  <c r="F11" i="64"/>
  <c r="E11" i="64"/>
  <c r="W11" i="65" l="1"/>
  <c r="W10" i="65"/>
  <c r="W9" i="65"/>
  <c r="H42" i="84" l="1"/>
  <c r="H11" i="84" s="1"/>
  <c r="D11" i="64"/>
  <c r="H10" i="84" l="1"/>
  <c r="H9" i="84" s="1"/>
  <c r="W8" i="65"/>
  <c r="C32" i="87" l="1"/>
  <c r="C32" i="69"/>
  <c r="M24" i="2"/>
  <c r="K22" i="2"/>
  <c r="M22" i="2" l="1"/>
  <c r="G12" i="64" l="1"/>
  <c r="X11" i="65" l="1"/>
  <c r="L12" i="64"/>
  <c r="F12" i="64"/>
  <c r="X10" i="65" l="1"/>
  <c r="X16" i="65"/>
  <c r="M12" i="64"/>
  <c r="E12" i="64"/>
  <c r="N12" i="64"/>
  <c r="J12" i="64"/>
  <c r="X18" i="65" l="1"/>
  <c r="X17" i="65"/>
  <c r="X9" i="65"/>
  <c r="X14" i="65"/>
  <c r="K12" i="64"/>
  <c r="I12" i="64"/>
  <c r="O12" i="64"/>
  <c r="X19" i="65" l="1"/>
  <c r="X13" i="65"/>
  <c r="X15" i="65"/>
  <c r="AN28" i="75"/>
  <c r="H12" i="64"/>
  <c r="X12" i="65" l="1"/>
  <c r="AF28" i="75"/>
  <c r="CB28" i="75"/>
  <c r="G14" i="64"/>
  <c r="Z11" i="65" l="1"/>
  <c r="X28" i="75"/>
  <c r="CR28" i="75"/>
  <c r="BD28" i="75"/>
  <c r="L14" i="64"/>
  <c r="F14" i="64"/>
  <c r="Z10" i="65" l="1"/>
  <c r="Z16" i="65"/>
  <c r="I14" i="64"/>
  <c r="E14" i="64"/>
  <c r="CJ28" i="75"/>
  <c r="N14" i="64"/>
  <c r="AN9" i="75"/>
  <c r="AN7" i="75" s="1"/>
  <c r="Z9" i="65" l="1"/>
  <c r="Z13" i="65"/>
  <c r="Z18" i="65"/>
  <c r="AL27" i="75"/>
  <c r="CB9" i="75"/>
  <c r="O32" i="63"/>
  <c r="BT28" i="75"/>
  <c r="AV28" i="75"/>
  <c r="F26" i="75"/>
  <c r="M14" i="64"/>
  <c r="AF9" i="75"/>
  <c r="AF7" i="75" s="1"/>
  <c r="CZ28" i="75"/>
  <c r="Z17" i="65" l="1"/>
  <c r="AO27" i="75"/>
  <c r="AP27" i="75"/>
  <c r="AD27" i="75"/>
  <c r="AH27" i="75" s="1"/>
  <c r="I26" i="75"/>
  <c r="J26" i="75"/>
  <c r="E30" i="95"/>
  <c r="C30" i="95" s="1"/>
  <c r="E28" i="90"/>
  <c r="C28" i="90" s="1"/>
  <c r="F42" i="84"/>
  <c r="F11" i="84" s="1"/>
  <c r="K32" i="2"/>
  <c r="E28" i="109" s="1"/>
  <c r="G28" i="109" s="1"/>
  <c r="H14" i="64"/>
  <c r="Q32" i="63"/>
  <c r="CJ9" i="75"/>
  <c r="CJ7" i="75" s="1"/>
  <c r="O14" i="64"/>
  <c r="K14" i="64"/>
  <c r="AL24" i="75"/>
  <c r="D12" i="64"/>
  <c r="H26" i="75"/>
  <c r="BL9" i="75"/>
  <c r="L32" i="63"/>
  <c r="AF24" i="75"/>
  <c r="AF27" i="75" s="1"/>
  <c r="AD32" i="63"/>
  <c r="F10" i="84" l="1"/>
  <c r="F9" i="84" s="1"/>
  <c r="N21" i="2" s="1"/>
  <c r="S21" i="2" s="1"/>
  <c r="R32" i="2"/>
  <c r="AG27" i="75"/>
  <c r="Z15" i="65"/>
  <c r="Z19" i="65"/>
  <c r="X8" i="65"/>
  <c r="Z12" i="65"/>
  <c r="AP24" i="75"/>
  <c r="AO24" i="75"/>
  <c r="CH27" i="75"/>
  <c r="C12" i="64"/>
  <c r="O21" i="2" s="1"/>
  <c r="N32" i="63"/>
  <c r="L31" i="63"/>
  <c r="N31" i="63" s="1"/>
  <c r="N43" i="63" s="1"/>
  <c r="X9" i="75"/>
  <c r="X7" i="75" s="1"/>
  <c r="X32" i="63"/>
  <c r="AD24" i="75"/>
  <c r="AL20" i="75"/>
  <c r="M32" i="2"/>
  <c r="CR9" i="75"/>
  <c r="CR7" i="75" s="1"/>
  <c r="CZ9" i="75"/>
  <c r="CZ7" i="75" s="1"/>
  <c r="BT9" i="75"/>
  <c r="BT7" i="75" s="1"/>
  <c r="I11" i="65"/>
  <c r="BD9" i="75"/>
  <c r="BD7" i="75" s="1"/>
  <c r="AF32" i="63"/>
  <c r="CJ24" i="75"/>
  <c r="CJ27" i="75" s="1"/>
  <c r="AG32" i="63"/>
  <c r="P21" i="2" l="1"/>
  <c r="X21" i="2"/>
  <c r="U21" i="2" s="1"/>
  <c r="D19" i="72"/>
  <c r="C24" i="70"/>
  <c r="J27" i="105"/>
  <c r="D21" i="95"/>
  <c r="J27" i="102"/>
  <c r="D19" i="90"/>
  <c r="M27" i="105"/>
  <c r="M27" i="102"/>
  <c r="H11" i="78"/>
  <c r="I11" i="78"/>
  <c r="K27" i="105"/>
  <c r="K21" i="2"/>
  <c r="E18" i="109" s="1"/>
  <c r="E21" i="95"/>
  <c r="E19" i="90"/>
  <c r="E19" i="72"/>
  <c r="K27" i="102"/>
  <c r="AP20" i="75"/>
  <c r="AO20" i="75"/>
  <c r="AH24" i="75"/>
  <c r="AG24" i="75"/>
  <c r="CX27" i="75"/>
  <c r="CP27" i="75"/>
  <c r="CK27" i="75"/>
  <c r="CL27" i="75"/>
  <c r="BR27" i="75"/>
  <c r="BB27" i="75"/>
  <c r="V24" i="75"/>
  <c r="E22" i="95"/>
  <c r="E20" i="90"/>
  <c r="BD24" i="75"/>
  <c r="BD27" i="75" s="1"/>
  <c r="U32" i="63"/>
  <c r="Z32" i="63"/>
  <c r="I32" i="63"/>
  <c r="I16" i="65"/>
  <c r="BT24" i="75"/>
  <c r="BT27" i="75" s="1"/>
  <c r="AA32" i="63"/>
  <c r="AJ32" i="63"/>
  <c r="CR24" i="75"/>
  <c r="CR27" i="75" s="1"/>
  <c r="AI32" i="63"/>
  <c r="AG31" i="63"/>
  <c r="AI31" i="63" s="1"/>
  <c r="AI43" i="63" s="1"/>
  <c r="AM32" i="63"/>
  <c r="CZ24" i="75"/>
  <c r="CZ27" i="75" s="1"/>
  <c r="CH24" i="75"/>
  <c r="AD20" i="75"/>
  <c r="I10" i="65"/>
  <c r="H10" i="65" s="1"/>
  <c r="D10" i="65" s="1"/>
  <c r="C19" i="72" l="1"/>
  <c r="G18" i="109"/>
  <c r="D16" i="86"/>
  <c r="I27" i="105"/>
  <c r="C21" i="9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AJ31" i="63"/>
  <c r="AL31" i="63" s="1"/>
  <c r="AL43" i="63" s="1"/>
  <c r="K32" i="63"/>
  <c r="I14" i="65"/>
  <c r="AC32" i="63"/>
  <c r="AA31" i="63"/>
  <c r="AC31" i="63" s="1"/>
  <c r="AC43" i="63" s="1"/>
  <c r="CH20" i="75"/>
  <c r="AM31" i="63"/>
  <c r="AO31" i="63" s="1"/>
  <c r="AO43" i="63" s="1"/>
  <c r="AO32" i="63"/>
  <c r="I17" i="65"/>
  <c r="H17" i="65" s="1"/>
  <c r="D17" i="65" s="1"/>
  <c r="CX24" i="75"/>
  <c r="CJ20" i="75"/>
  <c r="M9" i="64"/>
  <c r="BR24" i="75"/>
  <c r="BU24" i="75" s="1"/>
  <c r="F9" i="64"/>
  <c r="AF20" i="75"/>
  <c r="BB24" i="75"/>
  <c r="AV9" i="75"/>
  <c r="AV7" i="75" s="1"/>
  <c r="U31" i="63"/>
  <c r="W31" i="63" s="1"/>
  <c r="W43" i="63" s="1"/>
  <c r="W32" i="63"/>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K9" i="64"/>
  <c r="BT20" i="75"/>
  <c r="CX20" i="75"/>
  <c r="P28" i="75"/>
  <c r="I9" i="65"/>
  <c r="I18" i="65"/>
  <c r="H18" i="65" s="1"/>
  <c r="D18" i="65" s="1"/>
  <c r="BR20" i="75"/>
  <c r="I19" i="65"/>
  <c r="H19" i="65" s="1"/>
  <c r="D19" i="65" s="1"/>
  <c r="I15" i="65"/>
  <c r="H15" i="65" s="1"/>
  <c r="D15" i="65" s="1"/>
  <c r="O9" i="64"/>
  <c r="CZ20" i="75"/>
  <c r="I13" i="65"/>
  <c r="H13" i="65" s="1"/>
  <c r="D13" i="65" s="1"/>
  <c r="M13" i="64"/>
  <c r="M4" i="64"/>
  <c r="BD20" i="75"/>
  <c r="I9" i="64"/>
  <c r="V20" i="75"/>
  <c r="H18" i="78" l="1"/>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F9" i="75"/>
  <c r="P9" i="75"/>
  <c r="P7" i="75" s="1"/>
  <c r="R17" i="65"/>
  <c r="O13" i="64"/>
  <c r="O4" i="64"/>
  <c r="K13" i="64"/>
  <c r="K4" i="64"/>
  <c r="N13" i="64"/>
  <c r="N4" i="64"/>
  <c r="D14" i="64"/>
  <c r="R10" i="65"/>
  <c r="T32" i="63"/>
  <c r="R19" i="65" l="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C32" i="63"/>
  <c r="D37" i="90" s="1"/>
  <c r="Q12" i="102" l="1"/>
  <c r="E12" i="102"/>
  <c r="N12" i="102"/>
  <c r="K12" i="102"/>
  <c r="H12" i="102"/>
  <c r="Q27" i="75"/>
  <c r="G8" i="78" s="1"/>
  <c r="R27" i="75"/>
  <c r="N20" i="75"/>
  <c r="P20" i="75"/>
  <c r="D9" i="64"/>
  <c r="I8" i="65"/>
  <c r="H8" i="65" s="1"/>
  <c r="D8" i="65" s="1"/>
  <c r="E32" i="63"/>
  <c r="D39" i="95" s="1"/>
  <c r="H31" i="63"/>
  <c r="D4" i="64" l="1"/>
  <c r="F12" i="102"/>
  <c r="H11" i="102"/>
  <c r="O12" i="102"/>
  <c r="I12" i="102"/>
  <c r="L12" i="102"/>
  <c r="C12" i="102"/>
  <c r="E11" i="102"/>
  <c r="D8" i="78"/>
  <c r="D20" i="78" s="1"/>
  <c r="G20" i="78"/>
  <c r="I8" i="78"/>
  <c r="R20" i="75"/>
  <c r="Q20" i="75"/>
  <c r="I20" i="65"/>
  <c r="D13" i="64"/>
  <c r="H43" i="63"/>
  <c r="C46" i="70"/>
  <c r="D29" i="72"/>
  <c r="H8" i="78" l="1"/>
  <c r="Y8" i="65"/>
  <c r="D37" i="102"/>
  <c r="C11" i="102"/>
  <c r="E5" i="102"/>
  <c r="E38" i="102" s="1"/>
  <c r="R8" i="65"/>
  <c r="V8" i="65" l="1"/>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D22" i="95"/>
  <c r="C22" i="95" s="1"/>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D35" i="95"/>
  <c r="J35" i="102"/>
  <c r="K39" i="2"/>
  <c r="J35" i="105"/>
  <c r="D33" i="90"/>
  <c r="D25" i="72"/>
  <c r="C43" i="101" l="1"/>
  <c r="C40" i="101" s="1"/>
  <c r="D40" i="101"/>
  <c r="E35" i="109"/>
  <c r="E33" i="110"/>
  <c r="M35" i="102"/>
  <c r="L35" i="102" s="1"/>
  <c r="P39" i="2"/>
  <c r="C35" i="95"/>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K37" i="63" l="1"/>
  <c r="R37" i="63"/>
  <c r="AV24" i="75"/>
  <c r="O37" i="63"/>
  <c r="AN24" i="75"/>
  <c r="X27" i="75"/>
  <c r="X20" i="75"/>
  <c r="E9" i="64"/>
  <c r="P9" i="65"/>
  <c r="I33" i="63"/>
  <c r="R15" i="104"/>
  <c r="R14" i="104" s="1"/>
  <c r="R18" i="104" s="1"/>
  <c r="T37" i="63" l="1"/>
  <c r="Q37" i="63"/>
  <c r="AV27" i="75"/>
  <c r="AV20" i="75"/>
  <c r="H9" i="64"/>
  <c r="P12" i="65"/>
  <c r="J12" i="65" s="1"/>
  <c r="H12" i="65" s="1"/>
  <c r="D12" i="65" s="1"/>
  <c r="R33" i="63"/>
  <c r="AN27" i="75"/>
  <c r="G9" i="64"/>
  <c r="AN20" i="75"/>
  <c r="P11" i="65"/>
  <c r="J11" i="65" s="1"/>
  <c r="H11" i="65" s="1"/>
  <c r="D11" i="65" s="1"/>
  <c r="O33" i="63"/>
  <c r="K33" i="63"/>
  <c r="I31" i="63"/>
  <c r="E13" i="64"/>
  <c r="E4" i="64"/>
  <c r="J9" i="65"/>
  <c r="T33" i="63" l="1"/>
  <c r="R31" i="63"/>
  <c r="T31" i="63" s="1"/>
  <c r="T43" i="63" s="1"/>
  <c r="H13" i="64"/>
  <c r="H4" i="64"/>
  <c r="G13" i="64"/>
  <c r="G4" i="64"/>
  <c r="Q33" i="63"/>
  <c r="O31" i="63"/>
  <c r="Q31" i="63" s="1"/>
  <c r="Q43" i="63" s="1"/>
  <c r="R9" i="65"/>
  <c r="K31" i="63"/>
  <c r="Y9" i="65"/>
  <c r="H9" i="65"/>
  <c r="R12" i="65" l="1"/>
  <c r="Y12" i="65"/>
  <c r="V12" i="65" s="1"/>
  <c r="R11" i="65"/>
  <c r="Y11" i="65"/>
  <c r="V11" i="65" s="1"/>
  <c r="K43" i="63"/>
  <c r="D9" i="65"/>
  <c r="V9" i="65"/>
  <c r="I32" i="74"/>
  <c r="X27" i="63"/>
  <c r="Z27" i="63" s="1"/>
  <c r="E27" i="63" s="1"/>
  <c r="D27" i="63" s="1"/>
  <c r="CO34" i="74"/>
  <c r="C27" i="63" l="1"/>
  <c r="CO31" i="74"/>
  <c r="X29" i="63"/>
  <c r="X26" i="63" s="1"/>
  <c r="X5" i="63" s="1"/>
  <c r="I34" i="74"/>
  <c r="CP34" i="74"/>
  <c r="C14" i="65" l="1"/>
  <c r="C20" i="65" s="1"/>
  <c r="Z29" i="63"/>
  <c r="C29" i="63"/>
  <c r="C26" i="63" s="1"/>
  <c r="C5" i="63" s="1"/>
  <c r="J34" i="74"/>
  <c r="CP31" i="74"/>
  <c r="I31" i="74"/>
  <c r="CO8" i="74"/>
  <c r="CR31" i="74"/>
  <c r="CQ31" i="74"/>
  <c r="CQ8" i="74" l="1"/>
  <c r="CR8" i="74"/>
  <c r="CO9" i="74"/>
  <c r="I8" i="74"/>
  <c r="L31" i="74"/>
  <c r="K31" i="74"/>
  <c r="E29" i="63"/>
  <c r="Z26" i="63"/>
  <c r="Z5" i="63" s="1"/>
  <c r="J31" i="74"/>
  <c r="J8" i="74" s="1"/>
  <c r="CP8" i="74"/>
  <c r="CP9" i="74" l="1"/>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BJ17" i="75"/>
  <c r="H17" i="75"/>
  <c r="BN28" i="75"/>
  <c r="F28" i="75"/>
  <c r="BM28" i="75"/>
  <c r="BL28" i="75"/>
  <c r="S14" i="1"/>
  <c r="S12" i="1"/>
  <c r="D16" i="77"/>
  <c r="K13" i="77"/>
  <c r="H28" i="75" l="1"/>
  <c r="J14" i="64"/>
  <c r="K7" i="102"/>
  <c r="S68" i="1"/>
  <c r="E29" i="101"/>
  <c r="E28" i="101" s="1"/>
  <c r="K7" i="105"/>
  <c r="N14" i="65"/>
  <c r="N20" i="65" s="1"/>
  <c r="C36" i="63"/>
  <c r="D40" i="90" s="1"/>
  <c r="Z36" i="63"/>
  <c r="E36" i="63" s="1"/>
  <c r="D42" i="95" s="1"/>
  <c r="R68" i="1"/>
  <c r="J7" i="105"/>
  <c r="C8" i="70"/>
  <c r="D29" i="101"/>
  <c r="D28" i="101" s="1"/>
  <c r="J7" i="102"/>
  <c r="V7" i="102" s="1"/>
  <c r="I25" i="75"/>
  <c r="J25" i="75"/>
  <c r="D13" i="77"/>
  <c r="K8" i="77"/>
  <c r="F17" i="75"/>
  <c r="I17" i="75" s="1"/>
  <c r="BM17" i="75"/>
  <c r="H25" i="75"/>
  <c r="J11" i="64"/>
  <c r="J28" i="75"/>
  <c r="I28" i="75"/>
  <c r="J10" i="102" l="1"/>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E32" i="95"/>
  <c r="K33" i="102"/>
  <c r="E19" i="86" s="1"/>
  <c r="T34" i="2"/>
  <c r="Y34" i="2" s="1"/>
  <c r="K33" i="105"/>
  <c r="E30" i="90"/>
  <c r="N34" i="2"/>
  <c r="D22" i="72" s="1"/>
  <c r="C22" i="72" s="1"/>
  <c r="N24" i="2"/>
  <c r="J25" i="105" s="1"/>
  <c r="T24" i="2"/>
  <c r="N25" i="105" s="1"/>
  <c r="E17" i="90"/>
  <c r="O22" i="2"/>
  <c r="O19" i="2" s="1"/>
  <c r="E15" i="90" s="1"/>
  <c r="E17" i="72"/>
  <c r="E19" i="95"/>
  <c r="K25" i="102"/>
  <c r="K25" i="105"/>
  <c r="U12" i="102"/>
  <c r="V17" i="102"/>
  <c r="BJ13" i="75"/>
  <c r="H13" i="75"/>
  <c r="BL12" i="75"/>
  <c r="BL7" i="75" s="1"/>
  <c r="W17" i="102"/>
  <c r="W25" i="102" s="1"/>
  <c r="Y24" i="2"/>
  <c r="BM29" i="75"/>
  <c r="F29" i="75"/>
  <c r="I29" i="75" s="1"/>
  <c r="BL29" i="75"/>
  <c r="F7" i="86"/>
  <c r="U12" i="105"/>
  <c r="V17" i="105"/>
  <c r="U17" i="105" s="1"/>
  <c r="N33" i="105" l="1"/>
  <c r="D32" i="95"/>
  <c r="C32" i="95" s="1"/>
  <c r="C109" i="84"/>
  <c r="S34" i="2"/>
  <c r="M33" i="102" s="1"/>
  <c r="C40" i="70"/>
  <c r="D46" i="101"/>
  <c r="C46" i="101" s="1"/>
  <c r="J33" i="102"/>
  <c r="D17" i="90"/>
  <c r="C17" i="90" s="1"/>
  <c r="N33" i="102"/>
  <c r="N22" i="2"/>
  <c r="N19" i="2" s="1"/>
  <c r="J24" i="102" s="1"/>
  <c r="J33" i="105"/>
  <c r="I33" i="105" s="1"/>
  <c r="D30" i="90"/>
  <c r="C30" i="90" s="1"/>
  <c r="T19" i="2"/>
  <c r="N24" i="102" s="1"/>
  <c r="N25" i="102"/>
  <c r="D19" i="95"/>
  <c r="C19" i="95" s="1"/>
  <c r="C27" i="70"/>
  <c r="C25" i="70" s="1"/>
  <c r="D17" i="72"/>
  <c r="C17" i="72" s="1"/>
  <c r="S24" i="2"/>
  <c r="J25" i="102"/>
  <c r="I25" i="102" s="1"/>
  <c r="E15" i="72"/>
  <c r="E20" i="72" s="1"/>
  <c r="K24" i="102"/>
  <c r="K28" i="102" s="1"/>
  <c r="E17" i="95"/>
  <c r="E39" i="101"/>
  <c r="K24" i="105"/>
  <c r="K28" i="105" s="1"/>
  <c r="E14" i="86"/>
  <c r="I25" i="105"/>
  <c r="V25" i="105"/>
  <c r="U25" i="105" s="1"/>
  <c r="U17" i="102"/>
  <c r="X34" i="2"/>
  <c r="V25" i="102"/>
  <c r="U25" i="102" s="1"/>
  <c r="Q33" i="102"/>
  <c r="Q33" i="105"/>
  <c r="H12" i="75"/>
  <c r="X35" i="63"/>
  <c r="BL24" i="75"/>
  <c r="F13" i="75"/>
  <c r="I13" i="75" s="1"/>
  <c r="BJ12" i="75"/>
  <c r="BJ7" i="75" s="1"/>
  <c r="J15" i="64"/>
  <c r="Q25" i="105"/>
  <c r="Q25" i="102"/>
  <c r="Y19" i="2"/>
  <c r="I33" i="102"/>
  <c r="D19" i="86"/>
  <c r="C19" i="86" s="1"/>
  <c r="M25" i="105"/>
  <c r="L25" i="105" s="1"/>
  <c r="M25" i="102"/>
  <c r="X24" i="2"/>
  <c r="P24" i="2"/>
  <c r="S19" i="2"/>
  <c r="N12" i="2" l="1"/>
  <c r="N11" i="2" s="1"/>
  <c r="M33" i="105"/>
  <c r="L33" i="105" s="1"/>
  <c r="P34" i="2"/>
  <c r="D39" i="101"/>
  <c r="D15" i="90"/>
  <c r="C15" i="90" s="1"/>
  <c r="D15" i="72"/>
  <c r="D9" i="72" s="1"/>
  <c r="D14" i="86"/>
  <c r="D17" i="95"/>
  <c r="C17" i="95" s="1"/>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D41" i="95" s="1"/>
  <c r="C35" i="63"/>
  <c r="D39" i="90" s="1"/>
  <c r="M14" i="65"/>
  <c r="X33" i="63"/>
  <c r="F28" i="110"/>
  <c r="R34" i="2"/>
  <c r="N13" i="2" l="1"/>
  <c r="D11" i="95"/>
  <c r="D33" i="101"/>
  <c r="D50" i="101" s="1"/>
  <c r="C39" i="101"/>
  <c r="D20" i="72"/>
  <c r="C20" i="72" s="1"/>
  <c r="J18" i="105"/>
  <c r="J17" i="105" s="1"/>
  <c r="J38" i="105" s="1"/>
  <c r="D9" i="90"/>
  <c r="J28" i="105"/>
  <c r="I28" i="105" s="1"/>
  <c r="N18" i="105"/>
  <c r="N17" i="105" s="1"/>
  <c r="N38" i="105" s="1"/>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J13" i="64"/>
  <c r="L24" i="102"/>
  <c r="L18" i="102" s="1"/>
  <c r="M18" i="102"/>
  <c r="M28" i="102"/>
  <c r="L28" i="102" s="1"/>
  <c r="R14" i="65" l="1"/>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D43" i="95" s="1"/>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C15" i="64"/>
  <c r="O36" i="2" s="1"/>
  <c r="AA16" i="65"/>
  <c r="AA20" i="65" s="1"/>
  <c r="I7" i="75" l="1"/>
  <c r="J7" i="75"/>
  <c r="C47" i="70"/>
  <c r="C45" i="70" s="1"/>
  <c r="C16" i="70" s="1"/>
  <c r="D16" i="70" s="1"/>
  <c r="C31" i="63"/>
  <c r="AF31" i="63"/>
  <c r="N14" i="102"/>
  <c r="I14" i="102"/>
  <c r="L4" i="64"/>
  <c r="C9" i="64"/>
  <c r="C4" i="64" s="1"/>
  <c r="L13" i="64"/>
  <c r="E23" i="72"/>
  <c r="E33" i="95"/>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C33" i="95"/>
  <c r="C11" i="95" s="1"/>
  <c r="E11" i="95"/>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C111" i="84"/>
  <c r="C9" i="84" s="1"/>
  <c r="D16" i="65"/>
  <c r="D20" i="65" s="1"/>
  <c r="H20" i="65"/>
  <c r="O13" i="2"/>
  <c r="O11" i="2"/>
  <c r="E9" i="72"/>
  <c r="C23" i="72"/>
  <c r="C9" i="72" s="1"/>
  <c r="Q13" i="102"/>
  <c r="N11" i="102"/>
  <c r="L13" i="102"/>
  <c r="E30" i="110"/>
  <c r="E24" i="110" s="1"/>
  <c r="E23" i="110" s="1"/>
  <c r="E32" i="109"/>
  <c r="E9" i="109" s="1"/>
  <c r="C36" i="87"/>
  <c r="C25" i="87" s="1"/>
  <c r="C24" i="87" s="1"/>
  <c r="C38" i="69"/>
  <c r="C25" i="69" s="1"/>
  <c r="C24" i="69" s="1"/>
  <c r="K12" i="2"/>
  <c r="E50" i="101"/>
  <c r="C50" i="101" s="1"/>
  <c r="C47" i="101"/>
  <c r="C33" i="101" s="1"/>
  <c r="C13" i="64"/>
  <c r="Y16" i="65"/>
  <c r="Y20" i="65" s="1"/>
  <c r="L14" i="102"/>
  <c r="Q14" i="102"/>
  <c r="O14" i="102" s="1"/>
  <c r="K38" i="102" l="1"/>
  <c r="D38" i="95"/>
  <c r="D36" i="90"/>
  <c r="D28" i="72"/>
  <c r="I37" i="102"/>
  <c r="I17" i="102" s="1"/>
  <c r="I38" i="102" s="1"/>
  <c r="J17" i="102"/>
  <c r="J38" i="102" s="1"/>
  <c r="V16" i="65"/>
  <c r="V20" i="65" s="1"/>
  <c r="E8" i="109"/>
  <c r="G9" i="109"/>
  <c r="N5" i="102"/>
  <c r="N38" i="102" s="1"/>
  <c r="L11" i="102"/>
  <c r="L5" i="102" s="1"/>
  <c r="M37" i="102"/>
  <c r="CD20" i="75"/>
  <c r="CC20" i="75"/>
  <c r="F20" i="75"/>
  <c r="I24" i="75"/>
  <c r="J24" i="75"/>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<sst xmlns="http://schemas.openxmlformats.org/spreadsheetml/2006/main" count="3278" uniqueCount="1097">
  <si>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</si>
  <si>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</si>
  <si>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</si>
  <si>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</si>
  <si>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</si>
  <si>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</si>
  <si>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</si>
  <si>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</si>
  <si>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</si>
  <si>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</si>
  <si>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</si>
  <si>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</si>
  <si>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</si>
  <si>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</si>
  <si>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</si>
  <si>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</si>
  <si>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</si>
  <si>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</si>
  <si>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</si>
  <si>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</si>
  <si>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</si>
  <si>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</si>
  <si>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</si>
  <si>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</si>
  <si>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</si>
  <si>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</si>
  <si>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</si>
  <si>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</si>
  <si>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</si>
  <si>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</si>
  <si>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</si>
  <si>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</si>
  <si>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</si>
  <si>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</si>
  <si>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</si>
  <si>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</si>
  <si>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</si>
  <si>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</si>
  <si>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</si>
  <si>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</si>
  <si>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</si>
  <si>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</si>
  <si>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</si>
  <si>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Số
TT</t>
  </si>
  <si>
    <t>Thu từ khu vực kinh tế ngoài quốc doanh</t>
  </si>
  <si>
    <t>Thuế sử dụng đất nông nghiệp</t>
  </si>
  <si>
    <t>Thu tại xã, phường, thị trấn</t>
  </si>
  <si>
    <t>Thành phố Cao Lãnh</t>
  </si>
  <si>
    <t>Huyện Cao Lãnh</t>
  </si>
  <si>
    <t>Thị xã Hồng Ngự</t>
  </si>
  <si>
    <t>Tam Nông</t>
  </si>
  <si>
    <t>TP SA ĐÉC</t>
  </si>
  <si>
    <t xml:space="preserve">TP Sa Đéc </t>
  </si>
  <si>
    <t>TP. SA ĐÉC</t>
  </si>
  <si>
    <t>TP. Sa Đéc</t>
  </si>
  <si>
    <t>TP.Sa Đéc</t>
  </si>
  <si>
    <t>Thành phố Sa Đéc</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</si>
  <si>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</si>
  <si>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</si>
  <si>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</si>
  <si>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</si>
  <si>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</si>
  <si>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</si>
  <si>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</si>
  <si>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</si>
  <si>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</si>
  <si>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</si>
  <si>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</si>
  <si>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</si>
  <si>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</si>
  <si>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</si>
  <si>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</si>
  <si>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</si>
  <si>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</si>
  <si>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</si>
  <si>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</si>
  <si>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</si>
  <si>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</si>
  <si>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</si>
  <si>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</si>
  <si>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</si>
  <si>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</si>
  <si>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</si>
  <si>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</si>
  <si>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</si>
  <si>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</si>
  <si>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</si>
  <si>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</si>
  <si>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</si>
  <si>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</si>
  <si>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</si>
  <si>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</si>
  <si>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</si>
  <si>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</si>
  <si>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</si>
  <si>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</si>
  <si>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</si>
  <si>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</si>
  <si>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</si>
  <si>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</si>
  <si>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</si>
  <si>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</si>
  <si>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</si>
  <si>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</si>
  <si>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</si>
  <si>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</si>
  <si>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</si>
  <si>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</si>
  <si>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</si>
  <si>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</si>
  <si>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</si>
  <si>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</si>
  <si>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</si>
  <si>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</si>
  <si>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</si>
  <si>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</si>
  <si>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</si>
  <si>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</si>
  <si>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</si>
  <si>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</si>
  <si>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</si>
  <si>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</si>
  <si>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</si>
  <si>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</si>
  <si>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</si>
  <si>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</si>
  <si>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</si>
  <si>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</si>
  <si>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</si>
  <si>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</si>
  <si>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</si>
  <si>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</si>
  <si>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</si>
  <si>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</si>
  <si>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</si>
  <si>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</si>
  <si>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</si>
  <si>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</si>
  <si>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</si>
  <si>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</si>
  <si>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</si>
  <si>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</si>
  <si>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</si>
  <si>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</si>
  <si>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</si>
  <si>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</si>
  <si>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</si>
  <si>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</si>
  <si>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</si>
  <si>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</si>
  <si>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</si>
  <si>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</si>
  <si>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</si>
  <si>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</si>
  <si>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</si>
  <si>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</si>
  <si>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</si>
  <si>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</si>
  <si>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</si>
  <si>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</si>
  <si>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</si>
  <si>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</si>
  <si>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</si>
  <si>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</si>
  <si>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</si>
  <si>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</si>
  <si>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</si>
  <si>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</si>
  <si>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</si>
  <si>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</si>
  <si>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</si>
  <si>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</si>
  <si>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</si>
  <si>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</si>
  <si>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</si>
  <si>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</si>
  <si>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</si>
  <si>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</si>
  <si>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</si>
  <si>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</si>
  <si>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</si>
  <si>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</si>
  <si>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</si>
  <si>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</si>
  <si>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</si>
  <si>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</si>
  <si>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</si>
  <si>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</si>
  <si>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</si>
  <si>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</si>
  <si>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</si>
  <si>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</si>
  <si>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</si>
  <si>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</si>
  <si>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</si>
  <si>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</si>
  <si>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</si>
  <si>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</si>
  <si>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</si>
  <si>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</si>
  <si>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</si>
  <si>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</si>
  <si>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</si>
  <si>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</si>
  <si>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</si>
  <si>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</si>
  <si>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</si>
  <si>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</si>
  <si>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</si>
  <si>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</si>
  <si>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</si>
  <si>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</si>
  <si>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</si>
  <si>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</si>
  <si>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</si>
  <si>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</si>
  <si>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</si>
  <si>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</si>
  <si>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</si>
  <si>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</si>
  <si>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</si>
  <si>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</si>
  <si>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</si>
  <si>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</si>
  <si>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</si>
  <si>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</si>
  <si>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</si>
  <si>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</si>
  <si>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</si>
  <si>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</si>
  <si>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</si>
  <si>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</si>
  <si>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</si>
  <si>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</si>
  <si>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</si>
  <si>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</si>
  <si>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</si>
  <si>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</si>
  <si>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</si>
  <si>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</si>
  <si>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</si>
  <si>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</si>
  <si>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</si>
  <si>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</si>
  <si>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</si>
  <si>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</si>
  <si>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</si>
  <si>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</si>
  <si>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</si>
  <si>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</si>
  <si>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</si>
  <si>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</si>
  <si>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</si>
  <si>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</si>
  <si>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</si>
  <si>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</si>
  <si>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</si>
  <si>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</si>
  <si>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</si>
  <si>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</si>
  <si>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</si>
  <si>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</si>
  <si>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</si>
  <si>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</si>
  <si>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</si>
  <si>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</si>
  <si>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</si>
  <si>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</si>
  <si>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</si>
  <si>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</si>
  <si>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</si>
  <si>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</si>
  <si>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</si>
  <si>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</si>
  <si>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</si>
  <si>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</si>
  <si>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</si>
  <si>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</si>
  <si>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</si>
  <si>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</si>
  <si>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</si>
  <si>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</si>
  <si>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</si>
  <si>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</si>
  <si>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</si>
  <si>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</si>
  <si>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</si>
  <si>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</si>
  <si>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</si>
  <si>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</si>
  <si>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</si>
  <si>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</si>
  <si>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</si>
  <si>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</si>
  <si>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</si>
  <si>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</si>
  <si>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</si>
  <si>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</si>
  <si>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</si>
  <si>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</si>
  <si>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</si>
  <si>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</si>
  <si>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</si>
  <si>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</si>
  <si>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</si>
  <si>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</si>
  <si>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</si>
  <si>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</si>
  <si>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</si>
  <si>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</si>
  <si>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</si>
  <si>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</si>
  <si>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</si>
  <si>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</si>
  <si>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</si>
  <si>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</si>
  <si>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</si>
  <si>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</si>
  <si>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</si>
  <si>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</si>
  <si>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</si>
  <si>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</si>
  <si>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</si>
  <si>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</si>
  <si>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</si>
  <si>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</si>
  <si>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</si>
  <si>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</si>
  <si>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</si>
  <si>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</si>
  <si>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</si>
  <si>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</si>
  <si>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</si>
  <si>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</si>
  <si>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</si>
  <si>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</si>
  <si>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</si>
  <si>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</si>
  <si>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</si>
  <si>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</si>
  <si>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</si>
  <si>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</si>
  <si>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</si>
  <si>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</si>
  <si>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</si>
  <si>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</si>
  <si>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</si>
  <si>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</si>
  <si>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</si>
  <si>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</si>
  <si>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</si>
  <si>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</si>
  <si>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</si>
  <si>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</si>
  <si>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</si>
  <si>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</si>
  <si>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</si>
  <si>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</si>
  <si>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</si>
  <si>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</si>
  <si>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</si>
  <si>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</si>
  <si>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</si>
  <si>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</si>
  <si>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</si>
  <si>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</si>
  <si>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</si>
  <si>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</si>
  <si>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</si>
  <si>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</si>
  <si>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</si>
  <si>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</si>
  <si>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</si>
  <si>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</si>
  <si>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</si>
  <si>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</si>
  <si>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</si>
  <si>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</si>
  <si>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</si>
  <si>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</si>
  <si>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</si>
  <si>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</si>
  <si>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</si>
  <si>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</si>
  <si>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</si>
  <si>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</si>
  <si>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</si>
  <si>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</si>
  <si>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</si>
  <si>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</si>
  <si>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</si>
  <si>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</si>
  <si>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</si>
  <si>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</si>
  <si>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</si>
  <si>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</si>
  <si>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</si>
  <si>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</si>
  <si>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</si>
  <si>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</si>
  <si>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</si>
  <si>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</si>
  <si>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</si>
  <si>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</si>
  <si>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</si>
  <si>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</si>
  <si>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</si>
  <si>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</si>
  <si>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</si>
  <si>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</si>
  <si>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</si>
  <si>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</si>
  <si>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</si>
  <si>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</si>
  <si>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</si>
  <si>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</si>
  <si>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</si>
  <si>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</si>
  <si>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</si>
  <si>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</si>
  <si>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</si>
  <si>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</si>
  <si>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</si>
  <si>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</si>
  <si>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</si>
  <si>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</si>
  <si>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</si>
  <si>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</si>
  <si>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</si>
  <si>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</si>
  <si>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</si>
  <si>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</si>
  <si>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</si>
  <si>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</si>
  <si>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</si>
  <si>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</si>
  <si>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</si>
  <si>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</si>
  <si>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</si>
  <si>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</si>
  <si>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</si>
  <si>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</si>
  <si>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</si>
  <si>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</si>
  <si>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</si>
  <si>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</si>
  <si>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</si>
  <si>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</si>
  <si>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</si>
  <si>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</si>
  <si>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</si>
  <si>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</si>
  <si>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</si>
  <si>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</si>
  <si>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</si>
  <si>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</si>
  <si>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</si>
  <si>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</si>
  <si>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</si>
  <si>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</si>
  <si>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</si>
  <si>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</si>
  <si>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</si>
  <si>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</si>
  <si>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</si>
  <si>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</si>
  <si>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</si>
  <si>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</si>
  <si>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</si>
  <si>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</si>
  <si>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</si>
  <si>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</si>
  <si>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</si>
  <si>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</si>
  <si>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</si>
  <si>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</si>
  <si>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</si>
  <si>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</si>
  <si>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</si>
  <si>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</si>
  <si>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</si>
  <si>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</si>
  <si>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</si>
  <si>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</si>
  <si>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</si>
  <si>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</si>
  <si>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</si>
  <si>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</si>
  <si>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</si>
  <si>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</si>
  <si>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</si>
  <si>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</si>
  <si>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</si>
  <si>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</si>
  <si>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</si>
  <si>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</si>
  <si>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</si>
  <si>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</si>
  <si>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</si>
  <si>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</si>
  <si>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</si>
  <si>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</si>
  <si>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</si>
  <si>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</si>
  <si>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</si>
  <si>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</si>
  <si>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</si>
  <si>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</si>
  <si>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</si>
  <si>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</si>
  <si>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</si>
  <si>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</si>
  <si>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</si>
  <si>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</si>
  <si>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</si>
  <si>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</si>
  <si>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Chi đầu tư phát triển  (2)</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</si>
  <si>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</si>
  <si>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</si>
  <si>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</si>
  <si>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</si>
  <si>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</si>
  <si>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</si>
  <si>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</si>
  <si>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</si>
  <si>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</si>
  <si>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</si>
  <si>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</si>
  <si>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</si>
  <si>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</si>
  <si>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</si>
  <si>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</si>
  <si>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</si>
  <si>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</si>
  <si>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</si>
  <si>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</si>
  <si>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</si>
  <si>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</si>
  <si>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</si>
  <si>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</si>
  <si>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</si>
  <si>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</si>
  <si>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</si>
  <si>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</si>
  <si>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</si>
  <si>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</si>
  <si>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</si>
  <si>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</si>
  <si>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</si>
  <si>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</si>
  <si>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</si>
  <si>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</si>
  <si>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</si>
  <si>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</si>
  <si>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</si>
  <si>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</si>
  <si>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</si>
  <si>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</si>
  <si>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</si>
  <si>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</si>
  <si>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</si>
  <si>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</si>
  <si>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</si>
  <si>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</si>
  <si>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</si>
  <si>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</si>
  <si>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</si>
  <si>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</si>
  <si>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</si>
  <si>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</si>
  <si>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</si>
  <si>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</si>
  <si>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</si>
  <si>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</si>
  <si>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</si>
  <si>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</si>
  <si>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</si>
  <si>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</si>
  <si>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</si>
  <si>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</si>
  <si>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</si>
  <si>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</si>
  <si>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</si>
  <si>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</si>
  <si>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</si>
  <si>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</si>
  <si>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</si>
  <si>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</si>
  <si>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</si>
  <si>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</si>
  <si>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</si>
  <si>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</si>
  <si>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</si>
  <si>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</si>
  <si>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</si>
  <si>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</si>
  <si>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</si>
  <si>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</si>
  <si>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</si>
  <si>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</si>
  <si>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</si>
  <si>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</si>
  <si>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</si>
  <si>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</si>
  <si>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</si>
  <si>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</si>
  <si>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</si>
  <si>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</si>
  <si>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</si>
  <si>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</si>
  <si>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</si>
  <si>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</si>
  <si>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</si>
  <si>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</si>
  <si>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</si>
  <si>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</si>
  <si>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</si>
  <si>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</si>
  <si>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</si>
  <si>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</si>
  <si>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</si>
  <si>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 xml:space="preserve">               * Thu bổ sung đảm bảo không thấp hơn mặt bằng chi thường xuyên năm 2017</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</si>
  <si>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</si>
  <si>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</si>
  <si>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</si>
  <si>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</si>
  <si>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</si>
  <si>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</si>
  <si>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</si>
  <si>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</si>
  <si>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</si>
  <si>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</si>
  <si>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</si>
  <si>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</si>
  <si>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</si>
  <si>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</si>
  <si>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</si>
  <si>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</si>
  <si>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</si>
  <si>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</si>
  <si>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</si>
  <si>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</si>
  <si>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</si>
  <si>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</si>
  <si>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</si>
  <si>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</si>
  <si>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</si>
  <si>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</si>
  <si>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</si>
  <si>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</si>
  <si>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</si>
  <si>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</si>
  <si>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</si>
  <si>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</si>
  <si>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</si>
  <si>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</si>
  <si>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</si>
  <si>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</si>
  <si>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</si>
  <si>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</si>
  <si>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</si>
  <si>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</si>
  <si>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</si>
  <si>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</si>
  <si>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</si>
  <si>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</si>
  <si>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</si>
  <si>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</si>
  <si>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</si>
  <si>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</si>
  <si>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</si>
  <si>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</si>
  <si>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</si>
  <si>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</si>
  <si>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</si>
  <si>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</si>
  <si>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</si>
  <si>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</si>
  <si>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</si>
  <si>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</si>
  <si>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</si>
  <si>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</si>
  <si>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</si>
  <si>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</si>
  <si>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</si>
  <si>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</si>
  <si>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</si>
  <si>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</si>
  <si>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</si>
  <si>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</si>
  <si>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</si>
  <si>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</si>
  <si>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</si>
  <si>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</si>
  <si>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</si>
  <si>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</si>
  <si>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</si>
  <si>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</si>
  <si>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</si>
  <si>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</si>
  <si>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</si>
  <si>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</si>
  <si>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</si>
  <si>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</si>
  <si>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</si>
  <si>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</si>
  <si>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</si>
  <si>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</si>
  <si>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</si>
  <si>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</si>
  <si>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</si>
  <si>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</si>
  <si>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</si>
  <si>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</si>
  <si>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</si>
  <si>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</si>
  <si>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</si>
  <si>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</si>
  <si>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</si>
  <si>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</si>
  <si>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</si>
  <si>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</si>
  <si>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</si>
  <si>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</si>
  <si>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</si>
  <si>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</si>
  <si>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</si>
  <si>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</si>
  <si>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</si>
  <si>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</si>
  <si>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</si>
  <si>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</si>
  <si>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</si>
  <si>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</si>
  <si>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</si>
  <si>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</si>
  <si>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</si>
  <si>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</si>
  <si>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</si>
  <si>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</si>
  <si>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</si>
  <si>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</si>
  <si>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</si>
  <si>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</si>
  <si>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</si>
  <si>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</si>
  <si>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</si>
  <si>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</si>
  <si>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</si>
  <si>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</si>
  <si>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</si>
  <si>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</si>
  <si>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</si>
  <si>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</si>
  <si>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</si>
  <si>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</si>
  <si>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</si>
  <si>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</si>
  <si>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</si>
  <si>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</si>
  <si>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</si>
  <si>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</si>
  <si>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</si>
  <si>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</si>
  <si>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</si>
  <si>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</si>
  <si>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</si>
  <si>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</si>
  <si>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</si>
  <si>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</si>
  <si>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</si>
  <si>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</si>
  <si>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</si>
  <si>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</si>
  <si>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</si>
  <si>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</si>
  <si>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</si>
  <si>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</si>
  <si>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</si>
  <si>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</si>
  <si>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</si>
  <si>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</si>
  <si>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</si>
  <si>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</si>
  <si>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</si>
  <si>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</si>
  <si>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</si>
  <si>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</si>
  <si>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</si>
  <si>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</si>
  <si>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</si>
  <si>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</si>
  <si>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</si>
  <si>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</si>
  <si>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</si>
  <si>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</si>
  <si>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</si>
  <si>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</si>
  <si>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</si>
  <si>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</si>
  <si>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</si>
  <si>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</si>
  <si>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</si>
  <si>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</si>
  <si>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</si>
  <si>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</si>
  <si>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</si>
  <si>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</si>
  <si>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</si>
  <si>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</si>
  <si>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</si>
  <si>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</si>
  <si>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</si>
  <si>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</si>
  <si>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</si>
  <si>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</si>
  <si>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</si>
  <si>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</si>
  <si>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</si>
  <si>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</si>
  <si>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</si>
  <si>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</si>
  <si>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</si>
  <si>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</si>
  <si>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</si>
  <si>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</si>
  <si>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</si>
  <si>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</si>
  <si>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</si>
  <si>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</si>
  <si>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</si>
  <si>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</si>
  <si>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</si>
  <si>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</si>
  <si>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</si>
  <si>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</si>
  <si>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</si>
  <si>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</si>
  <si>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</si>
  <si>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</si>
  <si>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</si>
  <si>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</si>
  <si>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</si>
  <si>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</si>
  <si>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</si>
  <si>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</si>
  <si>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</si>
  <si>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</si>
  <si>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</si>
  <si>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</si>
  <si>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</si>
  <si>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</si>
  <si>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</si>
  <si>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</si>
  <si>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</si>
  <si>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</si>
  <si>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</si>
  <si>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</si>
  <si>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</si>
  <si>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</si>
  <si>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</si>
  <si>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</si>
  <si>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</si>
  <si>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</si>
  <si>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</si>
  <si>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</si>
  <si>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</si>
  <si>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</si>
  <si>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</si>
  <si>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</si>
  <si>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</si>
  <si>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</si>
  <si>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</si>
  <si>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</si>
  <si>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</si>
  <si>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</si>
  <si>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</si>
  <si>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</si>
  <si>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</si>
  <si>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</si>
  <si>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</si>
  <si>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</si>
  <si>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</si>
  <si>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</si>
  <si>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</si>
  <si>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</si>
  <si>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</si>
  <si>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</si>
  <si>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</si>
  <si>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</si>
  <si>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</si>
  <si>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</si>
  <si>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</si>
  <si>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</si>
  <si>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</si>
  <si>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</si>
  <si>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</si>
  <si>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</si>
  <si>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</si>
  <si>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</si>
  <si>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</si>
  <si>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</si>
  <si>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</si>
  <si>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</si>
  <si>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</si>
  <si>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</si>
  <si>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</si>
  <si>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</si>
  <si>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</si>
  <si>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</si>
  <si>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</si>
  <si>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</si>
  <si>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</si>
  <si>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</si>
  <si>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</si>
  <si>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</si>
  <si>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</si>
  <si>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</si>
  <si>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</si>
  <si>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</si>
  <si>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</si>
  <si>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</si>
  <si>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</si>
  <si>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</si>
  <si>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</si>
  <si>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</si>
  <si>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</si>
  <si>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</si>
  <si>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</si>
  <si>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</si>
  <si>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</si>
  <si>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</si>
  <si>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</si>
  <si>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</si>
  <si>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</si>
  <si>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</si>
  <si>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</si>
  <si>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</si>
  <si>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</si>
  <si>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</si>
  <si>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</si>
  <si>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</si>
  <si>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</si>
  <si>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</si>
  <si>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</si>
  <si>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</si>
  <si>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</si>
  <si>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</si>
  <si>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</si>
  <si>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</si>
  <si>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</si>
  <si>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</si>
  <si>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</si>
  <si>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</si>
  <si>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</si>
  <si>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</si>
  <si>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</si>
  <si>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</si>
  <si>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</si>
  <si>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</si>
  <si>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</si>
  <si>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</si>
  <si>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</si>
  <si>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</si>
  <si>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</si>
  <si>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</si>
  <si>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</si>
  <si>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</si>
  <si>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</si>
  <si>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</si>
  <si>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</si>
  <si>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</si>
  <si>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</si>
  <si>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</si>
  <si>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</si>
  <si>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</si>
  <si>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</si>
  <si>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</si>
  <si>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</si>
  <si>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</si>
  <si>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</si>
  <si>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</si>
  <si>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</si>
  <si>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</si>
  <si>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</si>
  <si>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</si>
  <si>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</si>
  <si>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</si>
  <si>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</si>
  <si>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</si>
  <si>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</si>
  <si>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</si>
  <si>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</si>
  <si>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</si>
  <si>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</si>
  <si>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</si>
  <si>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</si>
  <si>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</si>
  <si>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</si>
  <si>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</si>
  <si>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</si>
  <si>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</si>
  <si>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</si>
  <si>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</si>
  <si>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</si>
  <si>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</si>
  <si>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</si>
  <si>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</si>
  <si>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</si>
  <si>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</si>
  <si>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</si>
  <si>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</si>
  <si>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</si>
  <si>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</si>
  <si>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</si>
  <si>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</si>
  <si>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</si>
  <si>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</si>
  <si>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</si>
  <si>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</si>
  <si>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</si>
  <si>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</si>
  <si>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</si>
  <si>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</si>
  <si>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</si>
  <si>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</si>
  <si>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</si>
  <si>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</si>
  <si>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</si>
  <si>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</si>
  <si>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</si>
  <si>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</si>
  <si>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</si>
  <si>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</si>
  <si>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</si>
  <si>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</si>
  <si>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</si>
  <si>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</si>
  <si>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</si>
  <si>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</si>
  <si>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</si>
  <si>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</si>
  <si>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</si>
  <si>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</si>
  <si>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</si>
  <si>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</si>
  <si>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</si>
  <si>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</si>
  <si>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</si>
  <si>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</si>
  <si>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</si>
  <si>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</si>
  <si>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</si>
  <si>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</si>
  <si>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</si>
  <si>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</si>
  <si>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</si>
  <si>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</si>
  <si>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</si>
  <si>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</si>
  <si>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</si>
  <si>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</si>
  <si>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</si>
  <si>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</si>
  <si>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</si>
  <si>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</si>
  <si>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</si>
  <si>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</si>
  <si>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</si>
  <si>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</si>
  <si>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</si>
  <si>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</si>
  <si>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</si>
  <si>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</si>
  <si>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</si>
  <si>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</si>
  <si>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</si>
  <si>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</si>
  <si>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</si>
  <si>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</si>
  <si>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</si>
  <si>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</si>
  <si>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</si>
  <si>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</si>
  <si>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</si>
  <si>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</si>
  <si>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</si>
  <si>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</si>
  <si>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</si>
  <si>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</si>
  <si>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</si>
  <si>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</si>
  <si>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</si>
  <si>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</si>
  <si>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</si>
  <si>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</si>
  <si>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r>
      <t>DỰ TOÁN CHI NGÂN SÁCH ĐỊA PHƯƠNG NĂM 2019</t>
    </r>
    <r>
      <rPr>
        <sz val="12"/>
        <rFont val="Times New Roman"/>
        <family val="1"/>
        <charset val="163"/>
      </rPr>
      <t xml:space="preserve">
(Ban hành kèm theo Quyết định số 1562/QĐ-UBND.HC ngày 21/12/2018 của Uỷ ban nhân dân tỉnh)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</si>
</sst>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87"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49" fillId="0" borderId="0"/>
    <xf numFmtId="0" fontId="52" fillId="0" borderId="0"/>
    <xf numFmtId="43" fontId="52"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58" fillId="0" borderId="0"/>
    <xf numFmtId="43" fontId="2" fillId="0" borderId="0" applyFont="0" applyFill="0" applyBorder="0" applyAlignment="0" applyProtection="0"/>
    <xf numFmtId="0" fontId="32" fillId="0" borderId="0"/>
  </cellStyleXfs>
  <cellXfs count="1099">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29"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49" fontId="2" fillId="0" borderId="0" xfId="0" applyNumberFormat="1" applyFont="1" applyBorder="1"/>
    <xf numFmtId="49" fontId="2" fillId="0" borderId="0" xfId="0" applyNumberFormat="1" applyFont="1" applyBorder="1" applyAlignment="1">
      <alignment vertical="center"/>
    </xf>
    <xf numFmtId="0" fontId="47" fillId="0" borderId="0" xfId="0" applyFont="1"/>
    <xf numFmtId="0" fontId="2" fillId="0" borderId="8" xfId="0" applyFont="1" applyBorder="1" applyAlignment="1">
      <alignment shrinkToFit="1"/>
    </xf>
    <xf numFmtId="0" fontId="2" fillId="0" borderId="8" xfId="0" applyFont="1" applyBorder="1" applyAlignment="1">
      <alignment horizontal="center"/>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4" fillId="0" borderId="5" xfId="0" applyFont="1" applyBorder="1" applyAlignment="1">
      <alignment horizontal="center" vertical="center" wrapTex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48" fillId="0" borderId="8" xfId="3" applyNumberFormat="1" applyFont="1" applyFill="1" applyBorder="1" applyAlignment="1">
      <alignment horizontal="center" vertical="center"/>
    </xf>
    <xf numFmtId="49" fontId="48"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1" fillId="0" borderId="0" xfId="7" applyFont="1"/>
    <xf numFmtId="0" fontId="51"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48"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0"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5" fillId="0" borderId="0" xfId="0" applyFont="1" applyFill="1"/>
    <xf numFmtId="38" fontId="4" fillId="0" borderId="30"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0" xfId="0" applyFont="1" applyBorder="1" applyAlignment="1">
      <alignment horizontal="center" vertical="center"/>
    </xf>
    <xf numFmtId="166" fontId="2" fillId="0" borderId="30" xfId="1" applyNumberFormat="1" applyFont="1" applyFill="1" applyBorder="1" applyAlignment="1">
      <alignment horizontal="left" vertical="center" wrapText="1"/>
    </xf>
    <xf numFmtId="38" fontId="2" fillId="0" borderId="30"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6" fillId="0" borderId="8" xfId="0" applyFont="1" applyBorder="1"/>
    <xf numFmtId="38" fontId="27" fillId="0" borderId="8" xfId="0" applyNumberFormat="1" applyFont="1" applyBorder="1"/>
    <xf numFmtId="0" fontId="56"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6"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0" fillId="0" borderId="0" xfId="13" applyFont="1" applyFill="1"/>
    <xf numFmtId="0" fontId="59" fillId="0" borderId="0" xfId="13" applyNumberFormat="1" applyFont="1" applyFill="1" applyAlignment="1">
      <alignment horizontal="center" vertical="center"/>
    </xf>
    <xf numFmtId="0" fontId="60" fillId="0" borderId="0" xfId="13" applyNumberFormat="1" applyFont="1" applyFill="1" applyAlignment="1">
      <alignment horizontal="right" vertical="center"/>
    </xf>
    <xf numFmtId="0" fontId="60" fillId="0" borderId="0" xfId="13" applyNumberFormat="1" applyFont="1" applyFill="1" applyAlignment="1">
      <alignment horizontal="center" vertical="center"/>
    </xf>
    <xf numFmtId="0" fontId="61" fillId="0" borderId="0" xfId="13" applyNumberFormat="1" applyFont="1" applyFill="1" applyBorder="1" applyAlignment="1">
      <alignment horizontal="right"/>
    </xf>
    <xf numFmtId="0" fontId="61" fillId="0" borderId="0" xfId="13" applyNumberFormat="1" applyFont="1" applyFill="1" applyBorder="1" applyAlignment="1"/>
    <xf numFmtId="0" fontId="60" fillId="0" borderId="0" xfId="13" applyFont="1" applyFill="1" applyAlignment="1">
      <alignment horizontal="center" vertical="center"/>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59" fillId="0" borderId="6" xfId="13" applyFont="1" applyFill="1" applyBorder="1" applyAlignment="1">
      <alignment horizontal="center" vertical="center" wrapText="1"/>
    </xf>
    <xf numFmtId="170" fontId="59" fillId="0" borderId="6" xfId="13" applyNumberFormat="1" applyFont="1" applyFill="1" applyBorder="1" applyAlignment="1">
      <alignment vertical="center" shrinkToFit="1"/>
    </xf>
    <xf numFmtId="164" fontId="59" fillId="0" borderId="6" xfId="1" applyFont="1" applyFill="1" applyBorder="1" applyAlignment="1">
      <alignment vertical="center" shrinkToFit="1"/>
    </xf>
    <xf numFmtId="170" fontId="59" fillId="0" borderId="6" xfId="1" applyNumberFormat="1" applyFont="1" applyFill="1" applyBorder="1" applyAlignment="1">
      <alignment vertical="center" shrinkToFit="1"/>
    </xf>
    <xf numFmtId="0" fontId="59" fillId="0" borderId="0" xfId="13" applyFont="1" applyFill="1" applyAlignment="1">
      <alignment horizontal="center" vertical="center"/>
    </xf>
    <xf numFmtId="0" fontId="59" fillId="0" borderId="8" xfId="13" applyFont="1" applyFill="1" applyBorder="1" applyAlignment="1">
      <alignment horizontal="center" vertical="center" wrapText="1"/>
    </xf>
    <xf numFmtId="170" fontId="59" fillId="0" borderId="8" xfId="13" applyNumberFormat="1" applyFont="1" applyFill="1" applyBorder="1" applyAlignment="1">
      <alignment vertical="center" shrinkToFit="1"/>
    </xf>
    <xf numFmtId="170" fontId="59"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0" fillId="0" borderId="8" xfId="13" applyFont="1" applyFill="1" applyBorder="1" applyAlignment="1">
      <alignment horizontal="center" vertical="center" wrapText="1"/>
    </xf>
    <xf numFmtId="170" fontId="60" fillId="0" borderId="8" xfId="13" applyNumberFormat="1" applyFont="1" applyFill="1" applyBorder="1" applyAlignment="1">
      <alignment vertical="center" shrinkToFit="1"/>
    </xf>
    <xf numFmtId="170" fontId="60" fillId="0" borderId="8" xfId="1" applyNumberFormat="1" applyFont="1" applyFill="1" applyBorder="1" applyAlignment="1">
      <alignment vertical="center" shrinkToFit="1"/>
    </xf>
    <xf numFmtId="0" fontId="59" fillId="0" borderId="8" xfId="13" applyFont="1" applyFill="1" applyBorder="1" applyAlignment="1">
      <alignment horizontal="center" vertical="center"/>
    </xf>
    <xf numFmtId="0" fontId="63" fillId="0" borderId="8" xfId="13" applyFont="1" applyFill="1" applyBorder="1" applyAlignment="1">
      <alignment horizontal="center" vertical="center"/>
    </xf>
    <xf numFmtId="170" fontId="63" fillId="0" borderId="8" xfId="13" applyNumberFormat="1" applyFont="1" applyFill="1" applyBorder="1" applyAlignment="1">
      <alignment vertical="center" shrinkToFit="1"/>
    </xf>
    <xf numFmtId="170" fontId="63" fillId="0" borderId="8" xfId="1" applyNumberFormat="1" applyFont="1" applyFill="1" applyBorder="1" applyAlignment="1">
      <alignment vertical="center" shrinkToFit="1"/>
    </xf>
    <xf numFmtId="0" fontId="63" fillId="0" borderId="0" xfId="13" applyFont="1" applyFill="1" applyAlignment="1">
      <alignment horizontal="center" vertical="center"/>
    </xf>
    <xf numFmtId="170" fontId="59" fillId="0" borderId="8" xfId="13" applyNumberFormat="1" applyFont="1" applyFill="1" applyBorder="1" applyAlignment="1">
      <alignment shrinkToFit="1"/>
    </xf>
    <xf numFmtId="170" fontId="59" fillId="0" borderId="8" xfId="1" applyNumberFormat="1" applyFont="1" applyFill="1" applyBorder="1" applyAlignment="1">
      <alignment shrinkToFit="1"/>
    </xf>
    <xf numFmtId="0" fontId="59" fillId="0" borderId="0" xfId="13" applyFont="1" applyFill="1"/>
    <xf numFmtId="0" fontId="62" fillId="0" borderId="8" xfId="13" applyFont="1" applyFill="1" applyBorder="1" applyAlignment="1">
      <alignment horizontal="center" vertical="center"/>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59" fillId="0" borderId="8" xfId="13" applyNumberFormat="1" applyFont="1" applyFill="1" applyBorder="1" applyAlignment="1">
      <alignment horizontal="left"/>
    </xf>
    <xf numFmtId="170" fontId="60" fillId="0" borderId="8" xfId="13" applyNumberFormat="1" applyFont="1" applyFill="1" applyBorder="1" applyAlignment="1">
      <alignment shrinkToFit="1"/>
    </xf>
    <xf numFmtId="170" fontId="60" fillId="0" borderId="8" xfId="1" applyNumberFormat="1" applyFont="1" applyFill="1" applyBorder="1" applyAlignment="1">
      <alignment shrinkToFit="1"/>
    </xf>
    <xf numFmtId="0" fontId="61" fillId="0" borderId="8" xfId="13" applyFont="1" applyFill="1" applyBorder="1" applyAlignment="1">
      <alignment horizontal="center" vertical="center"/>
    </xf>
    <xf numFmtId="170" fontId="63" fillId="0" borderId="8" xfId="13" applyNumberFormat="1" applyFont="1" applyFill="1" applyBorder="1" applyAlignment="1">
      <alignment shrinkToFit="1"/>
    </xf>
    <xf numFmtId="170" fontId="63" fillId="0" borderId="8" xfId="1" applyNumberFormat="1" applyFont="1" applyFill="1" applyBorder="1" applyAlignment="1">
      <alignment shrinkToFit="1"/>
    </xf>
    <xf numFmtId="0" fontId="63" fillId="0" borderId="0" xfId="13" applyFont="1" applyFill="1"/>
    <xf numFmtId="0" fontId="60" fillId="0" borderId="8" xfId="13" quotePrefix="1" applyNumberFormat="1" applyFont="1" applyFill="1" applyBorder="1" applyAlignment="1">
      <alignment horizontal="left"/>
    </xf>
    <xf numFmtId="0" fontId="60" fillId="0" borderId="8" xfId="13" applyFont="1" applyFill="1" applyBorder="1" applyAlignment="1">
      <alignment horizontal="center"/>
    </xf>
    <xf numFmtId="0" fontId="59" fillId="0" borderId="8" xfId="13" applyFont="1" applyFill="1" applyBorder="1" applyAlignment="1">
      <alignment horizontal="center"/>
    </xf>
    <xf numFmtId="0" fontId="62" fillId="0" borderId="8" xfId="13" applyFont="1" applyFill="1" applyBorder="1" applyAlignment="1">
      <alignment horizontal="center"/>
    </xf>
    <xf numFmtId="0" fontId="59" fillId="0" borderId="9" xfId="13" applyFont="1" applyFill="1" applyBorder="1" applyAlignment="1">
      <alignment horizontal="center"/>
    </xf>
    <xf numFmtId="170" fontId="59" fillId="0" borderId="9" xfId="13" applyNumberFormat="1" applyFont="1" applyFill="1" applyBorder="1" applyAlignment="1">
      <alignment shrinkToFit="1"/>
    </xf>
    <xf numFmtId="170" fontId="59" fillId="0" borderId="9" xfId="1" applyNumberFormat="1" applyFont="1" applyFill="1" applyBorder="1" applyAlignment="1">
      <alignment shrinkToFit="1"/>
    </xf>
    <xf numFmtId="0" fontId="60" fillId="0" borderId="0" xfId="13" applyFont="1" applyFill="1" applyAlignment="1">
      <alignment horizontal="right"/>
    </xf>
    <xf numFmtId="170" fontId="59" fillId="3" borderId="8" xfId="13" applyNumberFormat="1" applyFont="1" applyFill="1" applyBorder="1" applyAlignment="1">
      <alignment vertical="center" shrinkToFit="1"/>
    </xf>
    <xf numFmtId="170" fontId="64" fillId="0" borderId="8" xfId="13" applyNumberFormat="1" applyFont="1" applyFill="1" applyBorder="1" applyAlignment="1">
      <alignment shrinkToFit="1"/>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170" fontId="64"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6"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6"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6"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59" fillId="0" borderId="8" xfId="13" applyNumberFormat="1" applyFont="1" applyFill="1" applyBorder="1" applyAlignment="1">
      <alignment horizontal="right"/>
    </xf>
    <xf numFmtId="0" fontId="60" fillId="0" borderId="8" xfId="13" applyNumberFormat="1" applyFont="1" applyFill="1" applyBorder="1" applyAlignment="1">
      <alignment horizontal="left"/>
    </xf>
    <xf numFmtId="3" fontId="60" fillId="0" borderId="8" xfId="13" applyNumberFormat="1" applyFont="1" applyFill="1" applyBorder="1" applyAlignment="1">
      <alignment horizontal="right"/>
    </xf>
    <xf numFmtId="0" fontId="60" fillId="0" borderId="8" xfId="13" applyNumberFormat="1" applyFont="1" applyFill="1" applyBorder="1" applyAlignment="1">
      <alignment vertical="justify"/>
    </xf>
    <xf numFmtId="3" fontId="60" fillId="0" borderId="8" xfId="13" applyNumberFormat="1" applyFont="1" applyFill="1" applyBorder="1" applyAlignment="1">
      <alignment horizontal="right" vertical="justify"/>
    </xf>
    <xf numFmtId="0" fontId="60" fillId="0" borderId="8" xfId="13" applyFont="1" applyFill="1" applyBorder="1" applyAlignment="1">
      <alignment horizontal="left" vertical="justify"/>
    </xf>
    <xf numFmtId="0" fontId="60" fillId="0" borderId="9" xfId="13" applyFont="1" applyFill="1" applyBorder="1" applyAlignment="1">
      <alignment horizontal="center" vertical="center"/>
    </xf>
    <xf numFmtId="0" fontId="60" fillId="0" borderId="9" xfId="13" applyFont="1" applyFill="1" applyBorder="1" applyAlignment="1">
      <alignment horizontal="left" vertical="justify"/>
    </xf>
    <xf numFmtId="3" fontId="60" fillId="0" borderId="9" xfId="13" applyNumberFormat="1" applyFont="1" applyFill="1" applyBorder="1" applyAlignment="1">
      <alignment horizontal="right" vertical="justify"/>
    </xf>
    <xf numFmtId="0" fontId="60" fillId="0" borderId="0" xfId="13" applyFont="1" applyFill="1" applyAlignment="1">
      <alignment horizontal="right" vertical="center"/>
    </xf>
    <xf numFmtId="0" fontId="59"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7" fillId="0" borderId="0" xfId="0" applyFont="1" applyAlignment="1">
      <alignment vertical="center"/>
    </xf>
    <xf numFmtId="0" fontId="68" fillId="0" borderId="0" xfId="0" applyFont="1"/>
    <xf numFmtId="0" fontId="12" fillId="0" borderId="35" xfId="0" applyFont="1" applyFill="1" applyBorder="1" applyAlignment="1">
      <alignment horizontal="center" vertical="center" wrapText="1"/>
    </xf>
    <xf numFmtId="0" fontId="13" fillId="0" borderId="35" xfId="0" applyFont="1" applyFill="1" applyBorder="1" applyAlignment="1">
      <alignment vertical="center" wrapText="1"/>
    </xf>
    <xf numFmtId="0" fontId="13" fillId="0" borderId="35" xfId="0" applyFont="1" applyFill="1" applyBorder="1" applyAlignment="1">
      <alignment horizontal="center" vertical="center" shrinkToFit="1"/>
    </xf>
    <xf numFmtId="0" fontId="70" fillId="0" borderId="0" xfId="0" applyFont="1"/>
    <xf numFmtId="0" fontId="68" fillId="0" borderId="0" xfId="0" applyFont="1" applyBorder="1"/>
    <xf numFmtId="0" fontId="10" fillId="4" borderId="33" xfId="0" applyFont="1" applyFill="1" applyBorder="1" applyAlignment="1">
      <alignment horizontal="center" vertical="center" shrinkToFit="1"/>
    </xf>
    <xf numFmtId="0" fontId="12" fillId="0" borderId="34" xfId="0" applyFont="1" applyFill="1" applyBorder="1" applyAlignment="1">
      <alignment horizontal="center" vertical="center" wrapText="1"/>
    </xf>
    <xf numFmtId="0" fontId="13" fillId="0" borderId="34" xfId="0" applyFont="1" applyFill="1" applyBorder="1" applyAlignment="1">
      <alignment vertical="center" wrapText="1"/>
    </xf>
    <xf numFmtId="0" fontId="13" fillId="0" borderId="34" xfId="0" applyFont="1" applyFill="1" applyBorder="1" applyAlignment="1">
      <alignment horizontal="center" vertical="center" shrinkToFit="1"/>
    </xf>
    <xf numFmtId="172" fontId="13" fillId="0" borderId="34" xfId="14" applyNumberFormat="1" applyFont="1" applyFill="1" applyBorder="1" applyAlignment="1">
      <alignment vertical="center" shrinkToFit="1"/>
    </xf>
    <xf numFmtId="3" fontId="13" fillId="0" borderId="34" xfId="14" applyNumberFormat="1" applyFont="1" applyFill="1" applyBorder="1" applyAlignment="1">
      <alignment vertical="center" shrinkToFit="1"/>
    </xf>
    <xf numFmtId="43" fontId="13" fillId="0" borderId="35" xfId="14" applyNumberFormat="1" applyFont="1" applyFill="1" applyBorder="1" applyAlignment="1">
      <alignment vertical="center" shrinkToFit="1"/>
    </xf>
    <xf numFmtId="43" fontId="13" fillId="0" borderId="35" xfId="14" applyNumberFormat="1" applyFont="1" applyFill="1" applyBorder="1" applyAlignment="1">
      <alignment horizontal="right" vertical="center" shrinkToFit="1"/>
    </xf>
    <xf numFmtId="173" fontId="13" fillId="0" borderId="35" xfId="14" applyNumberFormat="1" applyFont="1" applyFill="1" applyBorder="1" applyAlignment="1">
      <alignment vertical="center" shrinkToFit="1"/>
    </xf>
    <xf numFmtId="172" fontId="13" fillId="0" borderId="35" xfId="14" applyNumberFormat="1" applyFont="1" applyFill="1" applyBorder="1" applyAlignment="1">
      <alignment vertical="center" shrinkToFit="1"/>
    </xf>
    <xf numFmtId="0" fontId="69" fillId="0" borderId="35" xfId="0" applyFont="1" applyFill="1" applyBorder="1" applyAlignment="1">
      <alignment vertical="center" wrapText="1"/>
    </xf>
    <xf numFmtId="0" fontId="13" fillId="0" borderId="35" xfId="14" applyNumberFormat="1" applyFont="1" applyFill="1" applyBorder="1" applyAlignment="1">
      <alignment vertical="center" shrinkToFit="1"/>
    </xf>
    <xf numFmtId="0" fontId="13" fillId="0" borderId="35" xfId="14" applyNumberFormat="1" applyFont="1" applyFill="1" applyBorder="1" applyAlignment="1">
      <alignment horizontal="center" vertical="center" shrinkToFit="1"/>
    </xf>
    <xf numFmtId="2" fontId="13" fillId="0" borderId="35" xfId="14" applyNumberFormat="1" applyFont="1" applyFill="1" applyBorder="1" applyAlignment="1">
      <alignment vertical="center" shrinkToFit="1"/>
    </xf>
    <xf numFmtId="2" fontId="13" fillId="0" borderId="35" xfId="14" applyNumberFormat="1" applyFont="1" applyFill="1" applyBorder="1" applyAlignment="1">
      <alignment horizontal="center" vertical="center" shrinkToFit="1"/>
    </xf>
    <xf numFmtId="172" fontId="13" fillId="0" borderId="35" xfId="14" applyNumberFormat="1" applyFont="1" applyFill="1" applyBorder="1" applyAlignment="1">
      <alignment horizontal="center" vertical="center" shrinkToFit="1"/>
    </xf>
    <xf numFmtId="43" fontId="13" fillId="0" borderId="35" xfId="14" applyNumberFormat="1" applyFont="1" applyFill="1" applyBorder="1" applyAlignment="1">
      <alignment horizontal="center" vertical="center" shrinkToFit="1"/>
    </xf>
    <xf numFmtId="173" fontId="13" fillId="0" borderId="35" xfId="14" applyNumberFormat="1" applyFont="1" applyFill="1" applyBorder="1" applyAlignment="1">
      <alignment horizontal="right" vertical="center" shrinkToFit="1"/>
    </xf>
    <xf numFmtId="0" fontId="13" fillId="0" borderId="35" xfId="0" quotePrefix="1" applyFont="1" applyFill="1" applyBorder="1" applyAlignment="1">
      <alignment vertical="center" wrapText="1"/>
    </xf>
    <xf numFmtId="0" fontId="71" fillId="0" borderId="0" xfId="0" applyFont="1" applyBorder="1"/>
    <xf numFmtId="166" fontId="13" fillId="0" borderId="35" xfId="1" applyNumberFormat="1" applyFont="1" applyFill="1" applyBorder="1" applyAlignment="1">
      <alignment vertical="center" shrinkToFit="1"/>
    </xf>
    <xf numFmtId="0" fontId="68" fillId="0" borderId="0" xfId="0" applyFont="1" applyFill="1" applyBorder="1"/>
    <xf numFmtId="166" fontId="13" fillId="0" borderId="35" xfId="14" applyNumberFormat="1" applyFont="1" applyFill="1" applyBorder="1" applyAlignment="1">
      <alignment vertical="center" shrinkToFit="1"/>
    </xf>
    <xf numFmtId="0" fontId="12" fillId="0" borderId="36" xfId="0" applyFont="1" applyFill="1" applyBorder="1" applyAlignment="1">
      <alignment horizontal="center" vertical="center" wrapText="1"/>
    </xf>
    <xf numFmtId="0" fontId="13" fillId="0" borderId="36" xfId="0" applyFont="1" applyFill="1" applyBorder="1" applyAlignment="1">
      <alignment vertical="center" wrapText="1"/>
    </xf>
    <xf numFmtId="0" fontId="13" fillId="0" borderId="36" xfId="0" applyFont="1" applyFill="1" applyBorder="1" applyAlignment="1">
      <alignment horizontal="center" vertical="center" shrinkToFit="1"/>
    </xf>
    <xf numFmtId="172" fontId="13" fillId="0" borderId="36" xfId="14" applyNumberFormat="1" applyFont="1" applyFill="1" applyBorder="1" applyAlignment="1">
      <alignment vertical="center" shrinkToFit="1"/>
    </xf>
    <xf numFmtId="166" fontId="68"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1" fillId="0" borderId="5" xfId="7" applyFont="1" applyBorder="1" applyAlignment="1">
      <alignment vertical="center" wrapText="1"/>
    </xf>
    <xf numFmtId="0" fontId="51" fillId="0" borderId="5" xfId="7" applyFont="1" applyBorder="1"/>
    <xf numFmtId="0" fontId="51"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0"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1" fillId="0" borderId="0" xfId="7" applyNumberFormat="1" applyFont="1"/>
    <xf numFmtId="169" fontId="8" fillId="0" borderId="8" xfId="1" applyNumberFormat="1" applyFont="1" applyFill="1" applyBorder="1" applyAlignment="1">
      <alignment vertical="center"/>
    </xf>
    <xf numFmtId="0" fontId="54" fillId="0" borderId="0" xfId="0" applyFont="1"/>
    <xf numFmtId="0" fontId="73" fillId="0" borderId="5" xfId="0" applyFont="1" applyBorder="1" applyAlignment="1">
      <alignment horizontal="center" vertical="center" wrapText="1"/>
    </xf>
    <xf numFmtId="0" fontId="72" fillId="0" borderId="5" xfId="0" applyFont="1" applyBorder="1" applyAlignment="1">
      <alignment horizontal="center" vertical="center" wrapText="1"/>
    </xf>
    <xf numFmtId="0" fontId="74" fillId="0" borderId="5" xfId="0" applyFont="1" applyBorder="1" applyAlignment="1">
      <alignment horizontal="center"/>
    </xf>
    <xf numFmtId="0" fontId="74" fillId="0" borderId="5" xfId="0" applyFont="1" applyBorder="1"/>
    <xf numFmtId="172" fontId="54" fillId="0" borderId="0" xfId="0" applyNumberFormat="1" applyFont="1"/>
    <xf numFmtId="0" fontId="40" fillId="0" borderId="5" xfId="0" applyFont="1" applyFill="1" applyBorder="1"/>
    <xf numFmtId="0" fontId="2" fillId="0" borderId="5" xfId="0" applyFont="1" applyFill="1" applyBorder="1"/>
    <xf numFmtId="0" fontId="75" fillId="0" borderId="5" xfId="0" applyFont="1" applyBorder="1"/>
    <xf numFmtId="0" fontId="76" fillId="0" borderId="0" xfId="0" applyFont="1"/>
    <xf numFmtId="0" fontId="74" fillId="0" borderId="0" xfId="0" applyFont="1"/>
    <xf numFmtId="0" fontId="73"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48" fillId="0" borderId="8" xfId="9" applyNumberFormat="1" applyFont="1" applyFill="1" applyBorder="1" applyAlignment="1">
      <alignment shrinkToFit="1"/>
    </xf>
    <xf numFmtId="0" fontId="31" fillId="0" borderId="0" xfId="6" applyFont="1" applyFill="1" applyAlignment="1">
      <alignment horizontal="center"/>
    </xf>
    <xf numFmtId="0" fontId="73" fillId="0" borderId="5" xfId="0" applyFont="1" applyBorder="1" applyAlignment="1">
      <alignment horizontal="center" vertical="center" wrapText="1"/>
    </xf>
    <xf numFmtId="169" fontId="77" fillId="0" borderId="8" xfId="6" applyNumberFormat="1" applyFont="1" applyFill="1" applyBorder="1" applyAlignment="1">
      <alignment horizontal="right" shrinkToFit="1"/>
    </xf>
    <xf numFmtId="169" fontId="54" fillId="0" borderId="5" xfId="1" applyNumberFormat="1" applyFont="1" applyBorder="1" applyAlignment="1">
      <alignment shrinkToFit="1"/>
    </xf>
    <xf numFmtId="169" fontId="76"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78" fillId="0" borderId="8" xfId="0" applyFont="1" applyBorder="1" applyAlignment="1">
      <alignment horizontal="center" shrinkToFit="1"/>
    </xf>
    <xf numFmtId="0" fontId="78" fillId="0" borderId="8" xfId="0" applyFont="1" applyBorder="1" applyAlignment="1">
      <alignment vertical="center" shrinkToFit="1"/>
    </xf>
    <xf numFmtId="169" fontId="78" fillId="0" borderId="8" xfId="0" applyNumberFormat="1" applyFont="1" applyBorder="1" applyAlignment="1">
      <alignment vertical="center" shrinkToFit="1"/>
    </xf>
    <xf numFmtId="0" fontId="78"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0"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79"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0" fillId="0" borderId="0" xfId="13" applyNumberFormat="1" applyFont="1" applyFill="1" applyAlignment="1">
      <alignment horizontal="right" vertical="center"/>
    </xf>
    <xf numFmtId="0" fontId="82" fillId="0" borderId="8" xfId="5" applyFont="1" applyFill="1" applyBorder="1" applyAlignment="1">
      <alignment horizontal="center" vertical="center" wrapText="1"/>
    </xf>
    <xf numFmtId="0" fontId="83" fillId="0" borderId="8" xfId="5" applyFont="1" applyFill="1" applyBorder="1" applyAlignment="1">
      <alignment vertical="center" wrapText="1"/>
    </xf>
    <xf numFmtId="38" fontId="83" fillId="0" borderId="8" xfId="5" applyNumberFormat="1" applyFont="1" applyFill="1" applyBorder="1" applyAlignment="1">
      <alignment vertical="center" wrapText="1"/>
    </xf>
    <xf numFmtId="0" fontId="83"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4" fillId="0" borderId="8" xfId="5" applyFont="1" applyFill="1" applyBorder="1" applyAlignment="1">
      <alignment vertical="center" wrapText="1"/>
    </xf>
    <xf numFmtId="0" fontId="84" fillId="0" borderId="8" xfId="5" applyFont="1" applyFill="1" applyBorder="1" applyAlignment="1">
      <alignment horizontal="center" vertical="center" wrapText="1"/>
    </xf>
    <xf numFmtId="38" fontId="84" fillId="0" borderId="8" xfId="5" applyNumberFormat="1" applyFont="1" applyFill="1" applyBorder="1" applyAlignment="1">
      <alignment vertical="center" wrapText="1"/>
    </xf>
    <xf numFmtId="38" fontId="84" fillId="2" borderId="8" xfId="5" applyNumberFormat="1" applyFont="1" applyFill="1" applyBorder="1" applyAlignment="1">
      <alignment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4"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7" fillId="0" borderId="0" xfId="0" applyFont="1" applyAlignment="1">
      <alignment horizontal="center" vertical="center"/>
    </xf>
    <xf numFmtId="0" fontId="10" fillId="4" borderId="33"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59" fillId="0" borderId="0" xfId="13" applyNumberFormat="1" applyFont="1" applyFill="1" applyAlignment="1">
      <alignment horizontal="center" vertical="center" wrapText="1"/>
    </xf>
    <xf numFmtId="0" fontId="60" fillId="0" borderId="8" xfId="13" quotePrefix="1" applyFont="1" applyFill="1" applyBorder="1" applyAlignment="1">
      <alignment vertical="justify"/>
    </xf>
    <xf numFmtId="0" fontId="60" fillId="0" borderId="8" xfId="13" applyNumberFormat="1" applyFont="1" applyFill="1" applyBorder="1" applyAlignment="1">
      <alignment vertical="justify"/>
    </xf>
    <xf numFmtId="0" fontId="61" fillId="0" borderId="0" xfId="13" applyNumberFormat="1" applyFont="1" applyFill="1" applyBorder="1" applyAlignment="1">
      <alignment horizontal="right"/>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3" fillId="0" borderId="0" xfId="0" applyFont="1" applyAlignment="1">
      <alignment horizontal="center"/>
    </xf>
    <xf numFmtId="0" fontId="73" fillId="0" borderId="21"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37" xfId="0" applyFont="1" applyBorder="1" applyAlignment="1">
      <alignment horizontal="center" vertical="center" wrapText="1"/>
    </xf>
    <xf numFmtId="0" fontId="72"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0"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166" fontId="2" fillId="0" borderId="0" xfId="1" applyNumberFormat="1" applyFont="1" applyFill="1" applyBorder="1" applyAlignment="1">
      <alignment horizontal="center" vertical="center" wrapText="1"/>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49" customWidth="1"/>
    <col min="2" max="2" width="34.375" style="249" customWidth="1"/>
    <col min="3" max="3" width="11.5" style="249" customWidth="1"/>
    <col min="4" max="8" width="12.625" style="249" customWidth="1"/>
    <col min="9" max="9" width="10.75" style="249" customWidth="1"/>
    <col min="10" max="16384" width="9" style="249"/>
  </cols>
  <sheetData>
    <row r="1" spans="1:11" s="1" customFormat="1" ht="39" customHeight="1" x14ac:dyDescent="0.25">
      <c r="A1" s="960" t="s">
        <v>776</v>
      </c>
      <c r="B1" s="960"/>
      <c r="C1" s="960"/>
      <c r="D1" s="960"/>
      <c r="E1" s="960"/>
      <c r="F1" s="960"/>
      <c r="G1" s="960"/>
      <c r="H1" s="960"/>
      <c r="I1" s="960"/>
      <c r="J1" s="960"/>
      <c r="K1" s="960"/>
    </row>
    <row r="2" spans="1:11" x14ac:dyDescent="0.25">
      <c r="B2" s="287"/>
      <c r="C2" s="569"/>
      <c r="I2" s="562" t="s">
        <v>348</v>
      </c>
    </row>
    <row r="3" spans="1:11" s="7" customFormat="1" ht="21.75" customHeight="1" x14ac:dyDescent="0.25">
      <c r="A3" s="959" t="s">
        <v>272</v>
      </c>
      <c r="B3" s="959" t="s">
        <v>273</v>
      </c>
      <c r="C3" s="962" t="s">
        <v>777</v>
      </c>
      <c r="D3" s="959" t="s">
        <v>719</v>
      </c>
      <c r="E3" s="962" t="s">
        <v>1042</v>
      </c>
      <c r="F3" s="959" t="s">
        <v>779</v>
      </c>
      <c r="G3" s="959" t="s">
        <v>780</v>
      </c>
      <c r="H3" s="959" t="s">
        <v>721</v>
      </c>
      <c r="I3" s="959" t="s">
        <v>781</v>
      </c>
      <c r="J3" s="959" t="s">
        <v>529</v>
      </c>
      <c r="K3" s="959" t="s">
        <v>718</v>
      </c>
    </row>
    <row r="4" spans="1:11" s="7" customFormat="1" ht="15.75" customHeight="1" x14ac:dyDescent="0.25">
      <c r="A4" s="961"/>
      <c r="B4" s="961"/>
      <c r="C4" s="963"/>
      <c r="D4" s="959"/>
      <c r="E4" s="963"/>
      <c r="F4" s="959"/>
      <c r="G4" s="959"/>
      <c r="H4" s="959"/>
      <c r="I4" s="959"/>
      <c r="J4" s="959"/>
      <c r="K4" s="959"/>
    </row>
    <row r="5" spans="1:11" s="7" customFormat="1" ht="79.5" customHeight="1" x14ac:dyDescent="0.25">
      <c r="A5" s="961"/>
      <c r="B5" s="961"/>
      <c r="C5" s="964"/>
      <c r="D5" s="959"/>
      <c r="E5" s="964"/>
      <c r="F5" s="959"/>
      <c r="G5" s="959"/>
      <c r="H5" s="959"/>
      <c r="I5" s="959"/>
      <c r="J5" s="959"/>
      <c r="K5" s="959"/>
    </row>
    <row r="6" spans="1:11" s="573" customFormat="1" x14ac:dyDescent="0.25">
      <c r="A6" s="571">
        <v>1</v>
      </c>
      <c r="B6" s="571">
        <v>2</v>
      </c>
      <c r="C6" s="571">
        <v>3</v>
      </c>
      <c r="D6" s="571">
        <v>4</v>
      </c>
      <c r="E6" s="571">
        <v>5</v>
      </c>
      <c r="F6" s="571">
        <v>6</v>
      </c>
      <c r="G6" s="571" t="s">
        <v>766</v>
      </c>
      <c r="H6" s="571">
        <v>8</v>
      </c>
      <c r="I6" s="572" t="s">
        <v>767</v>
      </c>
      <c r="J6" s="571"/>
      <c r="K6" s="571"/>
    </row>
    <row r="7" spans="1:11" s="18" customFormat="1" ht="20.100000000000001" customHeight="1" x14ac:dyDescent="0.25">
      <c r="A7" s="902" t="s">
        <v>279</v>
      </c>
      <c r="B7" s="822" t="s">
        <v>280</v>
      </c>
      <c r="C7" s="822">
        <f>SUM(C8,C27)</f>
        <v>6797897</v>
      </c>
      <c r="D7" s="822">
        <f>SUM(D8,D27)</f>
        <v>6691300</v>
      </c>
      <c r="E7" s="822">
        <f>SUM(E8,E27)</f>
        <v>5426715</v>
      </c>
      <c r="F7" s="822">
        <f>SUM(F8,F27)</f>
        <v>6535000</v>
      </c>
      <c r="G7" s="903">
        <f t="shared" ref="G7:G13" si="0">F7/D7%</f>
        <v>97.664131035822635</v>
      </c>
      <c r="H7" s="822">
        <f>SUM(H8,H27)</f>
        <v>7085000</v>
      </c>
      <c r="I7" s="903">
        <f>H7/F7*100</f>
        <v>108.41622035195104</v>
      </c>
      <c r="J7" s="822">
        <f>SUM(J8,J27)</f>
        <v>7200000</v>
      </c>
      <c r="K7" s="822">
        <f>SUM(K8,K27)</f>
        <v>7526000</v>
      </c>
    </row>
    <row r="8" spans="1:11" s="18" customFormat="1" ht="20.100000000000001" customHeight="1" x14ac:dyDescent="0.25">
      <c r="A8" s="904" t="s">
        <v>281</v>
      </c>
      <c r="B8" s="823" t="s">
        <v>282</v>
      </c>
      <c r="C8" s="823">
        <f>SUM(C9,C10,C11,C12,C13:C26)</f>
        <v>6690481</v>
      </c>
      <c r="D8" s="823">
        <f>SUM(D9,D10,D11,D12,D13:D26)</f>
        <v>6625300</v>
      </c>
      <c r="E8" s="823">
        <f>SUM(E9,E10,E11,E12,E13:E26)</f>
        <v>5366593</v>
      </c>
      <c r="F8" s="823">
        <f>SUM(F9,F10,F11,F12,F13:F26)</f>
        <v>6469000</v>
      </c>
      <c r="G8" s="905">
        <f t="shared" si="0"/>
        <v>97.640861545892264</v>
      </c>
      <c r="H8" s="823">
        <f>SUM(H9,H10,H11,H12,H13:H26)</f>
        <v>7007000</v>
      </c>
      <c r="I8" s="905">
        <f>H8/F8*100</f>
        <v>108.31658679857783</v>
      </c>
      <c r="J8" s="823">
        <f>SUM(J9,J10,J11,J12,J13:J26)</f>
        <v>7114000</v>
      </c>
      <c r="K8" s="823">
        <f>SUM(K9,K10,K11,K12,K13:K26)</f>
        <v>7431000</v>
      </c>
    </row>
    <row r="9" spans="1:11" s="294" customFormat="1" ht="20.100000000000001" customHeight="1" x14ac:dyDescent="0.25">
      <c r="A9" s="906">
        <v>1</v>
      </c>
      <c r="B9" s="851" t="s">
        <v>768</v>
      </c>
      <c r="C9" s="851">
        <v>204951</v>
      </c>
      <c r="D9" s="851">
        <v>215000</v>
      </c>
      <c r="E9" s="851">
        <v>159323</v>
      </c>
      <c r="F9" s="851">
        <f>'Phụ lục số 1'!H15</f>
        <v>182000</v>
      </c>
      <c r="G9" s="907">
        <f t="shared" si="0"/>
        <v>84.651162790697668</v>
      </c>
      <c r="H9" s="851">
        <f>'Phụ lục số 1'!N15</f>
        <v>195000</v>
      </c>
      <c r="I9" s="907">
        <f t="shared" ref="I9:I29" si="1">H9/F9*100</f>
        <v>107.14285714285714</v>
      </c>
      <c r="J9" s="851">
        <f>'Phụ lục số 1'!T15</f>
        <v>200000</v>
      </c>
      <c r="K9" s="851">
        <f>'Phụ lục số 1'!Z15</f>
        <v>210000</v>
      </c>
    </row>
    <row r="10" spans="1:11" s="294" customFormat="1" ht="20.100000000000001" customHeight="1" x14ac:dyDescent="0.25">
      <c r="A10" s="906">
        <v>2</v>
      </c>
      <c r="B10" s="851" t="s">
        <v>769</v>
      </c>
      <c r="C10" s="851">
        <v>385969</v>
      </c>
      <c r="D10" s="851">
        <v>320000</v>
      </c>
      <c r="E10" s="851">
        <v>315137</v>
      </c>
      <c r="F10" s="851">
        <f>'Phụ lục số 1'!H22</f>
        <v>410000</v>
      </c>
      <c r="G10" s="907">
        <f t="shared" si="0"/>
        <v>128.125</v>
      </c>
      <c r="H10" s="851">
        <f>'Phụ lục số 1'!N22</f>
        <v>440000</v>
      </c>
      <c r="I10" s="907">
        <f t="shared" si="1"/>
        <v>107.31707317073172</v>
      </c>
      <c r="J10" s="851">
        <f>'Phụ lục số 1'!T22</f>
        <v>470000</v>
      </c>
      <c r="K10" s="851">
        <f>'Phụ lục số 1'!Z22</f>
        <v>490000</v>
      </c>
    </row>
    <row r="11" spans="1:11" s="294" customFormat="1" ht="20.100000000000001" customHeight="1" x14ac:dyDescent="0.25">
      <c r="A11" s="906">
        <v>3</v>
      </c>
      <c r="B11" s="851" t="s">
        <v>341</v>
      </c>
      <c r="C11" s="851">
        <v>49684</v>
      </c>
      <c r="D11" s="851">
        <v>31000</v>
      </c>
      <c r="E11" s="851">
        <v>28747</v>
      </c>
      <c r="F11" s="851">
        <f>'Phụ lục số 1'!H29</f>
        <v>31000</v>
      </c>
      <c r="G11" s="907">
        <f t="shared" si="0"/>
        <v>100</v>
      </c>
      <c r="H11" s="851">
        <f>'Phụ lục số 1'!N29</f>
        <v>33000</v>
      </c>
      <c r="I11" s="907">
        <f t="shared" si="1"/>
        <v>106.45161290322579</v>
      </c>
      <c r="J11" s="851">
        <f>'Phụ lục số 1'!T29</f>
        <v>35000</v>
      </c>
      <c r="K11" s="851">
        <f>'Phụ lục số 1'!Z29</f>
        <v>37000</v>
      </c>
    </row>
    <row r="12" spans="1:11" s="9" customFormat="1" ht="20.100000000000001" customHeight="1" x14ac:dyDescent="0.25">
      <c r="A12" s="906">
        <v>4</v>
      </c>
      <c r="B12" s="851" t="s">
        <v>770</v>
      </c>
      <c r="C12" s="851">
        <v>895448</v>
      </c>
      <c r="D12" s="851">
        <v>860000</v>
      </c>
      <c r="E12" s="851">
        <v>680733</v>
      </c>
      <c r="F12" s="851">
        <f>'Phụ lục số 1'!H35</f>
        <v>900000</v>
      </c>
      <c r="G12" s="907">
        <f t="shared" si="0"/>
        <v>104.65116279069767</v>
      </c>
      <c r="H12" s="851">
        <f>'Phụ lục số 1'!N35</f>
        <v>960000</v>
      </c>
      <c r="I12" s="907">
        <f>H12/F12*100</f>
        <v>106.66666666666667</v>
      </c>
      <c r="J12" s="851">
        <f>'Phụ lục số 1'!T35</f>
        <v>970000</v>
      </c>
      <c r="K12" s="851">
        <f>'Phụ lục số 1'!Z35</f>
        <v>1020000</v>
      </c>
    </row>
    <row r="13" spans="1:11" s="294" customFormat="1" ht="20.100000000000001" customHeight="1" x14ac:dyDescent="0.25">
      <c r="A13" s="906">
        <v>5</v>
      </c>
      <c r="B13" s="851" t="s">
        <v>289</v>
      </c>
      <c r="C13" s="851">
        <v>209580</v>
      </c>
      <c r="D13" s="851">
        <v>242800</v>
      </c>
      <c r="E13" s="851">
        <v>168818</v>
      </c>
      <c r="F13" s="851">
        <f>'Phụ lục số 1'!H42</f>
        <v>220000</v>
      </c>
      <c r="G13" s="907">
        <f t="shared" si="0"/>
        <v>90.609555189456344</v>
      </c>
      <c r="H13" s="851">
        <f>'Phụ lục số 1'!N42</f>
        <v>240000</v>
      </c>
      <c r="I13" s="907">
        <f t="shared" si="1"/>
        <v>109.09090909090908</v>
      </c>
      <c r="J13" s="851">
        <f>'Phụ lục số 1'!T42</f>
        <v>245000</v>
      </c>
      <c r="K13" s="851">
        <f>'Phụ lục số 1'!Z42</f>
        <v>260000</v>
      </c>
    </row>
    <row r="14" spans="1:11" s="294" customFormat="1" ht="20.100000000000001" customHeight="1" x14ac:dyDescent="0.25">
      <c r="A14" s="906">
        <v>6</v>
      </c>
      <c r="B14" s="851" t="s">
        <v>342</v>
      </c>
      <c r="C14" s="851">
        <v>694</v>
      </c>
      <c r="D14" s="851">
        <v>0</v>
      </c>
      <c r="E14" s="851">
        <v>477</v>
      </c>
      <c r="F14" s="851">
        <f>'Phụ lục số 1'!H43</f>
        <v>500</v>
      </c>
      <c r="G14" s="907"/>
      <c r="H14" s="851">
        <f>'Phụ lục số 1'!N43</f>
        <v>0</v>
      </c>
      <c r="I14" s="907"/>
      <c r="J14" s="851">
        <f>'Phụ lục số 1'!T43</f>
        <v>0</v>
      </c>
      <c r="K14" s="851">
        <f>'Phụ lục số 1'!Z43</f>
        <v>0</v>
      </c>
    </row>
    <row r="15" spans="1:11" s="294" customFormat="1" ht="20.100000000000001" customHeight="1" x14ac:dyDescent="0.25">
      <c r="A15" s="906">
        <v>7</v>
      </c>
      <c r="B15" s="851" t="s">
        <v>771</v>
      </c>
      <c r="C15" s="851">
        <v>9773</v>
      </c>
      <c r="D15" s="851">
        <v>8500</v>
      </c>
      <c r="E15" s="851">
        <v>8612</v>
      </c>
      <c r="F15" s="851">
        <f>'Phụ lục số 1'!H44</f>
        <v>9000</v>
      </c>
      <c r="G15" s="907">
        <f t="shared" ref="G15:G20" si="2">F15/D15%</f>
        <v>105.88235294117646</v>
      </c>
      <c r="H15" s="851">
        <f>'Phụ lục số 1'!N44</f>
        <v>6000</v>
      </c>
      <c r="I15" s="907">
        <f t="shared" si="1"/>
        <v>66.666666666666657</v>
      </c>
      <c r="J15" s="851">
        <f>'Phụ lục số 1'!T44</f>
        <v>6000</v>
      </c>
      <c r="K15" s="851">
        <f>'Phụ lục số 1'!Z44</f>
        <v>6000</v>
      </c>
    </row>
    <row r="16" spans="1:11" s="294" customFormat="1" ht="20.100000000000001" customHeight="1" x14ac:dyDescent="0.25">
      <c r="A16" s="906">
        <v>8</v>
      </c>
      <c r="B16" s="851" t="s">
        <v>405</v>
      </c>
      <c r="C16" s="851">
        <v>382110</v>
      </c>
      <c r="D16" s="851">
        <v>445000</v>
      </c>
      <c r="E16" s="851">
        <v>365893</v>
      </c>
      <c r="F16" s="851">
        <f>'Phụ lục số 1'!H45</f>
        <v>470000</v>
      </c>
      <c r="G16" s="907">
        <f t="shared" si="2"/>
        <v>105.61797752808988</v>
      </c>
      <c r="H16" s="851">
        <f>'Phụ lục số 1'!N45</f>
        <v>521000</v>
      </c>
      <c r="I16" s="907">
        <f t="shared" si="1"/>
        <v>110.85106382978725</v>
      </c>
      <c r="J16" s="851">
        <f>'Phụ lục số 1'!T45</f>
        <v>530000</v>
      </c>
      <c r="K16" s="851">
        <f>'Phụ lục số 1'!Z45</f>
        <v>540000</v>
      </c>
    </row>
    <row r="17" spans="1:11" s="294" customFormat="1" x14ac:dyDescent="0.25">
      <c r="A17" s="906">
        <v>9</v>
      </c>
      <c r="B17" s="851" t="s">
        <v>772</v>
      </c>
      <c r="C17" s="851">
        <v>1947905</v>
      </c>
      <c r="D17" s="851">
        <v>2332000</v>
      </c>
      <c r="E17" s="851">
        <v>1296709</v>
      </c>
      <c r="F17" s="851">
        <f>'Phụ lục số 1'!H46</f>
        <v>1700000</v>
      </c>
      <c r="G17" s="907">
        <f t="shared" si="2"/>
        <v>72.898799313893647</v>
      </c>
      <c r="H17" s="851">
        <f>'Phụ lục số 1'!N46</f>
        <v>2280000</v>
      </c>
      <c r="I17" s="907">
        <f t="shared" si="1"/>
        <v>134.11764705882351</v>
      </c>
      <c r="J17" s="851">
        <f>'Phụ lục số 1'!T46</f>
        <v>2300000</v>
      </c>
      <c r="K17" s="851">
        <f>'Phụ lục số 1'!Z46</f>
        <v>2500000</v>
      </c>
    </row>
    <row r="18" spans="1:11" s="294" customFormat="1" x14ac:dyDescent="0.25">
      <c r="A18" s="906">
        <v>10</v>
      </c>
      <c r="B18" s="851" t="s">
        <v>290</v>
      </c>
      <c r="C18" s="851">
        <v>231914</v>
      </c>
      <c r="D18" s="851">
        <v>175000</v>
      </c>
      <c r="E18" s="851">
        <v>117839</v>
      </c>
      <c r="F18" s="851">
        <f>'Phụ lục số 1'!H47</f>
        <v>170000</v>
      </c>
      <c r="G18" s="907">
        <f t="shared" si="2"/>
        <v>97.142857142857139</v>
      </c>
      <c r="H18" s="851">
        <f>'Phụ lục số 1'!N47</f>
        <v>180000</v>
      </c>
      <c r="I18" s="907">
        <f t="shared" si="1"/>
        <v>105.88235294117648</v>
      </c>
      <c r="J18" s="851">
        <f>'Phụ lục số 1'!T47</f>
        <v>190000</v>
      </c>
      <c r="K18" s="851">
        <f>'Phụ lục số 1'!Z47</f>
        <v>200000</v>
      </c>
    </row>
    <row r="19" spans="1:11" s="294" customFormat="1" x14ac:dyDescent="0.25">
      <c r="A19" s="906">
        <v>11</v>
      </c>
      <c r="B19" s="851" t="s">
        <v>291</v>
      </c>
      <c r="C19" s="851">
        <v>639660</v>
      </c>
      <c r="D19" s="851">
        <v>450000</v>
      </c>
      <c r="E19" s="851">
        <v>569664</v>
      </c>
      <c r="F19" s="851">
        <f>'Phụ lục số 1'!H48</f>
        <v>600000</v>
      </c>
      <c r="G19" s="907">
        <f t="shared" si="2"/>
        <v>133.33333333333334</v>
      </c>
      <c r="H19" s="851">
        <f>'Phụ lục số 1'!N48</f>
        <v>450000</v>
      </c>
      <c r="I19" s="907">
        <f>H19/F19*100</f>
        <v>75</v>
      </c>
      <c r="J19" s="851">
        <f>'Phụ lục số 1'!T48</f>
        <v>450000</v>
      </c>
      <c r="K19" s="851">
        <f>'Phụ lục số 1'!Z48</f>
        <v>450000</v>
      </c>
    </row>
    <row r="20" spans="1:11" s="294" customFormat="1" x14ac:dyDescent="0.25">
      <c r="A20" s="906">
        <v>12</v>
      </c>
      <c r="B20" s="851" t="s">
        <v>407</v>
      </c>
      <c r="C20" s="851">
        <v>61238</v>
      </c>
      <c r="D20" s="851">
        <v>65000</v>
      </c>
      <c r="E20" s="851">
        <v>278650</v>
      </c>
      <c r="F20" s="851">
        <f>'Phụ lục số 1'!H49</f>
        <v>160000</v>
      </c>
      <c r="G20" s="907">
        <f t="shared" si="2"/>
        <v>246.15384615384616</v>
      </c>
      <c r="H20" s="851">
        <f>'Phụ lục số 1'!N49</f>
        <v>70000</v>
      </c>
      <c r="I20" s="907">
        <f>H20/F20*100</f>
        <v>43.75</v>
      </c>
      <c r="J20" s="851">
        <f>'Phụ lục số 1'!T49</f>
        <v>70000</v>
      </c>
      <c r="K20" s="851">
        <f>'Phụ lục số 1'!Z49</f>
        <v>70000</v>
      </c>
    </row>
    <row r="21" spans="1:11" s="294" customFormat="1" x14ac:dyDescent="0.25">
      <c r="A21" s="906">
        <v>13</v>
      </c>
      <c r="B21" s="851" t="s">
        <v>395</v>
      </c>
      <c r="C21" s="851">
        <v>2247</v>
      </c>
      <c r="D21" s="851">
        <v>0</v>
      </c>
      <c r="E21" s="851">
        <v>684</v>
      </c>
      <c r="F21" s="851">
        <f>'Phụ lục số 1'!H50</f>
        <v>600</v>
      </c>
      <c r="G21" s="907"/>
      <c r="H21" s="851">
        <f>'Phụ lục số 1'!N50</f>
        <v>0</v>
      </c>
      <c r="I21" s="907"/>
      <c r="J21" s="851">
        <f>'Phụ lục số 1'!T50</f>
        <v>0</v>
      </c>
      <c r="K21" s="851">
        <f>'Phụ lục số 1'!Z50</f>
        <v>0</v>
      </c>
    </row>
    <row r="22" spans="1:11" s="294" customFormat="1" x14ac:dyDescent="0.25">
      <c r="A22" s="906">
        <v>14</v>
      </c>
      <c r="B22" s="851" t="s">
        <v>214</v>
      </c>
      <c r="C22" s="851">
        <v>171619</v>
      </c>
      <c r="D22" s="851">
        <v>180000</v>
      </c>
      <c r="E22" s="851">
        <v>171740</v>
      </c>
      <c r="F22" s="851">
        <f>'Phụ lục số 1'!H51</f>
        <v>220000</v>
      </c>
      <c r="G22" s="907">
        <f>F22/D22%</f>
        <v>122.22222222222223</v>
      </c>
      <c r="H22" s="851">
        <f>'Phụ lục số 1'!N51</f>
        <v>236000</v>
      </c>
      <c r="I22" s="907">
        <f>H22/F22*100</f>
        <v>107.27272727272728</v>
      </c>
      <c r="J22" s="851">
        <f>'Phụ lục số 1'!T51</f>
        <v>240000</v>
      </c>
      <c r="K22" s="851">
        <f>'Phụ lục số 1'!Z51</f>
        <v>240000</v>
      </c>
    </row>
    <row r="23" spans="1:11" s="294" customFormat="1" x14ac:dyDescent="0.25">
      <c r="A23" s="908">
        <v>15</v>
      </c>
      <c r="B23" s="797" t="s">
        <v>545</v>
      </c>
      <c r="C23" s="851">
        <v>0</v>
      </c>
      <c r="D23" s="851">
        <v>4000</v>
      </c>
      <c r="E23" s="851">
        <v>43295</v>
      </c>
      <c r="F23" s="851">
        <f>'Phụ lục số 1'!H52</f>
        <v>44700</v>
      </c>
      <c r="G23" s="907"/>
      <c r="H23" s="851">
        <f>'Phụ lục số 1'!N52</f>
        <v>4500</v>
      </c>
      <c r="I23" s="907"/>
      <c r="J23" s="851">
        <f>'Phụ lục số 1'!T52</f>
        <v>4500</v>
      </c>
      <c r="K23" s="851">
        <f>'Phụ lục số 1'!Z52</f>
        <v>4500</v>
      </c>
    </row>
    <row r="24" spans="1:11" s="294" customFormat="1" x14ac:dyDescent="0.25">
      <c r="A24" s="908">
        <v>16</v>
      </c>
      <c r="B24" s="797" t="s">
        <v>546</v>
      </c>
      <c r="C24" s="851">
        <v>0</v>
      </c>
      <c r="D24" s="851">
        <v>8000</v>
      </c>
      <c r="E24" s="851">
        <v>42840</v>
      </c>
      <c r="F24" s="851">
        <f>'Phụ lục số 1'!H53</f>
        <v>8000</v>
      </c>
      <c r="G24" s="907"/>
      <c r="H24" s="851">
        <f>'Phụ lục số 1'!N53</f>
        <v>8000</v>
      </c>
      <c r="I24" s="907"/>
      <c r="J24" s="851">
        <f>'Phụ lục số 1'!T53</f>
        <v>0</v>
      </c>
      <c r="K24" s="851">
        <f>'Phụ lục số 1'!Z53</f>
        <v>0</v>
      </c>
    </row>
    <row r="25" spans="1:11" s="575" customFormat="1" x14ac:dyDescent="0.25">
      <c r="A25" s="906">
        <v>15</v>
      </c>
      <c r="B25" s="851" t="s">
        <v>293</v>
      </c>
      <c r="C25" s="851">
        <v>19793</v>
      </c>
      <c r="D25" s="851">
        <v>19000</v>
      </c>
      <c r="E25" s="851">
        <v>1364</v>
      </c>
      <c r="F25" s="851">
        <f>'Phụ lục số 1'!H54</f>
        <v>3200</v>
      </c>
      <c r="G25" s="907">
        <f>F25/D25%</f>
        <v>16.842105263157894</v>
      </c>
      <c r="H25" s="851">
        <f>'Phụ lục số 1'!N54</f>
        <v>3500</v>
      </c>
      <c r="I25" s="907">
        <f>H25/F25*100</f>
        <v>109.375</v>
      </c>
      <c r="J25" s="851">
        <f>'Phụ lục số 1'!T54</f>
        <v>3500</v>
      </c>
      <c r="K25" s="851">
        <f>'Phụ lục số 1'!Z54</f>
        <v>3500</v>
      </c>
    </row>
    <row r="26" spans="1:11" s="294" customFormat="1" x14ac:dyDescent="0.25">
      <c r="A26" s="906">
        <v>16</v>
      </c>
      <c r="B26" s="851" t="s">
        <v>67</v>
      </c>
      <c r="C26" s="851">
        <v>1477896</v>
      </c>
      <c r="D26" s="851">
        <v>1270000</v>
      </c>
      <c r="E26" s="851">
        <v>1116068</v>
      </c>
      <c r="F26" s="851">
        <f>'Phụ lục số 1'!H55</f>
        <v>1340000</v>
      </c>
      <c r="G26" s="907">
        <f>F26/D26%</f>
        <v>105.51181102362204</v>
      </c>
      <c r="H26" s="851">
        <f>'Phụ lục số 1'!N55</f>
        <v>1380000</v>
      </c>
      <c r="I26" s="907">
        <f>H26/F26*100</f>
        <v>102.98507462686568</v>
      </c>
      <c r="J26" s="851">
        <f>'Phụ lục số 1'!T55</f>
        <v>1400000</v>
      </c>
      <c r="K26" s="851">
        <f>'Phụ lục số 1'!Z55</f>
        <v>1400000</v>
      </c>
    </row>
    <row r="27" spans="1:11" s="40" customFormat="1" x14ac:dyDescent="0.25">
      <c r="A27" s="904" t="s">
        <v>294</v>
      </c>
      <c r="B27" s="823" t="s">
        <v>773</v>
      </c>
      <c r="C27" s="823">
        <v>107416</v>
      </c>
      <c r="D27" s="823">
        <v>66000</v>
      </c>
      <c r="E27" s="827">
        <v>60122</v>
      </c>
      <c r="F27" s="823">
        <f>'Phụ lục số 1'!H56</f>
        <v>66000</v>
      </c>
      <c r="G27" s="905">
        <f>F27/D27%</f>
        <v>100</v>
      </c>
      <c r="H27" s="823">
        <f>'Phụ lục số 1'!N56</f>
        <v>78000</v>
      </c>
      <c r="I27" s="905">
        <f t="shared" si="1"/>
        <v>118.18181818181819</v>
      </c>
      <c r="J27" s="823">
        <f>'Phụ lục số 1'!T56</f>
        <v>86000</v>
      </c>
      <c r="K27" s="823">
        <f>'Phụ lục số 1'!Z56</f>
        <v>95000</v>
      </c>
    </row>
    <row r="28" spans="1:11" s="18" customFormat="1" x14ac:dyDescent="0.25">
      <c r="A28" s="904" t="s">
        <v>295</v>
      </c>
      <c r="B28" s="823" t="s">
        <v>296</v>
      </c>
      <c r="C28" s="823"/>
      <c r="D28" s="823">
        <f>SUM(D29,D30)</f>
        <v>6694954</v>
      </c>
      <c r="E28" s="823">
        <f>SUM(E29,E30)</f>
        <v>2674772</v>
      </c>
      <c r="F28" s="823">
        <f>SUM(F29,F30)</f>
        <v>6759032</v>
      </c>
      <c r="G28" s="905"/>
      <c r="H28" s="823">
        <f>SUM(H29,H30)</f>
        <v>6498723</v>
      </c>
      <c r="I28" s="905"/>
      <c r="J28" s="823">
        <f>SUM(J29,J30)</f>
        <v>6298370</v>
      </c>
      <c r="K28" s="823">
        <f>SUM(K29,K30)</f>
        <v>6298370</v>
      </c>
    </row>
    <row r="29" spans="1:11" s="9" customFormat="1" x14ac:dyDescent="0.25">
      <c r="A29" s="906" t="s">
        <v>281</v>
      </c>
      <c r="B29" s="851" t="s">
        <v>297</v>
      </c>
      <c r="C29" s="851"/>
      <c r="D29" s="798">
        <f>4693126</f>
        <v>4693126</v>
      </c>
      <c r="E29" s="823">
        <f>'[1]Thu NSNN'!$H$59</f>
        <v>2503126</v>
      </c>
      <c r="F29" s="823">
        <f>'Phụ lục số 1'!H60</f>
        <v>4693126</v>
      </c>
      <c r="G29" s="905">
        <f>F29/D29%</f>
        <v>100</v>
      </c>
      <c r="H29" s="823">
        <f>'Phụ lục số 1'!N60</f>
        <v>4693126</v>
      </c>
      <c r="I29" s="905">
        <f t="shared" si="1"/>
        <v>100</v>
      </c>
      <c r="J29" s="823">
        <f>'Phụ lục số 1'!T60</f>
        <v>4693126</v>
      </c>
      <c r="K29" s="823">
        <f>'Phụ lục số 1'!Z60</f>
        <v>4693126</v>
      </c>
    </row>
    <row r="30" spans="1:11" s="9" customFormat="1" x14ac:dyDescent="0.25">
      <c r="A30" s="906" t="s">
        <v>294</v>
      </c>
      <c r="B30" s="851" t="s">
        <v>298</v>
      </c>
      <c r="C30" s="851"/>
      <c r="D30" s="823">
        <f>SUM(D31:D35)</f>
        <v>2001828</v>
      </c>
      <c r="E30" s="823">
        <f>SUM(E31:E35)</f>
        <v>171646</v>
      </c>
      <c r="F30" s="823">
        <f>SUM(F31:F35)</f>
        <v>2065906</v>
      </c>
      <c r="G30" s="905"/>
      <c r="H30" s="823">
        <f>SUM(H31:H35)</f>
        <v>1805597</v>
      </c>
      <c r="I30" s="905"/>
      <c r="J30" s="823">
        <f>SUM(J31:J35)</f>
        <v>1605244</v>
      </c>
      <c r="K30" s="823">
        <f>SUM(K31:K35)</f>
        <v>1605244</v>
      </c>
    </row>
    <row r="31" spans="1:11" s="9" customFormat="1" x14ac:dyDescent="0.25">
      <c r="A31" s="909">
        <v>1</v>
      </c>
      <c r="B31" s="852" t="s">
        <v>480</v>
      </c>
      <c r="C31" s="852"/>
      <c r="D31" s="788">
        <v>158489</v>
      </c>
      <c r="E31" s="788">
        <f>'[1]Thu NSNN'!H61</f>
        <v>80319</v>
      </c>
      <c r="F31" s="788">
        <f>'Phụ lục số 1'!H62</f>
        <v>158489</v>
      </c>
      <c r="G31" s="847"/>
      <c r="H31" s="788">
        <f>'Phụ lục số 1'!N62</f>
        <v>237567</v>
      </c>
      <c r="I31" s="847"/>
      <c r="J31" s="788">
        <f>'Phụ lục số 1'!T62</f>
        <v>237567</v>
      </c>
      <c r="K31" s="788">
        <f>'Phụ lục số 1'!Z62</f>
        <v>237567</v>
      </c>
    </row>
    <row r="32" spans="1:11" s="26" customFormat="1" x14ac:dyDescent="0.25">
      <c r="A32" s="910">
        <v>2</v>
      </c>
      <c r="B32" s="788" t="s">
        <v>382</v>
      </c>
      <c r="C32" s="788"/>
      <c r="D32" s="788">
        <v>1503647</v>
      </c>
      <c r="E32" s="788">
        <f>'[1]Thu NSNN'!H62</f>
        <v>86900</v>
      </c>
      <c r="F32" s="788">
        <f>'Phụ lục số 1'!H63</f>
        <v>1503647</v>
      </c>
      <c r="G32" s="847"/>
      <c r="H32" s="788">
        <f>'Phụ lục số 1'!N63</f>
        <v>849684</v>
      </c>
      <c r="I32" s="847"/>
      <c r="J32" s="788">
        <f>'Phụ lục số 1'!T63</f>
        <v>849684</v>
      </c>
      <c r="K32" s="788">
        <f>'Phụ lục số 1'!Z63</f>
        <v>849684</v>
      </c>
    </row>
    <row r="33" spans="1:11" s="26" customFormat="1" x14ac:dyDescent="0.25">
      <c r="A33" s="910">
        <v>3</v>
      </c>
      <c r="B33" s="788" t="s">
        <v>378</v>
      </c>
      <c r="C33" s="788"/>
      <c r="D33" s="788">
        <v>245237</v>
      </c>
      <c r="E33" s="788">
        <f>'[1]Thu NSNN'!H63</f>
        <v>4427</v>
      </c>
      <c r="F33" s="788">
        <f>'Phụ lục số 1'!H64</f>
        <v>245237</v>
      </c>
      <c r="G33" s="847"/>
      <c r="H33" s="788">
        <f>'Phụ lục số 1'!N64</f>
        <v>517993</v>
      </c>
      <c r="I33" s="847"/>
      <c r="J33" s="788">
        <f>'Phụ lục số 1'!T64</f>
        <v>517993</v>
      </c>
      <c r="K33" s="788">
        <f>'Phụ lục số 1'!Z64</f>
        <v>517993</v>
      </c>
    </row>
    <row r="34" spans="1:11" s="26" customFormat="1" x14ac:dyDescent="0.25">
      <c r="A34" s="910">
        <v>4</v>
      </c>
      <c r="B34" s="788" t="s">
        <v>782</v>
      </c>
      <c r="C34" s="788"/>
      <c r="D34" s="788">
        <v>94455</v>
      </c>
      <c r="E34" s="788">
        <f>'[1]Thu NSNN'!H64</f>
        <v>0</v>
      </c>
      <c r="F34" s="788">
        <f>'Phụ lục số 1'!H65</f>
        <v>158533</v>
      </c>
      <c r="G34" s="847"/>
      <c r="H34" s="788">
        <f>'Phụ lục số 1'!N65</f>
        <v>200353</v>
      </c>
      <c r="I34" s="847"/>
      <c r="J34" s="788">
        <f>'Phụ lục số 1'!T65</f>
        <v>0</v>
      </c>
      <c r="K34" s="788">
        <f>'Phụ lục số 1'!Z65</f>
        <v>0</v>
      </c>
    </row>
    <row r="35" spans="1:11" s="26" customFormat="1" x14ac:dyDescent="0.25">
      <c r="A35" s="910">
        <v>5</v>
      </c>
      <c r="B35" s="788" t="s">
        <v>774</v>
      </c>
      <c r="C35" s="788"/>
      <c r="D35" s="788"/>
      <c r="E35" s="788"/>
      <c r="F35" s="788"/>
      <c r="G35" s="847"/>
      <c r="H35" s="788"/>
      <c r="I35" s="847"/>
      <c r="J35" s="788"/>
      <c r="K35" s="788"/>
    </row>
    <row r="36" spans="1:11" s="18" customFormat="1" x14ac:dyDescent="0.25">
      <c r="A36" s="911" t="s">
        <v>299</v>
      </c>
      <c r="B36" s="823" t="s">
        <v>775</v>
      </c>
      <c r="C36" s="823"/>
      <c r="D36" s="823">
        <f>'Phụ lục số 1'!C66</f>
        <v>236361</v>
      </c>
      <c r="E36" s="823"/>
      <c r="F36" s="823">
        <f>'Phụ lục số 1'!H66</f>
        <v>236361</v>
      </c>
      <c r="G36" s="905"/>
      <c r="H36" s="823">
        <f>'Phụ lục số 1'!N66</f>
        <v>353947</v>
      </c>
      <c r="I36" s="905"/>
      <c r="J36" s="823">
        <f>'Phụ lục số 1'!T66</f>
        <v>290502</v>
      </c>
      <c r="K36" s="823">
        <f>'Phụ lục số 1'!Z66</f>
        <v>154280</v>
      </c>
    </row>
    <row r="37" spans="1:11" s="18" customFormat="1" x14ac:dyDescent="0.25">
      <c r="A37" s="912"/>
      <c r="B37" s="913" t="s">
        <v>528</v>
      </c>
      <c r="C37" s="913"/>
      <c r="D37" s="914">
        <f>SUM(D7,D28,D36)</f>
        <v>13622615</v>
      </c>
      <c r="E37" s="914"/>
      <c r="F37" s="914">
        <f>SUM(F7,F28,F36)</f>
        <v>13530393</v>
      </c>
      <c r="G37" s="914"/>
      <c r="H37" s="914">
        <f>SUM(H7,H28,H36)</f>
        <v>13937670</v>
      </c>
      <c r="I37" s="915"/>
      <c r="J37" s="914">
        <f>SUM(J7,J28,J36)</f>
        <v>13788872</v>
      </c>
      <c r="K37" s="914">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03" t="s">
        <v>1081</v>
      </c>
      <c r="B1" s="1003"/>
      <c r="C1" s="1003"/>
      <c r="D1" s="1003"/>
      <c r="E1" s="1003"/>
      <c r="F1" s="1003"/>
      <c r="G1" s="1003"/>
      <c r="H1" s="1003"/>
      <c r="I1" s="1003"/>
      <c r="J1" s="1003"/>
      <c r="K1" s="1003"/>
      <c r="L1" s="1003"/>
      <c r="M1" s="1003"/>
      <c r="N1" s="1003"/>
      <c r="O1" s="1003"/>
      <c r="P1" s="1003"/>
      <c r="Q1" s="1003"/>
      <c r="R1" s="43"/>
      <c r="S1" s="43"/>
      <c r="T1" s="43"/>
      <c r="U1" s="43"/>
      <c r="V1" s="43"/>
      <c r="W1" s="43"/>
    </row>
    <row r="2" spans="1:29" x14ac:dyDescent="0.25">
      <c r="A2" s="13"/>
      <c r="B2" s="13"/>
      <c r="C2" s="13"/>
      <c r="D2" s="13"/>
      <c r="E2" s="13"/>
      <c r="F2" s="13"/>
      <c r="G2" s="43"/>
      <c r="H2" s="3"/>
      <c r="I2" s="976" t="s">
        <v>363</v>
      </c>
      <c r="J2" s="976"/>
      <c r="K2" s="976"/>
      <c r="L2" s="324"/>
      <c r="M2" s="324"/>
      <c r="N2" s="324"/>
      <c r="O2" s="324"/>
      <c r="P2" s="324"/>
      <c r="Q2" s="324"/>
      <c r="R2" s="43"/>
      <c r="S2" s="43"/>
      <c r="T2" s="43"/>
      <c r="U2" s="43"/>
      <c r="V2" s="43"/>
      <c r="W2" s="43"/>
    </row>
    <row r="3" spans="1:29" s="47" customFormat="1" ht="17.25" customHeight="1" x14ac:dyDescent="0.25">
      <c r="A3" s="1004" t="s">
        <v>326</v>
      </c>
      <c r="B3" s="1004" t="s">
        <v>327</v>
      </c>
      <c r="C3" s="1006" t="s">
        <v>524</v>
      </c>
      <c r="D3" s="1006"/>
      <c r="E3" s="1006"/>
      <c r="F3" s="1000" t="s">
        <v>731</v>
      </c>
      <c r="G3" s="1001"/>
      <c r="H3" s="1002"/>
      <c r="I3" s="1000" t="s">
        <v>732</v>
      </c>
      <c r="J3" s="1001"/>
      <c r="K3" s="1002"/>
      <c r="L3" s="1000" t="s">
        <v>531</v>
      </c>
      <c r="M3" s="1001"/>
      <c r="N3" s="1002"/>
      <c r="O3" s="1000" t="s">
        <v>733</v>
      </c>
      <c r="P3" s="1001"/>
      <c r="Q3" s="1002"/>
      <c r="R3" s="1000" t="s">
        <v>762</v>
      </c>
      <c r="S3" s="1001"/>
      <c r="T3" s="1002"/>
      <c r="U3" s="1000" t="s">
        <v>763</v>
      </c>
      <c r="V3" s="1001"/>
      <c r="W3" s="1002"/>
      <c r="X3" s="1000" t="s">
        <v>764</v>
      </c>
      <c r="Y3" s="1001"/>
      <c r="Z3" s="1002"/>
      <c r="AA3" s="1000" t="s">
        <v>765</v>
      </c>
      <c r="AB3" s="1001"/>
      <c r="AC3" s="1002"/>
    </row>
    <row r="4" spans="1:29" s="47" customFormat="1" x14ac:dyDescent="0.25">
      <c r="A4" s="1005"/>
      <c r="B4" s="1005"/>
      <c r="C4" s="44" t="s">
        <v>328</v>
      </c>
      <c r="D4" s="52" t="s">
        <v>373</v>
      </c>
      <c r="E4" s="52" t="s">
        <v>374</v>
      </c>
      <c r="F4" s="44" t="s">
        <v>328</v>
      </c>
      <c r="G4" s="52" t="s">
        <v>373</v>
      </c>
      <c r="H4" s="52" t="s">
        <v>374</v>
      </c>
      <c r="I4" s="44" t="s">
        <v>328</v>
      </c>
      <c r="J4" s="52" t="s">
        <v>373</v>
      </c>
      <c r="K4" s="52" t="s">
        <v>374</v>
      </c>
      <c r="L4" s="323" t="s">
        <v>328</v>
      </c>
      <c r="M4" s="52" t="s">
        <v>373</v>
      </c>
      <c r="N4" s="52" t="s">
        <v>374</v>
      </c>
      <c r="O4" s="323" t="s">
        <v>328</v>
      </c>
      <c r="P4" s="52" t="s">
        <v>373</v>
      </c>
      <c r="Q4" s="52" t="s">
        <v>374</v>
      </c>
      <c r="R4" s="44" t="s">
        <v>328</v>
      </c>
      <c r="S4" s="51" t="s">
        <v>329</v>
      </c>
      <c r="T4" s="51" t="s">
        <v>330</v>
      </c>
      <c r="U4" s="44" t="s">
        <v>328</v>
      </c>
      <c r="V4" s="51" t="s">
        <v>329</v>
      </c>
      <c r="W4" s="51" t="s">
        <v>330</v>
      </c>
      <c r="X4" s="325" t="s">
        <v>328</v>
      </c>
      <c r="Y4" s="326" t="s">
        <v>329</v>
      </c>
      <c r="Z4" s="326" t="s">
        <v>330</v>
      </c>
      <c r="AA4" s="325" t="s">
        <v>328</v>
      </c>
      <c r="AB4" s="326" t="s">
        <v>329</v>
      </c>
      <c r="AC4" s="326" t="s">
        <v>330</v>
      </c>
    </row>
    <row r="5" spans="1:29" s="47" customFormat="1" x14ac:dyDescent="0.25">
      <c r="A5" s="53" t="s">
        <v>279</v>
      </c>
      <c r="B5" s="55" t="s">
        <v>364</v>
      </c>
      <c r="C5" s="833">
        <f t="shared" ref="C5:Q5" si="0">SUM(C7,C11,C15,C16)</f>
        <v>15909776</v>
      </c>
      <c r="D5" s="833">
        <f t="shared" si="0"/>
        <v>10234051</v>
      </c>
      <c r="E5" s="833">
        <f t="shared" si="0"/>
        <v>5675725</v>
      </c>
      <c r="F5" s="833">
        <f t="shared" si="0"/>
        <v>16246550</v>
      </c>
      <c r="G5" s="833">
        <f t="shared" si="0"/>
        <v>10346285</v>
      </c>
      <c r="H5" s="833">
        <f t="shared" si="0"/>
        <v>5900265</v>
      </c>
      <c r="I5" s="833">
        <f t="shared" si="0"/>
        <v>16453610</v>
      </c>
      <c r="J5" s="833">
        <f>SUM(J7,J11,J15,J16)</f>
        <v>10357034</v>
      </c>
      <c r="K5" s="833">
        <f>SUM(K7,K11,K15,K16)</f>
        <v>6096576</v>
      </c>
      <c r="L5" s="833">
        <f t="shared" si="0"/>
        <v>16208237</v>
      </c>
      <c r="M5" s="833">
        <f t="shared" si="0"/>
        <v>10306397</v>
      </c>
      <c r="N5" s="833">
        <f t="shared" si="0"/>
        <v>5901840</v>
      </c>
      <c r="O5" s="833">
        <f t="shared" si="0"/>
        <v>16162845</v>
      </c>
      <c r="P5" s="833">
        <f t="shared" si="0"/>
        <v>10261005</v>
      </c>
      <c r="Q5" s="833">
        <f t="shared" si="0"/>
        <v>5901840</v>
      </c>
      <c r="R5" s="834" t="s">
        <v>1043</v>
      </c>
      <c r="S5" s="835"/>
      <c r="T5" s="836"/>
      <c r="U5" s="834" t="s">
        <v>1044</v>
      </c>
      <c r="V5" s="835"/>
      <c r="W5" s="836"/>
      <c r="X5" s="834" t="s">
        <v>544</v>
      </c>
      <c r="Y5" s="835"/>
      <c r="Z5" s="836"/>
      <c r="AA5" s="834" t="s">
        <v>544</v>
      </c>
      <c r="AB5" s="835"/>
      <c r="AC5" s="836"/>
    </row>
    <row r="6" spans="1:29" s="47" customFormat="1" x14ac:dyDescent="0.25">
      <c r="A6" s="372"/>
      <c r="B6" s="55" t="s">
        <v>610</v>
      </c>
      <c r="C6" s="833">
        <f>SUM(C7,D12,D14,C15)</f>
        <v>10173333</v>
      </c>
      <c r="D6" s="833"/>
      <c r="E6" s="833"/>
      <c r="F6" s="833">
        <f>SUM(F7,G12,G14,F15)</f>
        <v>10482107</v>
      </c>
      <c r="G6" s="833"/>
      <c r="H6" s="833"/>
      <c r="I6" s="833">
        <f>SUM(I7,J12,J14,I15)</f>
        <v>10895260</v>
      </c>
      <c r="J6" s="833"/>
      <c r="K6" s="833"/>
      <c r="L6" s="833">
        <f>SUM(L7,M12,M14,L15)</f>
        <v>10719882</v>
      </c>
      <c r="M6" s="833"/>
      <c r="N6" s="833"/>
      <c r="O6" s="833">
        <f>SUM(O7,P12,P14,O15)</f>
        <v>10764660</v>
      </c>
      <c r="P6" s="833"/>
      <c r="Q6" s="833"/>
      <c r="R6" s="834"/>
      <c r="S6" s="835"/>
      <c r="T6" s="836"/>
      <c r="U6" s="834"/>
      <c r="V6" s="835"/>
      <c r="W6" s="836"/>
      <c r="X6" s="834"/>
      <c r="Y6" s="835"/>
      <c r="Z6" s="836"/>
      <c r="AA6" s="834"/>
      <c r="AB6" s="835"/>
      <c r="AC6" s="836"/>
    </row>
    <row r="7" spans="1:29" s="47" customFormat="1" x14ac:dyDescent="0.25">
      <c r="A7" s="56" t="s">
        <v>281</v>
      </c>
      <c r="B7" s="271" t="s">
        <v>595</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x14ac:dyDescent="0.25">
      <c r="A8" s="56"/>
      <c r="B8" s="271" t="s">
        <v>564</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548</v>
      </c>
      <c r="S8" s="835"/>
      <c r="T8" s="836"/>
      <c r="U8" s="834" t="s">
        <v>548</v>
      </c>
      <c r="V8" s="835"/>
      <c r="W8" s="836"/>
      <c r="X8" s="834" t="s">
        <v>548</v>
      </c>
      <c r="Y8" s="835"/>
      <c r="Z8" s="836"/>
      <c r="AA8" s="834" t="s">
        <v>548</v>
      </c>
      <c r="AB8" s="835"/>
      <c r="AC8" s="836"/>
    </row>
    <row r="9" spans="1:29" s="47" customFormat="1" x14ac:dyDescent="0.25">
      <c r="A9" s="56"/>
      <c r="B9" s="271" t="s">
        <v>563</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x14ac:dyDescent="0.25">
      <c r="A10" s="56"/>
      <c r="B10" s="271" t="s">
        <v>562</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x14ac:dyDescent="0.25">
      <c r="A11" s="56" t="s">
        <v>294</v>
      </c>
      <c r="B11" s="271" t="s">
        <v>594</v>
      </c>
      <c r="C11" s="837">
        <f t="shared" si="1"/>
        <v>10613111</v>
      </c>
      <c r="D11" s="837">
        <f>'Phụ lục số 1'!F59</f>
        <v>6694954</v>
      </c>
      <c r="E11" s="837">
        <f>SUM(E12:E13)</f>
        <v>3918157</v>
      </c>
      <c r="F11" s="837">
        <f t="shared" si="2"/>
        <v>10705189</v>
      </c>
      <c r="G11" s="837">
        <f>G12+G13</f>
        <v>6759032</v>
      </c>
      <c r="H11" s="837">
        <f>H12+H13</f>
        <v>3946157</v>
      </c>
      <c r="I11" s="837">
        <f>SUM(J11:K11)</f>
        <v>10618083</v>
      </c>
      <c r="J11" s="837">
        <f>J12+J13</f>
        <v>6498723</v>
      </c>
      <c r="K11" s="837">
        <f>K12+K13</f>
        <v>4119360</v>
      </c>
      <c r="L11" s="837">
        <f>SUM(M11:N11)</f>
        <v>10362735</v>
      </c>
      <c r="M11" s="837">
        <f>M12+M13</f>
        <v>6298370</v>
      </c>
      <c r="N11" s="837">
        <f>N12+N13</f>
        <v>4064365</v>
      </c>
      <c r="O11" s="837">
        <f>SUM(P11:Q11)</f>
        <v>10272565</v>
      </c>
      <c r="P11" s="837">
        <f>P12+P13</f>
        <v>6298370</v>
      </c>
      <c r="Q11" s="837">
        <f>Q12+Q13</f>
        <v>3974195</v>
      </c>
      <c r="R11" s="834" t="s">
        <v>549</v>
      </c>
      <c r="S11" s="835"/>
      <c r="T11" s="836"/>
      <c r="U11" s="834" t="s">
        <v>549</v>
      </c>
      <c r="V11" s="835"/>
      <c r="W11" s="836"/>
      <c r="X11" s="834" t="s">
        <v>549</v>
      </c>
      <c r="Y11" s="835"/>
      <c r="Z11" s="836"/>
      <c r="AA11" s="834" t="s">
        <v>549</v>
      </c>
      <c r="AB11" s="835"/>
      <c r="AC11" s="836"/>
    </row>
    <row r="12" spans="1:29" s="47" customFormat="1" x14ac:dyDescent="0.25">
      <c r="A12" s="56">
        <v>1</v>
      </c>
      <c r="B12" s="271" t="s">
        <v>591</v>
      </c>
      <c r="C12" s="837">
        <f t="shared" si="1"/>
        <v>8157977</v>
      </c>
      <c r="D12" s="837">
        <f>'Phụ lục số 1'!F60</f>
        <v>4693126</v>
      </c>
      <c r="E12" s="837">
        <f>'Phụ lục số 5'!$C$32</f>
        <v>3464851</v>
      </c>
      <c r="F12" s="837">
        <f t="shared" si="2"/>
        <v>8157977</v>
      </c>
      <c r="G12" s="837">
        <f>'Phụ lục số 1'!L60</f>
        <v>4693126</v>
      </c>
      <c r="H12" s="837">
        <f>'Phụ lục số 5'!$C$32</f>
        <v>3464851</v>
      </c>
      <c r="I12" s="837">
        <f t="shared" si="3"/>
        <v>8157977</v>
      </c>
      <c r="J12" s="837">
        <f>'Phụ lục số 1'!R60</f>
        <v>4693126</v>
      </c>
      <c r="K12" s="837">
        <f>'Phụ lục số 5'!$C$32</f>
        <v>3464851</v>
      </c>
      <c r="L12" s="837">
        <f t="shared" si="4"/>
        <v>8157977</v>
      </c>
      <c r="M12" s="837">
        <f>'Phụ lục số 1'!X60</f>
        <v>4693126</v>
      </c>
      <c r="N12" s="837">
        <f>'Phụ lục số 5'!$C$32</f>
        <v>3464851</v>
      </c>
      <c r="O12" s="837">
        <f t="shared" si="5"/>
        <v>8157977</v>
      </c>
      <c r="P12" s="837">
        <f>'Phụ lục số 1'!AD60</f>
        <v>4693126</v>
      </c>
      <c r="Q12" s="837">
        <f>'Phụ lục số 5'!$C$32</f>
        <v>3464851</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x14ac:dyDescent="0.25">
      <c r="A13" s="56">
        <v>2</v>
      </c>
      <c r="B13" s="271" t="s">
        <v>592</v>
      </c>
      <c r="C13" s="837">
        <f t="shared" si="1"/>
        <v>2455134</v>
      </c>
      <c r="D13" s="837">
        <f>'Phụ lục số 1'!F61</f>
        <v>2001828</v>
      </c>
      <c r="E13" s="837">
        <v>453306</v>
      </c>
      <c r="F13" s="837">
        <f t="shared" si="2"/>
        <v>2547212</v>
      </c>
      <c r="G13" s="837">
        <f>'Phụ lục số 1'!L61</f>
        <v>2065906</v>
      </c>
      <c r="H13" s="837">
        <f>E13+28000</f>
        <v>481306</v>
      </c>
      <c r="I13" s="837">
        <f t="shared" si="3"/>
        <v>2460106</v>
      </c>
      <c r="J13" s="837">
        <f>'Phụ lục số 1'!R61</f>
        <v>1805597</v>
      </c>
      <c r="K13" s="837">
        <f>'Phụ lục số 5'!C33</f>
        <v>654509</v>
      </c>
      <c r="L13" s="837">
        <f t="shared" si="4"/>
        <v>2204758</v>
      </c>
      <c r="M13" s="837">
        <f>'Phụ lục số 1'!X61</f>
        <v>1605244</v>
      </c>
      <c r="N13" s="837">
        <f>K13-Z17</f>
        <v>599514</v>
      </c>
      <c r="O13" s="837">
        <f t="shared" si="5"/>
        <v>2114588</v>
      </c>
      <c r="P13" s="837">
        <f>'Phụ lục số 1'!AD61</f>
        <v>1605244</v>
      </c>
      <c r="Q13" s="837">
        <f>N13-AC17</f>
        <v>509344</v>
      </c>
      <c r="R13" s="834"/>
      <c r="S13" s="835"/>
      <c r="T13" s="836"/>
      <c r="U13" s="834"/>
      <c r="V13" s="835"/>
      <c r="W13" s="836"/>
      <c r="X13" s="834"/>
      <c r="Y13" s="835"/>
      <c r="Z13" s="836"/>
      <c r="AA13" s="834"/>
      <c r="AB13" s="835"/>
      <c r="AC13" s="836"/>
    </row>
    <row r="14" spans="1:29" s="47" customFormat="1" ht="25.5" x14ac:dyDescent="0.25">
      <c r="A14" s="56"/>
      <c r="B14" s="515" t="s">
        <v>647</v>
      </c>
      <c r="C14" s="837">
        <f t="shared" si="1"/>
        <v>319050</v>
      </c>
      <c r="D14" s="837">
        <f>'Phụ lục số 1'!C65+('Phụ lục số 1'!C64-'Phụ lục số 2'!C42-'Phụ lục số 2'!D43)</f>
        <v>183542</v>
      </c>
      <c r="E14" s="837">
        <v>135508</v>
      </c>
      <c r="F14" s="837">
        <f t="shared" si="2"/>
        <v>411128</v>
      </c>
      <c r="G14" s="837">
        <f>'Phụ lục số 1'!H65+('Phụ lục số 1'!H64-'Phụ lục số 2'!F42-'Phụ lục số 2'!I43)</f>
        <v>247620</v>
      </c>
      <c r="H14" s="837">
        <f>E14+28000</f>
        <v>163508</v>
      </c>
      <c r="I14" s="837">
        <f t="shared" si="3"/>
        <v>674070</v>
      </c>
      <c r="J14" s="837">
        <f>'Phụ lục số 8'!E19</f>
        <v>381607</v>
      </c>
      <c r="K14" s="837">
        <f>'Phụ lục số 5'!C35+'Phụ lục số 5'!C36+'Phụ lục số 5'!C37</f>
        <v>292463</v>
      </c>
      <c r="L14" s="837">
        <f t="shared" si="4"/>
        <v>418722</v>
      </c>
      <c r="M14" s="837">
        <f>'Phụ lục số 1'!T65+('Phụ lục số 1'!T64-'Phụ lục số 2'!K42-'Phụ lục số 2'!S43)</f>
        <v>181254</v>
      </c>
      <c r="N14" s="837">
        <f>K14-Z17</f>
        <v>237468</v>
      </c>
      <c r="O14" s="837">
        <f t="shared" si="5"/>
        <v>328552</v>
      </c>
      <c r="P14" s="837">
        <f>'Phụ lục số 1'!Z65+('Phụ lục số 1'!Z64-'Phụ lục số 2'!P42-'Phụ lục số 2'!X43)</f>
        <v>181254</v>
      </c>
      <c r="Q14" s="837">
        <f>N14-AC17</f>
        <v>147298</v>
      </c>
      <c r="R14" s="834"/>
      <c r="S14" s="835"/>
      <c r="T14" s="836"/>
      <c r="U14" s="834"/>
      <c r="V14" s="835"/>
      <c r="W14" s="836"/>
      <c r="X14" s="834"/>
      <c r="Y14" s="835"/>
      <c r="Z14" s="836"/>
      <c r="AA14" s="834"/>
      <c r="AB14" s="835"/>
      <c r="AC14" s="836"/>
    </row>
    <row r="15" spans="1:29" s="48" customFormat="1" x14ac:dyDescent="0.25">
      <c r="A15" s="56" t="s">
        <v>323</v>
      </c>
      <c r="B15" s="271" t="s">
        <v>593</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x14ac:dyDescent="0.25">
      <c r="A16" s="56" t="s">
        <v>346</v>
      </c>
      <c r="B16" s="271" t="s">
        <v>1030</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x14ac:dyDescent="0.25">
      <c r="A17" s="53" t="s">
        <v>295</v>
      </c>
      <c r="B17" s="55" t="s">
        <v>388</v>
      </c>
      <c r="C17" s="833">
        <f>SUM(C18,C35:C37)</f>
        <v>15909776</v>
      </c>
      <c r="D17" s="833">
        <f t="shared" ref="D17:Q17" si="7">SUM(D18,D35:D37)</f>
        <v>10234051</v>
      </c>
      <c r="E17" s="833">
        <f t="shared" si="7"/>
        <v>5675725</v>
      </c>
      <c r="F17" s="833">
        <f t="shared" si="7"/>
        <v>16246550</v>
      </c>
      <c r="G17" s="833">
        <f t="shared" si="7"/>
        <v>10346285</v>
      </c>
      <c r="H17" s="833">
        <f t="shared" si="7"/>
        <v>5900265</v>
      </c>
      <c r="I17" s="833">
        <f t="shared" si="7"/>
        <v>16453610</v>
      </c>
      <c r="J17" s="833">
        <f>SUM(J18,J35:J37)</f>
        <v>10357034</v>
      </c>
      <c r="K17" s="833">
        <f t="shared" si="7"/>
        <v>6096576</v>
      </c>
      <c r="L17" s="833">
        <f t="shared" si="7"/>
        <v>16208237</v>
      </c>
      <c r="M17" s="833">
        <f t="shared" si="7"/>
        <v>10306397</v>
      </c>
      <c r="N17" s="833">
        <f t="shared" si="7"/>
        <v>5901840</v>
      </c>
      <c r="O17" s="833">
        <f t="shared" si="7"/>
        <v>16162845</v>
      </c>
      <c r="P17" s="833">
        <f t="shared" si="7"/>
        <v>10261005</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x14ac:dyDescent="0.25">
      <c r="A18" s="372"/>
      <c r="B18" s="55" t="s">
        <v>596</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x14ac:dyDescent="0.25">
      <c r="A19" s="270"/>
      <c r="B19" s="271" t="s">
        <v>597</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4"/>
      <c r="S19" s="838"/>
      <c r="T19" s="838"/>
      <c r="U19" s="838"/>
      <c r="V19" s="838"/>
      <c r="W19" s="838"/>
      <c r="X19" s="838"/>
      <c r="Y19" s="838"/>
      <c r="Z19" s="838"/>
      <c r="AA19" s="838"/>
      <c r="AB19" s="838"/>
      <c r="AC19" s="838"/>
    </row>
    <row r="20" spans="1:29" s="47" customFormat="1" x14ac:dyDescent="0.25">
      <c r="A20" s="56" t="s">
        <v>281</v>
      </c>
      <c r="B20" s="271" t="s">
        <v>606</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8"/>
      <c r="S20" s="838"/>
      <c r="T20" s="838"/>
      <c r="U20" s="833"/>
      <c r="V20" s="833"/>
      <c r="W20" s="833"/>
      <c r="X20" s="833"/>
      <c r="Y20" s="833"/>
      <c r="Z20" s="833"/>
      <c r="AA20" s="833"/>
      <c r="AB20" s="833"/>
      <c r="AC20" s="833"/>
    </row>
    <row r="21" spans="1:29" s="47" customFormat="1" x14ac:dyDescent="0.25">
      <c r="A21" s="56" t="s">
        <v>294</v>
      </c>
      <c r="B21" s="271" t="s">
        <v>607</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8"/>
      <c r="S21" s="833"/>
      <c r="T21" s="833"/>
      <c r="U21" s="833"/>
      <c r="V21" s="833"/>
      <c r="W21" s="833"/>
      <c r="X21" s="833"/>
      <c r="Y21" s="833"/>
      <c r="Z21" s="833"/>
      <c r="AA21" s="833"/>
      <c r="AB21" s="833"/>
      <c r="AC21" s="833"/>
    </row>
    <row r="22" spans="1:29" s="47" customFormat="1" x14ac:dyDescent="0.25">
      <c r="A22" s="56"/>
      <c r="B22" s="247" t="s">
        <v>608</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x14ac:dyDescent="0.25">
      <c r="A23" s="56" t="s">
        <v>323</v>
      </c>
      <c r="B23" s="271" t="s">
        <v>609</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x14ac:dyDescent="0.25">
      <c r="A24" s="58" t="s">
        <v>346</v>
      </c>
      <c r="B24" s="374" t="s">
        <v>600</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x14ac:dyDescent="0.25">
      <c r="A29" s="56" t="s">
        <v>347</v>
      </c>
      <c r="B29" s="247" t="s">
        <v>601</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x14ac:dyDescent="0.25">
      <c r="A30" s="56" t="s">
        <v>389</v>
      </c>
      <c r="B30" s="272" t="s">
        <v>602</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x14ac:dyDescent="0.25">
      <c r="A31" s="56" t="s">
        <v>390</v>
      </c>
      <c r="B31" s="271" t="s">
        <v>603</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x14ac:dyDescent="0.25">
      <c r="A32" s="56" t="s">
        <v>391</v>
      </c>
      <c r="B32" s="271" t="s">
        <v>604</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x14ac:dyDescent="0.25">
      <c r="A33" s="59" t="s">
        <v>400</v>
      </c>
      <c r="B33" s="271" t="s">
        <v>605</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x14ac:dyDescent="0.25">
      <c r="A34" s="59"/>
      <c r="B34" s="271" t="s">
        <v>671</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x14ac:dyDescent="0.25">
      <c r="A35" s="372" t="s">
        <v>401</v>
      </c>
      <c r="B35" s="55" t="s">
        <v>598</v>
      </c>
      <c r="C35" s="833">
        <f t="shared" si="10"/>
        <v>1818286</v>
      </c>
      <c r="D35" s="833">
        <f>'Phụ lục số 2'!D39</f>
        <v>1818286</v>
      </c>
      <c r="E35" s="833">
        <f>'Phụ lục số 2'!E39</f>
        <v>0</v>
      </c>
      <c r="F35" s="833">
        <f t="shared" si="11"/>
        <v>1818286</v>
      </c>
      <c r="G35" s="833">
        <f>'Phụ lục số 2'!I39</f>
        <v>1818286</v>
      </c>
      <c r="H35" s="833">
        <f>'Phụ lục số 2'!J39</f>
        <v>0</v>
      </c>
      <c r="I35" s="833">
        <f t="shared" si="12"/>
        <v>1423990</v>
      </c>
      <c r="J35" s="833">
        <f>'Phụ lục số 2'!N39</f>
        <v>1423990</v>
      </c>
      <c r="K35" s="833">
        <f>'Phụ lục số 2'!O39</f>
        <v>0</v>
      </c>
      <c r="L35" s="833">
        <f t="shared" si="15"/>
        <v>1423990</v>
      </c>
      <c r="M35" s="833">
        <f>'Phụ lục số 2'!S39</f>
        <v>1423990</v>
      </c>
      <c r="N35" s="833">
        <f>'Phụ lục số 2'!T39</f>
        <v>0</v>
      </c>
      <c r="O35" s="833">
        <f t="shared" si="16"/>
        <v>1423990</v>
      </c>
      <c r="P35" s="833">
        <f>'Phụ lục số 2'!X39</f>
        <v>1423990</v>
      </c>
      <c r="Q35" s="833">
        <f>'Phụ lục số 2'!Y39</f>
        <v>0</v>
      </c>
      <c r="R35" s="833"/>
      <c r="S35" s="833"/>
      <c r="T35" s="833"/>
      <c r="U35" s="833"/>
      <c r="V35" s="833"/>
      <c r="W35" s="833"/>
      <c r="X35" s="833"/>
      <c r="Y35" s="833"/>
      <c r="Z35" s="833"/>
      <c r="AA35" s="833"/>
      <c r="AB35" s="833"/>
      <c r="AC35" s="833"/>
    </row>
    <row r="36" spans="1:29" s="47" customFormat="1" ht="31.5" x14ac:dyDescent="0.25">
      <c r="A36" s="372" t="s">
        <v>403</v>
      </c>
      <c r="B36" s="373" t="s">
        <v>1031</v>
      </c>
      <c r="C36" s="833">
        <f t="shared" si="10"/>
        <v>0</v>
      </c>
      <c r="D36" s="833"/>
      <c r="E36" s="833"/>
      <c r="F36" s="833">
        <f t="shared" si="11"/>
        <v>0</v>
      </c>
      <c r="G36" s="833"/>
      <c r="H36" s="833"/>
      <c r="I36" s="833">
        <f t="shared" si="12"/>
        <v>15000</v>
      </c>
      <c r="J36" s="833">
        <f>'Phụ lục số 2'!N44</f>
        <v>15000</v>
      </c>
      <c r="K36" s="833">
        <f>'Phụ lục số 2'!O44</f>
        <v>0</v>
      </c>
      <c r="L36" s="833">
        <f t="shared" si="15"/>
        <v>0</v>
      </c>
      <c r="M36" s="833">
        <f>'Phụ lục số 2'!S44</f>
        <v>0</v>
      </c>
      <c r="N36" s="833">
        <f>'Phụ lục số 2'!T44</f>
        <v>0</v>
      </c>
      <c r="O36" s="833">
        <f t="shared" si="16"/>
        <v>0</v>
      </c>
      <c r="P36" s="833">
        <f>'Phụ lục số 2'!X44</f>
        <v>0</v>
      </c>
      <c r="Q36" s="833">
        <f>'Phụ lục số 2'!Y44</f>
        <v>0</v>
      </c>
      <c r="R36" s="833"/>
      <c r="S36" s="833"/>
      <c r="T36" s="833"/>
      <c r="U36" s="833"/>
      <c r="V36" s="833"/>
      <c r="W36" s="833"/>
      <c r="X36" s="841"/>
      <c r="Y36" s="841"/>
      <c r="Z36" s="841"/>
      <c r="AA36" s="841"/>
      <c r="AB36" s="841"/>
      <c r="AC36" s="841"/>
    </row>
    <row r="37" spans="1:29" s="49" customFormat="1" x14ac:dyDescent="0.25">
      <c r="A37" s="372" t="s">
        <v>410</v>
      </c>
      <c r="B37" s="55" t="s">
        <v>599</v>
      </c>
      <c r="C37" s="833">
        <f t="shared" si="10"/>
        <v>3918157</v>
      </c>
      <c r="D37" s="833">
        <f>E11</f>
        <v>3918157</v>
      </c>
      <c r="E37" s="833"/>
      <c r="F37" s="833">
        <f t="shared" si="11"/>
        <v>3946157</v>
      </c>
      <c r="G37" s="833">
        <f>H11</f>
        <v>3946157</v>
      </c>
      <c r="H37" s="833"/>
      <c r="I37" s="833">
        <f t="shared" si="12"/>
        <v>4119360</v>
      </c>
      <c r="J37" s="833">
        <f>K11</f>
        <v>4119360</v>
      </c>
      <c r="K37" s="833"/>
      <c r="L37" s="833">
        <f t="shared" si="15"/>
        <v>4064365</v>
      </c>
      <c r="M37" s="833">
        <f>N11</f>
        <v>4064365</v>
      </c>
      <c r="N37" s="833"/>
      <c r="O37" s="833">
        <f t="shared" si="16"/>
        <v>3974195</v>
      </c>
      <c r="P37" s="833">
        <f>Q11</f>
        <v>3974195</v>
      </c>
      <c r="Q37" s="833"/>
      <c r="R37" s="833"/>
      <c r="S37" s="833"/>
      <c r="T37" s="833"/>
      <c r="U37" s="833"/>
      <c r="V37" s="833"/>
      <c r="W37" s="833"/>
      <c r="X37" s="842"/>
      <c r="Y37" s="842"/>
      <c r="Z37" s="842"/>
      <c r="AA37" s="842"/>
      <c r="AB37" s="842"/>
      <c r="AC37" s="842"/>
    </row>
    <row r="38" spans="1:29" x14ac:dyDescent="0.25">
      <c r="A38" s="53" t="s">
        <v>299</v>
      </c>
      <c r="B38" s="55" t="s">
        <v>368</v>
      </c>
      <c r="C38" s="833">
        <f>C5-C17</f>
        <v>0</v>
      </c>
      <c r="D38" s="833">
        <f>D5-D17</f>
        <v>0</v>
      </c>
      <c r="E38" s="833">
        <f>E5-E17</f>
        <v>0</v>
      </c>
      <c r="F38" s="833">
        <f>G38+H38</f>
        <v>0</v>
      </c>
      <c r="G38" s="833">
        <f t="shared" ref="G38:Q38" si="17">G5-G17</f>
        <v>0</v>
      </c>
      <c r="H38" s="833">
        <f t="shared" si="17"/>
        <v>0</v>
      </c>
      <c r="I38" s="833">
        <f t="shared" si="17"/>
        <v>0</v>
      </c>
      <c r="J38" s="833">
        <f>J5-J17</f>
        <v>0</v>
      </c>
      <c r="K38" s="833">
        <f>K5-K17</f>
        <v>0</v>
      </c>
      <c r="L38" s="833">
        <f t="shared" si="17"/>
        <v>0</v>
      </c>
      <c r="M38" s="833">
        <f t="shared" si="17"/>
        <v>0</v>
      </c>
      <c r="N38" s="833">
        <f t="shared" si="17"/>
        <v>0</v>
      </c>
      <c r="O38" s="833">
        <f t="shared" si="17"/>
        <v>0</v>
      </c>
      <c r="P38" s="833">
        <f t="shared" si="17"/>
        <v>0</v>
      </c>
      <c r="Q38" s="833">
        <f t="shared" si="17"/>
        <v>0</v>
      </c>
      <c r="R38" s="833"/>
      <c r="S38" s="833"/>
      <c r="T38" s="833"/>
      <c r="U38" s="833"/>
      <c r="V38" s="833"/>
      <c r="W38" s="833"/>
      <c r="X38" s="843"/>
      <c r="Y38" s="843"/>
      <c r="Z38" s="843"/>
      <c r="AA38" s="843"/>
      <c r="AB38" s="843"/>
      <c r="AC38" s="843"/>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03" t="s">
        <v>730</v>
      </c>
      <c r="C1" s="1003"/>
      <c r="D1" s="1003"/>
      <c r="E1" s="1003"/>
      <c r="F1" s="1003"/>
      <c r="G1" s="1003"/>
      <c r="H1" s="1003"/>
      <c r="I1" s="1003"/>
      <c r="J1" s="1003"/>
      <c r="K1" s="1003"/>
      <c r="L1" s="123"/>
      <c r="M1" s="123"/>
      <c r="N1" s="123"/>
      <c r="O1" s="123"/>
      <c r="P1" s="123"/>
      <c r="Q1" s="123"/>
      <c r="R1" s="43"/>
      <c r="S1" s="43"/>
      <c r="T1" s="43"/>
      <c r="U1" s="43"/>
      <c r="V1" s="43"/>
      <c r="W1" s="43"/>
    </row>
    <row r="2" spans="1:29" ht="15" customHeight="1" x14ac:dyDescent="0.25">
      <c r="A2" s="368"/>
      <c r="B2" s="368"/>
      <c r="C2" s="368"/>
      <c r="D2" s="368"/>
      <c r="E2" s="368"/>
      <c r="F2" s="368"/>
      <c r="G2" s="43"/>
      <c r="H2" s="3"/>
      <c r="I2" s="976" t="s">
        <v>363</v>
      </c>
      <c r="J2" s="976"/>
      <c r="K2" s="976"/>
      <c r="L2" s="324"/>
      <c r="M2" s="324"/>
      <c r="N2" s="324"/>
      <c r="O2" s="324"/>
      <c r="P2" s="324"/>
      <c r="Q2" s="324"/>
      <c r="R2" s="43"/>
      <c r="S2" s="43"/>
      <c r="T2" s="43"/>
      <c r="U2" s="43"/>
      <c r="V2" s="43"/>
      <c r="W2" s="43"/>
    </row>
    <row r="3" spans="1:29" s="47" customFormat="1" ht="15" customHeight="1" x14ac:dyDescent="0.25">
      <c r="A3" s="1004" t="s">
        <v>326</v>
      </c>
      <c r="B3" s="1004" t="s">
        <v>327</v>
      </c>
      <c r="C3" s="1006" t="s">
        <v>524</v>
      </c>
      <c r="D3" s="1006"/>
      <c r="E3" s="1006"/>
      <c r="F3" s="1000" t="s">
        <v>731</v>
      </c>
      <c r="G3" s="1001"/>
      <c r="H3" s="1002"/>
      <c r="I3" s="1000" t="s">
        <v>732</v>
      </c>
      <c r="J3" s="1001"/>
      <c r="K3" s="1002"/>
      <c r="L3" s="1000" t="s">
        <v>531</v>
      </c>
      <c r="M3" s="1001"/>
      <c r="N3" s="1002"/>
      <c r="O3" s="1000" t="s">
        <v>733</v>
      </c>
      <c r="P3" s="1001"/>
      <c r="Q3" s="1002"/>
      <c r="R3" s="1000" t="s">
        <v>762</v>
      </c>
      <c r="S3" s="1001"/>
      <c r="T3" s="1002"/>
      <c r="U3" s="1000" t="s">
        <v>763</v>
      </c>
      <c r="V3" s="1001"/>
      <c r="W3" s="1002"/>
      <c r="X3" s="1000" t="s">
        <v>764</v>
      </c>
      <c r="Y3" s="1001"/>
      <c r="Z3" s="1002"/>
      <c r="AA3" s="1000" t="s">
        <v>765</v>
      </c>
      <c r="AB3" s="1001"/>
      <c r="AC3" s="1002"/>
    </row>
    <row r="4" spans="1:29" s="47" customFormat="1" ht="15" customHeight="1" x14ac:dyDescent="0.25">
      <c r="A4" s="1005"/>
      <c r="B4" s="1005"/>
      <c r="C4" s="366"/>
      <c r="D4" s="52" t="s">
        <v>373</v>
      </c>
      <c r="E4" s="52" t="s">
        <v>374</v>
      </c>
      <c r="F4" s="366" t="s">
        <v>328</v>
      </c>
      <c r="G4" s="52" t="s">
        <v>373</v>
      </c>
      <c r="H4" s="52" t="s">
        <v>374</v>
      </c>
      <c r="I4" s="366" t="s">
        <v>328</v>
      </c>
      <c r="J4" s="52" t="s">
        <v>373</v>
      </c>
      <c r="K4" s="52" t="s">
        <v>374</v>
      </c>
      <c r="L4" s="366" t="s">
        <v>328</v>
      </c>
      <c r="M4" s="52" t="s">
        <v>373</v>
      </c>
      <c r="N4" s="52" t="s">
        <v>374</v>
      </c>
      <c r="O4" s="366" t="s">
        <v>328</v>
      </c>
      <c r="P4" s="52" t="s">
        <v>373</v>
      </c>
      <c r="Q4" s="52" t="s">
        <v>374</v>
      </c>
      <c r="R4" s="366" t="s">
        <v>328</v>
      </c>
      <c r="S4" s="367" t="s">
        <v>329</v>
      </c>
      <c r="T4" s="367" t="s">
        <v>330</v>
      </c>
      <c r="U4" s="366" t="s">
        <v>328</v>
      </c>
      <c r="V4" s="367" t="s">
        <v>329</v>
      </c>
      <c r="W4" s="367" t="s">
        <v>330</v>
      </c>
      <c r="X4" s="366" t="s">
        <v>328</v>
      </c>
      <c r="Y4" s="367" t="s">
        <v>329</v>
      </c>
      <c r="Z4" s="367" t="s">
        <v>330</v>
      </c>
      <c r="AA4" s="366" t="s">
        <v>328</v>
      </c>
      <c r="AB4" s="367" t="s">
        <v>329</v>
      </c>
      <c r="AC4" s="367" t="s">
        <v>330</v>
      </c>
    </row>
    <row r="5" spans="1:29" s="47" customFormat="1" ht="15" customHeight="1" x14ac:dyDescent="0.25">
      <c r="A5" s="369" t="s">
        <v>279</v>
      </c>
      <c r="B5" s="55" t="s">
        <v>694</v>
      </c>
      <c r="C5" s="833">
        <f t="shared" ref="C5:Q5" si="0">SUM(C7,C11,C15,C16)</f>
        <v>11991619</v>
      </c>
      <c r="D5" s="833">
        <f t="shared" si="0"/>
        <v>10234051</v>
      </c>
      <c r="E5" s="833">
        <f t="shared" si="0"/>
        <v>1757568</v>
      </c>
      <c r="F5" s="833">
        <f t="shared" si="0"/>
        <v>12300393</v>
      </c>
      <c r="G5" s="833">
        <f t="shared" si="0"/>
        <v>10346285</v>
      </c>
      <c r="H5" s="833">
        <f t="shared" si="0"/>
        <v>1954108</v>
      </c>
      <c r="I5" s="833">
        <f t="shared" si="0"/>
        <v>12334250</v>
      </c>
      <c r="J5" s="833">
        <f t="shared" si="0"/>
        <v>10357034</v>
      </c>
      <c r="K5" s="833">
        <f t="shared" si="0"/>
        <v>1977216</v>
      </c>
      <c r="L5" s="833">
        <f t="shared" si="0"/>
        <v>12143872</v>
      </c>
      <c r="M5" s="833">
        <f t="shared" si="0"/>
        <v>10306397</v>
      </c>
      <c r="N5" s="833">
        <f t="shared" si="0"/>
        <v>1837475</v>
      </c>
      <c r="O5" s="833">
        <f t="shared" si="0"/>
        <v>12188650</v>
      </c>
      <c r="P5" s="833">
        <f t="shared" si="0"/>
        <v>10261005</v>
      </c>
      <c r="Q5" s="833">
        <f t="shared" si="0"/>
        <v>1927645</v>
      </c>
      <c r="R5" s="834" t="s">
        <v>1043</v>
      </c>
      <c r="S5" s="835"/>
      <c r="T5" s="836"/>
      <c r="U5" s="834" t="s">
        <v>1044</v>
      </c>
      <c r="V5" s="835"/>
      <c r="W5" s="836"/>
      <c r="X5" s="834" t="s">
        <v>544</v>
      </c>
      <c r="Y5" s="835"/>
      <c r="Z5" s="836"/>
      <c r="AA5" s="834" t="s">
        <v>544</v>
      </c>
      <c r="AB5" s="835"/>
      <c r="AC5" s="836"/>
    </row>
    <row r="6" spans="1:29" s="47" customFormat="1" ht="15" customHeight="1" x14ac:dyDescent="0.25">
      <c r="A6" s="372"/>
      <c r="B6" s="55" t="s">
        <v>610</v>
      </c>
      <c r="C6" s="833">
        <f>SUM(C7,C12,C14,C15)</f>
        <v>10173333</v>
      </c>
      <c r="D6" s="833"/>
      <c r="E6" s="833"/>
      <c r="F6" s="833">
        <f>SUM(F7,F12,F14,F15)</f>
        <v>10482107</v>
      </c>
      <c r="G6" s="833"/>
      <c r="H6" s="833"/>
      <c r="I6" s="833">
        <f>SUM(I7,I12,I14,I15)</f>
        <v>10895260</v>
      </c>
      <c r="J6" s="833"/>
      <c r="K6" s="833"/>
      <c r="L6" s="833">
        <f>SUM(L7,L12,L14,L15)</f>
        <v>10719882</v>
      </c>
      <c r="M6" s="833"/>
      <c r="N6" s="833"/>
      <c r="O6" s="833">
        <f>SUM(O7,O12,O14,O15)</f>
        <v>10764660</v>
      </c>
      <c r="P6" s="833"/>
      <c r="Q6" s="833"/>
      <c r="R6" s="834"/>
      <c r="S6" s="835"/>
      <c r="T6" s="836"/>
      <c r="U6" s="834"/>
      <c r="V6" s="835"/>
      <c r="W6" s="836"/>
      <c r="X6" s="834"/>
      <c r="Y6" s="835"/>
      <c r="Z6" s="836"/>
      <c r="AA6" s="834"/>
      <c r="AB6" s="835"/>
      <c r="AC6" s="836"/>
    </row>
    <row r="7" spans="1:29" s="47" customFormat="1" ht="15" customHeight="1" x14ac:dyDescent="0.25">
      <c r="A7" s="56" t="s">
        <v>281</v>
      </c>
      <c r="B7" s="271" t="s">
        <v>595</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ht="15" customHeight="1" x14ac:dyDescent="0.25">
      <c r="A8" s="56"/>
      <c r="B8" s="271" t="s">
        <v>564</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548</v>
      </c>
      <c r="S8" s="835"/>
      <c r="T8" s="836"/>
      <c r="U8" s="834" t="s">
        <v>548</v>
      </c>
      <c r="V8" s="835"/>
      <c r="W8" s="836"/>
      <c r="X8" s="834" t="s">
        <v>548</v>
      </c>
      <c r="Y8" s="835"/>
      <c r="Z8" s="836"/>
      <c r="AA8" s="834" t="s">
        <v>548</v>
      </c>
      <c r="AB8" s="835"/>
      <c r="AC8" s="836"/>
    </row>
    <row r="9" spans="1:29" s="47" customFormat="1" ht="15" customHeight="1" x14ac:dyDescent="0.25">
      <c r="A9" s="56"/>
      <c r="B9" s="271" t="s">
        <v>563</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ht="15" customHeight="1" x14ac:dyDescent="0.25">
      <c r="A10" s="56"/>
      <c r="B10" s="271" t="s">
        <v>562</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ht="15" customHeight="1" x14ac:dyDescent="0.25">
      <c r="A11" s="56" t="s">
        <v>294</v>
      </c>
      <c r="B11" s="271" t="s">
        <v>594</v>
      </c>
      <c r="C11" s="837">
        <f t="shared" si="1"/>
        <v>6694954</v>
      </c>
      <c r="D11" s="837">
        <f>'Phụ lục số 1'!F59</f>
        <v>6694954</v>
      </c>
      <c r="E11" s="837"/>
      <c r="F11" s="837">
        <f t="shared" si="2"/>
        <v>6759032</v>
      </c>
      <c r="G11" s="837">
        <f>'Phụ lục số 1'!L59</f>
        <v>6759032</v>
      </c>
      <c r="H11" s="837"/>
      <c r="I11" s="837">
        <f t="shared" si="3"/>
        <v>6498723</v>
      </c>
      <c r="J11" s="837">
        <f>'Phụ lục số 1'!R59</f>
        <v>6498723</v>
      </c>
      <c r="K11" s="837"/>
      <c r="L11" s="837">
        <f t="shared" si="4"/>
        <v>6298370</v>
      </c>
      <c r="M11" s="837">
        <f>'Phụ lục số 1'!X59</f>
        <v>6298370</v>
      </c>
      <c r="N11" s="837"/>
      <c r="O11" s="837">
        <f t="shared" si="5"/>
        <v>6298370</v>
      </c>
      <c r="P11" s="837">
        <f>'Phụ lục số 1'!AD59</f>
        <v>6298370</v>
      </c>
      <c r="Q11" s="837"/>
      <c r="R11" s="834" t="s">
        <v>549</v>
      </c>
      <c r="S11" s="835"/>
      <c r="T11" s="836"/>
      <c r="U11" s="834" t="s">
        <v>549</v>
      </c>
      <c r="V11" s="835"/>
      <c r="W11" s="836"/>
      <c r="X11" s="834" t="s">
        <v>549</v>
      </c>
      <c r="Y11" s="835"/>
      <c r="Z11" s="836"/>
      <c r="AA11" s="834" t="s">
        <v>549</v>
      </c>
      <c r="AB11" s="835"/>
      <c r="AC11" s="836"/>
    </row>
    <row r="12" spans="1:29" s="47" customFormat="1" ht="15" customHeight="1" x14ac:dyDescent="0.25">
      <c r="A12" s="56">
        <v>1</v>
      </c>
      <c r="B12" s="271" t="s">
        <v>591</v>
      </c>
      <c r="C12" s="837">
        <f t="shared" si="1"/>
        <v>4693126</v>
      </c>
      <c r="D12" s="837">
        <f>'Phụ lục số 1'!F60</f>
        <v>4693126</v>
      </c>
      <c r="E12" s="837">
        <f>'Phụ lục số 1'!G60</f>
        <v>0</v>
      </c>
      <c r="F12" s="837">
        <f t="shared" si="2"/>
        <v>4693126</v>
      </c>
      <c r="G12" s="837">
        <f>'Phụ lục số 1'!L60</f>
        <v>4693126</v>
      </c>
      <c r="H12" s="837"/>
      <c r="I12" s="837">
        <f t="shared" si="3"/>
        <v>4693126</v>
      </c>
      <c r="J12" s="837">
        <f>'Phụ lục số 1'!R60</f>
        <v>4693126</v>
      </c>
      <c r="K12" s="837">
        <f>'Phụ lục số 1'!S60</f>
        <v>0</v>
      </c>
      <c r="L12" s="837">
        <f t="shared" si="4"/>
        <v>4693126</v>
      </c>
      <c r="M12" s="837">
        <f>'Phụ lục số 1'!X60</f>
        <v>4693126</v>
      </c>
      <c r="N12" s="837">
        <f>'Phụ lục số 1'!Y60</f>
        <v>0</v>
      </c>
      <c r="O12" s="837">
        <f t="shared" si="5"/>
        <v>4693126</v>
      </c>
      <c r="P12" s="837">
        <f>'Phụ lục số 1'!AD60</f>
        <v>4693126</v>
      </c>
      <c r="Q12" s="837">
        <f>'Phụ lục số 1'!AE60</f>
        <v>0</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ht="15" customHeight="1" x14ac:dyDescent="0.25">
      <c r="A13" s="56">
        <v>2</v>
      </c>
      <c r="B13" s="271" t="s">
        <v>592</v>
      </c>
      <c r="C13" s="837">
        <f t="shared" si="1"/>
        <v>2001828</v>
      </c>
      <c r="D13" s="837">
        <f>'Phụ lục số 1'!F61</f>
        <v>2001828</v>
      </c>
      <c r="E13" s="837">
        <f>'Phụ lục số 1'!G61</f>
        <v>0</v>
      </c>
      <c r="F13" s="837">
        <f t="shared" si="2"/>
        <v>2065906</v>
      </c>
      <c r="G13" s="837">
        <f>'Phụ lục số 1'!L61</f>
        <v>2065906</v>
      </c>
      <c r="H13" s="837">
        <f>'Phụ lục số 1'!M61</f>
        <v>0</v>
      </c>
      <c r="I13" s="837">
        <f t="shared" si="3"/>
        <v>1805597</v>
      </c>
      <c r="J13" s="837">
        <f>'Phụ lục số 1'!R61</f>
        <v>1805597</v>
      </c>
      <c r="K13" s="837">
        <f>'Phụ lục số 1'!S61</f>
        <v>0</v>
      </c>
      <c r="L13" s="837">
        <f t="shared" si="4"/>
        <v>1605244</v>
      </c>
      <c r="M13" s="837">
        <f>'Phụ lục số 1'!X61</f>
        <v>1605244</v>
      </c>
      <c r="N13" s="837">
        <f>'Phụ lục số 1'!Y61</f>
        <v>0</v>
      </c>
      <c r="O13" s="837">
        <f t="shared" si="5"/>
        <v>1605244</v>
      </c>
      <c r="P13" s="837">
        <f>'Phụ lục số 1'!AD61</f>
        <v>1605244</v>
      </c>
      <c r="Q13" s="837">
        <f>'Phụ lục số 1'!AE61</f>
        <v>0</v>
      </c>
      <c r="R13" s="834"/>
      <c r="S13" s="835"/>
      <c r="T13" s="836"/>
      <c r="U13" s="834"/>
      <c r="V13" s="835"/>
      <c r="W13" s="836"/>
      <c r="X13" s="834"/>
      <c r="Y13" s="835"/>
      <c r="Z13" s="836"/>
      <c r="AA13" s="834"/>
      <c r="AB13" s="835"/>
      <c r="AC13" s="836"/>
    </row>
    <row r="14" spans="1:29" s="47" customFormat="1" ht="15" customHeight="1" x14ac:dyDescent="0.25">
      <c r="A14" s="56"/>
      <c r="B14" s="271" t="s">
        <v>526</v>
      </c>
      <c r="C14" s="837">
        <f t="shared" si="1"/>
        <v>183542</v>
      </c>
      <c r="D14" s="837">
        <f>'Phụ lục số 1'!C65+('Phụ lục số 1'!C64-'Phụ lục số 2'!C42-'Phụ lục số 2'!D43)</f>
        <v>183542</v>
      </c>
      <c r="E14" s="837">
        <v>0</v>
      </c>
      <c r="F14" s="837">
        <f t="shared" si="2"/>
        <v>247620</v>
      </c>
      <c r="G14" s="837">
        <f>'Phụ lục số 1'!H65+('Phụ lục số 1'!H64-'Phụ lục số 2'!F42-'Phụ lục số 2'!I43)</f>
        <v>247620</v>
      </c>
      <c r="H14" s="837">
        <v>0</v>
      </c>
      <c r="I14" s="837">
        <f t="shared" si="3"/>
        <v>381607</v>
      </c>
      <c r="J14" s="837">
        <f>'Phụ lục số 1'!N65+('Phụ lục số 1'!N64-'Phụ lục số 2'!K42-'Phụ lục số 2'!N43)</f>
        <v>381607</v>
      </c>
      <c r="K14" s="837">
        <v>0</v>
      </c>
      <c r="L14" s="837">
        <f t="shared" si="4"/>
        <v>181254</v>
      </c>
      <c r="M14" s="837">
        <f>'Phụ lục số 1'!T65+('Phụ lục số 1'!T64-'Phụ lục số 2'!P42-'Phụ lục số 2'!S43)</f>
        <v>181254</v>
      </c>
      <c r="N14" s="837">
        <f>'Phụ lục số 1'!Y65</f>
        <v>0</v>
      </c>
      <c r="O14" s="837">
        <f t="shared" si="5"/>
        <v>181254</v>
      </c>
      <c r="P14" s="837">
        <f>'Phụ lục số 1'!Z65+('Phụ lục số 1'!Z64-'Phụ lục số 2'!U42-'Phụ lục số 2'!X43)</f>
        <v>181254</v>
      </c>
      <c r="Q14" s="837">
        <f>'Phụ lục số 1'!AE65</f>
        <v>0</v>
      </c>
      <c r="R14" s="834"/>
      <c r="S14" s="835"/>
      <c r="T14" s="836"/>
      <c r="U14" s="834"/>
      <c r="V14" s="835"/>
      <c r="W14" s="836"/>
      <c r="X14" s="834"/>
      <c r="Y14" s="835"/>
      <c r="Z14" s="836"/>
      <c r="AA14" s="834"/>
      <c r="AB14" s="835"/>
      <c r="AC14" s="836"/>
    </row>
    <row r="15" spans="1:29" s="48" customFormat="1" ht="15" customHeight="1" x14ac:dyDescent="0.25">
      <c r="A15" s="56" t="s">
        <v>323</v>
      </c>
      <c r="B15" s="271" t="s">
        <v>593</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ht="15" customHeight="1" x14ac:dyDescent="0.25">
      <c r="A16" s="56" t="s">
        <v>346</v>
      </c>
      <c r="B16" s="271" t="s">
        <v>1030</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ht="15" customHeight="1" x14ac:dyDescent="0.25">
      <c r="A17" s="369" t="s">
        <v>295</v>
      </c>
      <c r="B17" s="55" t="s">
        <v>695</v>
      </c>
      <c r="C17" s="833">
        <f>SUM(C18,C35:C37)</f>
        <v>11991619</v>
      </c>
      <c r="D17" s="833">
        <f t="shared" ref="D17:Q17" si="7">SUM(D18,D35:D37)</f>
        <v>6315894</v>
      </c>
      <c r="E17" s="833">
        <f t="shared" si="7"/>
        <v>5675725</v>
      </c>
      <c r="F17" s="833">
        <f t="shared" si="7"/>
        <v>12300393</v>
      </c>
      <c r="G17" s="833">
        <f t="shared" si="7"/>
        <v>6400128</v>
      </c>
      <c r="H17" s="833">
        <f t="shared" si="7"/>
        <v>5900265</v>
      </c>
      <c r="I17" s="833">
        <f t="shared" si="7"/>
        <v>12334250</v>
      </c>
      <c r="J17" s="833">
        <f t="shared" si="7"/>
        <v>6237674</v>
      </c>
      <c r="K17" s="833">
        <f t="shared" si="7"/>
        <v>6096576</v>
      </c>
      <c r="L17" s="833">
        <f t="shared" si="7"/>
        <v>12143872</v>
      </c>
      <c r="M17" s="833">
        <f t="shared" si="7"/>
        <v>6242032</v>
      </c>
      <c r="N17" s="833">
        <f t="shared" si="7"/>
        <v>5901840</v>
      </c>
      <c r="O17" s="833">
        <f t="shared" si="7"/>
        <v>12188650</v>
      </c>
      <c r="P17" s="833">
        <f t="shared" si="7"/>
        <v>6286810</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ht="15" customHeight="1" x14ac:dyDescent="0.25">
      <c r="A18" s="372"/>
      <c r="B18" s="55" t="s">
        <v>596</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ht="15" customHeight="1" x14ac:dyDescent="0.25">
      <c r="A19" s="270"/>
      <c r="B19" s="271" t="s">
        <v>597</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8"/>
      <c r="S19" s="838"/>
      <c r="T19" s="838"/>
      <c r="U19" s="838"/>
      <c r="V19" s="838"/>
      <c r="W19" s="838"/>
      <c r="X19" s="838"/>
      <c r="Y19" s="838"/>
      <c r="Z19" s="838"/>
      <c r="AA19" s="838"/>
      <c r="AB19" s="838"/>
      <c r="AC19" s="838"/>
    </row>
    <row r="20" spans="1:29" s="47" customFormat="1" ht="15" customHeight="1" x14ac:dyDescent="0.25">
      <c r="A20" s="56" t="s">
        <v>281</v>
      </c>
      <c r="B20" s="271" t="s">
        <v>606</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3"/>
      <c r="S20" s="833"/>
      <c r="T20" s="833"/>
      <c r="U20" s="833"/>
      <c r="V20" s="833"/>
      <c r="W20" s="833"/>
      <c r="X20" s="833"/>
      <c r="Y20" s="833"/>
      <c r="Z20" s="833"/>
      <c r="AA20" s="833"/>
      <c r="AB20" s="833"/>
      <c r="AC20" s="833"/>
    </row>
    <row r="21" spans="1:29" s="47" customFormat="1" ht="15" customHeight="1" x14ac:dyDescent="0.25">
      <c r="A21" s="56" t="s">
        <v>294</v>
      </c>
      <c r="B21" s="271" t="s">
        <v>607</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3"/>
      <c r="S21" s="833"/>
      <c r="T21" s="833"/>
      <c r="U21" s="833"/>
      <c r="V21" s="833"/>
      <c r="W21" s="833"/>
      <c r="X21" s="833"/>
      <c r="Y21" s="833"/>
      <c r="Z21" s="833"/>
      <c r="AA21" s="833"/>
      <c r="AB21" s="833"/>
      <c r="AC21" s="833"/>
    </row>
    <row r="22" spans="1:29" s="47" customFormat="1" ht="15" customHeight="1" x14ac:dyDescent="0.25">
      <c r="A22" s="56"/>
      <c r="B22" s="247" t="s">
        <v>608</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ht="15" customHeight="1" x14ac:dyDescent="0.25">
      <c r="A23" s="56" t="s">
        <v>323</v>
      </c>
      <c r="B23" s="271" t="s">
        <v>609</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ht="15" customHeight="1" x14ac:dyDescent="0.25">
      <c r="A24" s="58" t="s">
        <v>346</v>
      </c>
      <c r="B24" s="374" t="s">
        <v>600</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ht="15" customHeigh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ht="15" customHeigh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ht="15" customHeigh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ht="15" customHeigh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ht="15" customHeight="1" x14ac:dyDescent="0.25">
      <c r="A29" s="56" t="s">
        <v>347</v>
      </c>
      <c r="B29" s="247" t="s">
        <v>601</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ht="15" customHeight="1" x14ac:dyDescent="0.25">
      <c r="A30" s="56" t="s">
        <v>389</v>
      </c>
      <c r="B30" s="272" t="s">
        <v>602</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ht="15" customHeight="1" x14ac:dyDescent="0.25">
      <c r="A31" s="56" t="s">
        <v>390</v>
      </c>
      <c r="B31" s="271" t="s">
        <v>603</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ht="15" customHeight="1" x14ac:dyDescent="0.25">
      <c r="A32" s="56" t="s">
        <v>391</v>
      </c>
      <c r="B32" s="271" t="s">
        <v>604</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ht="15" customHeight="1" x14ac:dyDescent="0.25">
      <c r="A33" s="59" t="s">
        <v>400</v>
      </c>
      <c r="B33" s="271" t="s">
        <v>605</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ht="15" customHeight="1" x14ac:dyDescent="0.25">
      <c r="A34" s="59" t="s">
        <v>401</v>
      </c>
      <c r="B34" s="271" t="s">
        <v>671</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ht="15" customHeight="1" x14ac:dyDescent="0.25">
      <c r="A35" s="56" t="s">
        <v>401</v>
      </c>
      <c r="B35" s="55" t="s">
        <v>598</v>
      </c>
      <c r="C35" s="837">
        <f t="shared" si="10"/>
        <v>1818286</v>
      </c>
      <c r="D35" s="837">
        <f>'Phụ lục số 2'!D39</f>
        <v>1818286</v>
      </c>
      <c r="E35" s="837">
        <f>'Phụ lục số 2'!E39</f>
        <v>0</v>
      </c>
      <c r="F35" s="837">
        <f t="shared" si="11"/>
        <v>1818286</v>
      </c>
      <c r="G35" s="837">
        <f>'Phụ lục số 2'!I39</f>
        <v>1818286</v>
      </c>
      <c r="H35" s="837">
        <f>'Phụ lục số 2'!J39</f>
        <v>0</v>
      </c>
      <c r="I35" s="837">
        <f t="shared" si="12"/>
        <v>1423990</v>
      </c>
      <c r="J35" s="837">
        <f>'Phụ lục số 2'!N39</f>
        <v>1423990</v>
      </c>
      <c r="K35" s="837">
        <f>'Phụ lục số 2'!O39</f>
        <v>0</v>
      </c>
      <c r="L35" s="837">
        <f t="shared" si="15"/>
        <v>1423990</v>
      </c>
      <c r="M35" s="837">
        <f>'Phụ lục số 2'!S39</f>
        <v>1423990</v>
      </c>
      <c r="N35" s="837">
        <f>'Phụ lục số 2'!T39</f>
        <v>0</v>
      </c>
      <c r="O35" s="837">
        <f t="shared" si="16"/>
        <v>1423990</v>
      </c>
      <c r="P35" s="837">
        <f>'Phụ lục số 2'!X39</f>
        <v>1423990</v>
      </c>
      <c r="Q35" s="837">
        <f>'Phụ lục số 2'!Y39</f>
        <v>0</v>
      </c>
      <c r="R35" s="833"/>
      <c r="S35" s="833"/>
      <c r="T35" s="833"/>
      <c r="U35" s="833"/>
      <c r="V35" s="833"/>
      <c r="W35" s="833"/>
      <c r="X35" s="833"/>
      <c r="Y35" s="833"/>
      <c r="Z35" s="833"/>
      <c r="AA35" s="833"/>
      <c r="AB35" s="833"/>
      <c r="AC35" s="833"/>
    </row>
    <row r="36" spans="1:29" s="47" customFormat="1" ht="31.5" x14ac:dyDescent="0.25">
      <c r="A36" s="56" t="s">
        <v>403</v>
      </c>
      <c r="B36" s="373" t="s">
        <v>1031</v>
      </c>
      <c r="C36" s="837">
        <f t="shared" si="10"/>
        <v>0</v>
      </c>
      <c r="D36" s="837"/>
      <c r="E36" s="837"/>
      <c r="F36" s="837">
        <f t="shared" si="11"/>
        <v>0</v>
      </c>
      <c r="G36" s="837"/>
      <c r="H36" s="837"/>
      <c r="I36" s="837">
        <f t="shared" si="12"/>
        <v>15000</v>
      </c>
      <c r="J36" s="837">
        <f>'Phụ lục số 2'!N44</f>
        <v>15000</v>
      </c>
      <c r="K36" s="837">
        <f>'Phụ lục số 2'!O44</f>
        <v>0</v>
      </c>
      <c r="L36" s="837">
        <f t="shared" si="15"/>
        <v>0</v>
      </c>
      <c r="M36" s="837">
        <f>'Phụ lục số 2'!S44</f>
        <v>0</v>
      </c>
      <c r="N36" s="837">
        <f>'Phụ lục số 2'!T44</f>
        <v>0</v>
      </c>
      <c r="O36" s="837">
        <f t="shared" si="16"/>
        <v>0</v>
      </c>
      <c r="P36" s="837">
        <f>'Phụ lục số 2'!X44</f>
        <v>0</v>
      </c>
      <c r="Q36" s="837">
        <f>'Phụ lục số 2'!Y44</f>
        <v>0</v>
      </c>
      <c r="R36" s="833"/>
      <c r="S36" s="833"/>
      <c r="T36" s="833"/>
      <c r="U36" s="833"/>
      <c r="V36" s="833"/>
      <c r="W36" s="833"/>
      <c r="X36" s="841"/>
      <c r="Y36" s="841"/>
      <c r="Z36" s="841"/>
      <c r="AA36" s="841"/>
      <c r="AB36" s="841"/>
      <c r="AC36" s="841"/>
    </row>
    <row r="37" spans="1:29" s="49" customFormat="1" ht="15" hidden="1" customHeight="1" x14ac:dyDescent="0.25">
      <c r="A37" s="56" t="s">
        <v>410</v>
      </c>
      <c r="B37" s="55" t="s">
        <v>599</v>
      </c>
      <c r="C37" s="837">
        <f t="shared" si="10"/>
        <v>0</v>
      </c>
      <c r="D37" s="837">
        <f>E11</f>
        <v>0</v>
      </c>
      <c r="E37" s="837"/>
      <c r="F37" s="837">
        <f t="shared" si="11"/>
        <v>0</v>
      </c>
      <c r="G37" s="837">
        <f>H11</f>
        <v>0</v>
      </c>
      <c r="H37" s="837"/>
      <c r="I37" s="837">
        <f t="shared" si="12"/>
        <v>0</v>
      </c>
      <c r="J37" s="837">
        <f>K11</f>
        <v>0</v>
      </c>
      <c r="K37" s="837"/>
      <c r="L37" s="837">
        <f t="shared" si="15"/>
        <v>0</v>
      </c>
      <c r="M37" s="837">
        <f>N11</f>
        <v>0</v>
      </c>
      <c r="N37" s="837"/>
      <c r="O37" s="837">
        <f t="shared" si="16"/>
        <v>0</v>
      </c>
      <c r="P37" s="837">
        <f>Q11</f>
        <v>0</v>
      </c>
      <c r="Q37" s="837"/>
      <c r="R37" s="833"/>
      <c r="S37" s="833"/>
      <c r="T37" s="833"/>
      <c r="U37" s="833"/>
      <c r="V37" s="833"/>
      <c r="W37" s="833"/>
      <c r="X37" s="842"/>
      <c r="Y37" s="842"/>
      <c r="Z37" s="842"/>
      <c r="AA37" s="842"/>
      <c r="AB37" s="842"/>
      <c r="AC37" s="842"/>
    </row>
    <row r="38" spans="1:29" ht="15" customHeight="1" x14ac:dyDescent="0.25">
      <c r="A38" s="369" t="s">
        <v>299</v>
      </c>
      <c r="B38" s="55" t="s">
        <v>368</v>
      </c>
      <c r="C38" s="833">
        <f>C5-C17</f>
        <v>0</v>
      </c>
      <c r="D38" s="833">
        <f>D5-D17</f>
        <v>3918157</v>
      </c>
      <c r="E38" s="833">
        <f>E5-E17</f>
        <v>-3918157</v>
      </c>
      <c r="F38" s="833">
        <f>G38+H38</f>
        <v>0</v>
      </c>
      <c r="G38" s="833">
        <f t="shared" ref="G38:Q38" si="17">G5-G17</f>
        <v>3946157</v>
      </c>
      <c r="H38" s="833">
        <f t="shared" si="17"/>
        <v>-3946157</v>
      </c>
      <c r="I38" s="833">
        <f t="shared" si="17"/>
        <v>0</v>
      </c>
      <c r="J38" s="833">
        <f t="shared" si="17"/>
        <v>4119360</v>
      </c>
      <c r="K38" s="833">
        <f t="shared" si="17"/>
        <v>-4119360</v>
      </c>
      <c r="L38" s="833">
        <f t="shared" si="17"/>
        <v>0</v>
      </c>
      <c r="M38" s="833">
        <f t="shared" si="17"/>
        <v>4064365</v>
      </c>
      <c r="N38" s="833">
        <f t="shared" si="17"/>
        <v>-4064365</v>
      </c>
      <c r="O38" s="833">
        <f t="shared" si="17"/>
        <v>0</v>
      </c>
      <c r="P38" s="833">
        <f t="shared" si="17"/>
        <v>3974195</v>
      </c>
      <c r="Q38" s="833">
        <f t="shared" si="17"/>
        <v>-3974195</v>
      </c>
      <c r="R38" s="833"/>
      <c r="S38" s="833"/>
      <c r="T38" s="833"/>
      <c r="U38" s="833"/>
      <c r="V38" s="833"/>
      <c r="W38" s="833"/>
      <c r="X38" s="843"/>
      <c r="Y38" s="843"/>
      <c r="Z38" s="843"/>
      <c r="AA38" s="843"/>
      <c r="AB38" s="843"/>
      <c r="AC38" s="843"/>
    </row>
    <row r="41" spans="1:29" ht="15" customHeight="1" x14ac:dyDescent="0.25">
      <c r="J41" s="941"/>
      <c r="K41" s="941"/>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78" customWidth="1"/>
    <col min="2" max="2" width="46.75" style="92" customWidth="1"/>
    <col min="3" max="3" width="10.625" style="92" customWidth="1"/>
    <col min="4" max="4" width="9.5" style="91" customWidth="1"/>
    <col min="5" max="5" width="8.125" style="92" customWidth="1"/>
    <col min="6" max="17" width="9.625" style="92" customWidth="1"/>
    <col min="18" max="18" width="8.125" style="92" customWidth="1"/>
    <col min="19" max="19" width="9.625" style="91" customWidth="1"/>
    <col min="20" max="16384" width="9" style="92"/>
  </cols>
  <sheetData>
    <row r="1" spans="1:22" ht="12.75" x14ac:dyDescent="0.2">
      <c r="A1" s="1017" t="s">
        <v>734</v>
      </c>
      <c r="B1" s="1017"/>
      <c r="C1" s="1017"/>
      <c r="D1" s="1017"/>
      <c r="E1" s="1017"/>
      <c r="F1" s="1017"/>
      <c r="G1" s="1017"/>
      <c r="H1" s="1017"/>
      <c r="I1" s="1017"/>
      <c r="J1" s="1017"/>
      <c r="K1" s="1017"/>
      <c r="L1" s="1017"/>
      <c r="M1" s="1017"/>
      <c r="N1" s="1017"/>
      <c r="O1" s="1017"/>
      <c r="P1" s="1017"/>
      <c r="Q1" s="1017"/>
      <c r="R1" s="1017"/>
      <c r="S1" s="1017"/>
    </row>
    <row r="2" spans="1:22" ht="15.95" customHeight="1" x14ac:dyDescent="0.2">
      <c r="P2" s="91" t="s">
        <v>419</v>
      </c>
    </row>
    <row r="3" spans="1:22" ht="12.75" x14ac:dyDescent="0.2">
      <c r="A3" s="1018" t="s">
        <v>396</v>
      </c>
      <c r="B3" s="1007" t="s">
        <v>420</v>
      </c>
      <c r="C3" s="1007" t="s">
        <v>721</v>
      </c>
      <c r="D3" s="1007"/>
      <c r="E3" s="1007"/>
      <c r="F3" s="1007"/>
      <c r="G3" s="1007"/>
      <c r="H3" s="1007"/>
      <c r="I3" s="1007"/>
      <c r="J3" s="1007"/>
      <c r="K3" s="1007"/>
      <c r="L3" s="1007"/>
      <c r="M3" s="1007"/>
      <c r="N3" s="1007"/>
      <c r="O3" s="1007"/>
      <c r="P3" s="1007"/>
      <c r="Q3" s="1007"/>
      <c r="R3" s="1007"/>
      <c r="S3" s="1007"/>
    </row>
    <row r="4" spans="1:22" ht="12.75" customHeight="1" x14ac:dyDescent="0.2">
      <c r="A4" s="1018"/>
      <c r="B4" s="1007"/>
      <c r="C4" s="1007" t="s">
        <v>690</v>
      </c>
      <c r="D4" s="1019" t="s">
        <v>481</v>
      </c>
      <c r="E4" s="1019"/>
      <c r="F4" s="1019"/>
      <c r="G4" s="1019"/>
      <c r="H4" s="1019"/>
      <c r="I4" s="1019"/>
      <c r="J4" s="1019"/>
      <c r="K4" s="1019"/>
      <c r="L4" s="1019"/>
      <c r="M4" s="1019"/>
      <c r="N4" s="1019"/>
      <c r="O4" s="1019"/>
      <c r="P4" s="1019"/>
      <c r="Q4" s="1009" t="s">
        <v>674</v>
      </c>
      <c r="R4" s="1010"/>
      <c r="S4" s="1011"/>
    </row>
    <row r="5" spans="1:22" ht="12.75" customHeight="1" x14ac:dyDescent="0.2">
      <c r="A5" s="1018"/>
      <c r="B5" s="1007"/>
      <c r="C5" s="1007"/>
      <c r="D5" s="1007" t="s">
        <v>77</v>
      </c>
      <c r="E5" s="1019" t="s">
        <v>421</v>
      </c>
      <c r="F5" s="1019"/>
      <c r="G5" s="1019"/>
      <c r="H5" s="1019"/>
      <c r="I5" s="1019"/>
      <c r="J5" s="1019"/>
      <c r="K5" s="1019"/>
      <c r="L5" s="1019"/>
      <c r="M5" s="1019"/>
      <c r="N5" s="1019"/>
      <c r="O5" s="1019"/>
      <c r="P5" s="1019"/>
      <c r="Q5" s="1012" t="s">
        <v>693</v>
      </c>
      <c r="R5" s="1015" t="s">
        <v>482</v>
      </c>
      <c r="S5" s="1016"/>
    </row>
    <row r="6" spans="1:22" ht="21.75" customHeight="1" x14ac:dyDescent="0.2">
      <c r="A6" s="1018"/>
      <c r="B6" s="1007"/>
      <c r="C6" s="1007"/>
      <c r="D6" s="1007"/>
      <c r="E6" s="1007" t="s">
        <v>422</v>
      </c>
      <c r="F6" s="1007" t="s">
        <v>470</v>
      </c>
      <c r="G6" s="1007" t="s">
        <v>471</v>
      </c>
      <c r="H6" s="1007" t="s">
        <v>472</v>
      </c>
      <c r="I6" s="1007" t="s">
        <v>473</v>
      </c>
      <c r="J6" s="1007" t="s">
        <v>474</v>
      </c>
      <c r="K6" s="1007" t="s">
        <v>423</v>
      </c>
      <c r="L6" s="1007" t="s">
        <v>475</v>
      </c>
      <c r="M6" s="1007" t="s">
        <v>476</v>
      </c>
      <c r="N6" s="1007" t="s">
        <v>477</v>
      </c>
      <c r="O6" s="1007" t="s">
        <v>478</v>
      </c>
      <c r="P6" s="1007" t="s">
        <v>479</v>
      </c>
      <c r="Q6" s="1013"/>
      <c r="R6" s="1012" t="s">
        <v>641</v>
      </c>
      <c r="S6" s="1012" t="s">
        <v>76</v>
      </c>
    </row>
    <row r="7" spans="1:22" ht="98.25" customHeight="1" x14ac:dyDescent="0.2">
      <c r="A7" s="1018"/>
      <c r="B7" s="1007"/>
      <c r="C7" s="1007"/>
      <c r="D7" s="1008"/>
      <c r="E7" s="1007"/>
      <c r="F7" s="1007"/>
      <c r="G7" s="1007"/>
      <c r="H7" s="1007"/>
      <c r="I7" s="1007"/>
      <c r="J7" s="1007"/>
      <c r="K7" s="1007"/>
      <c r="L7" s="1007"/>
      <c r="M7" s="1007"/>
      <c r="N7" s="1007"/>
      <c r="O7" s="1007"/>
      <c r="P7" s="1007"/>
      <c r="Q7" s="1014"/>
      <c r="R7" s="1014"/>
      <c r="S7" s="1014"/>
    </row>
    <row r="8" spans="1:22" s="282" customFormat="1" ht="18" customHeight="1" x14ac:dyDescent="0.2">
      <c r="A8" s="201" t="s">
        <v>279</v>
      </c>
      <c r="B8" s="202" t="s">
        <v>295</v>
      </c>
      <c r="C8" s="202" t="s">
        <v>299</v>
      </c>
      <c r="D8" s="202" t="s">
        <v>483</v>
      </c>
      <c r="E8" s="202">
        <v>2</v>
      </c>
      <c r="F8" s="202">
        <v>3</v>
      </c>
      <c r="G8" s="202">
        <v>4</v>
      </c>
      <c r="H8" s="202">
        <v>5</v>
      </c>
      <c r="I8" s="202">
        <v>6</v>
      </c>
      <c r="J8" s="202">
        <v>7</v>
      </c>
      <c r="K8" s="202">
        <v>8</v>
      </c>
      <c r="L8" s="202">
        <v>9</v>
      </c>
      <c r="M8" s="202">
        <v>10</v>
      </c>
      <c r="N8" s="202">
        <v>11</v>
      </c>
      <c r="O8" s="202">
        <v>12</v>
      </c>
      <c r="P8" s="202">
        <v>13</v>
      </c>
      <c r="Q8" s="202" t="s">
        <v>642</v>
      </c>
      <c r="R8" s="202">
        <v>15</v>
      </c>
      <c r="S8" s="202">
        <v>16</v>
      </c>
    </row>
    <row r="9" spans="1:22" ht="18.95" customHeight="1" x14ac:dyDescent="0.2">
      <c r="A9" s="188"/>
      <c r="B9" s="519" t="s">
        <v>691</v>
      </c>
      <c r="C9" s="491">
        <f>SUM(C10,C107,C108,C109,C110,C111,C112,C115,C113,C114,C116)</f>
        <v>10357034</v>
      </c>
      <c r="D9" s="491">
        <f t="shared" ref="D9:S9" si="0">SUM(D10,D107,D108,D109,D110,D111,D112,D115,D113,D114)</f>
        <v>2676305</v>
      </c>
      <c r="E9" s="491">
        <f t="shared" si="0"/>
        <v>441409</v>
      </c>
      <c r="F9" s="491">
        <f t="shared" si="0"/>
        <v>80000</v>
      </c>
      <c r="G9" s="491">
        <f t="shared" si="0"/>
        <v>28000</v>
      </c>
      <c r="H9" s="491">
        <f t="shared" si="0"/>
        <v>691691</v>
      </c>
      <c r="I9" s="491">
        <f t="shared" si="0"/>
        <v>755689</v>
      </c>
      <c r="J9" s="491">
        <f t="shared" si="0"/>
        <v>36993</v>
      </c>
      <c r="K9" s="491">
        <f t="shared" si="0"/>
        <v>5500</v>
      </c>
      <c r="L9" s="491">
        <f t="shared" si="0"/>
        <v>21283</v>
      </c>
      <c r="M9" s="491">
        <f t="shared" si="0"/>
        <v>70000</v>
      </c>
      <c r="N9" s="491">
        <f t="shared" si="0"/>
        <v>418567</v>
      </c>
      <c r="O9" s="491">
        <f t="shared" si="0"/>
        <v>102173</v>
      </c>
      <c r="P9" s="491">
        <f t="shared" si="0"/>
        <v>25000</v>
      </c>
      <c r="Q9" s="491">
        <f t="shared" si="0"/>
        <v>407294</v>
      </c>
      <c r="R9" s="491">
        <f t="shared" si="0"/>
        <v>70555</v>
      </c>
      <c r="S9" s="491">
        <f t="shared" si="0"/>
        <v>336739</v>
      </c>
      <c r="U9" s="92">
        <v>336739</v>
      </c>
      <c r="V9" s="940">
        <f>+S9-U9</f>
        <v>0</v>
      </c>
    </row>
    <row r="10" spans="1:22" ht="18.95" customHeight="1" x14ac:dyDescent="0.2">
      <c r="A10" s="193" t="s">
        <v>279</v>
      </c>
      <c r="B10" s="190" t="s">
        <v>675</v>
      </c>
      <c r="C10" s="492">
        <f>SUM(C11,C48,C63,C67)</f>
        <v>3083599</v>
      </c>
      <c r="D10" s="492">
        <f t="shared" ref="D10:S10" si="1">SUM(D11,D48,D63,D67)</f>
        <v>2676305</v>
      </c>
      <c r="E10" s="492">
        <f t="shared" si="1"/>
        <v>441409</v>
      </c>
      <c r="F10" s="492">
        <f t="shared" si="1"/>
        <v>80000</v>
      </c>
      <c r="G10" s="492">
        <f t="shared" si="1"/>
        <v>28000</v>
      </c>
      <c r="H10" s="492">
        <f t="shared" si="1"/>
        <v>691691</v>
      </c>
      <c r="I10" s="492">
        <f t="shared" si="1"/>
        <v>755689</v>
      </c>
      <c r="J10" s="492">
        <f t="shared" si="1"/>
        <v>36993</v>
      </c>
      <c r="K10" s="492">
        <f t="shared" si="1"/>
        <v>5500</v>
      </c>
      <c r="L10" s="492">
        <f t="shared" si="1"/>
        <v>21283</v>
      </c>
      <c r="M10" s="492">
        <f t="shared" si="1"/>
        <v>70000</v>
      </c>
      <c r="N10" s="492">
        <f t="shared" si="1"/>
        <v>418567</v>
      </c>
      <c r="O10" s="492">
        <f t="shared" si="1"/>
        <v>102173</v>
      </c>
      <c r="P10" s="492">
        <f t="shared" si="1"/>
        <v>25000</v>
      </c>
      <c r="Q10" s="492">
        <f t="shared" si="1"/>
        <v>407294</v>
      </c>
      <c r="R10" s="492">
        <f t="shared" si="1"/>
        <v>70555</v>
      </c>
      <c r="S10" s="492">
        <f t="shared" si="1"/>
        <v>336739</v>
      </c>
    </row>
    <row r="11" spans="1:22" s="91" customFormat="1" ht="18.95" customHeight="1" x14ac:dyDescent="0.2">
      <c r="A11" s="189" t="s">
        <v>281</v>
      </c>
      <c r="B11" s="190" t="s">
        <v>424</v>
      </c>
      <c r="C11" s="492">
        <f t="shared" ref="C11:S11" si="2">SUM(C12:C42)</f>
        <v>2885660</v>
      </c>
      <c r="D11" s="492">
        <f t="shared" si="2"/>
        <v>2514859</v>
      </c>
      <c r="E11" s="492">
        <f t="shared" si="2"/>
        <v>440363</v>
      </c>
      <c r="F11" s="492">
        <f t="shared" si="2"/>
        <v>79226</v>
      </c>
      <c r="G11" s="492">
        <f t="shared" si="2"/>
        <v>27300</v>
      </c>
      <c r="H11" s="492">
        <f t="shared" si="2"/>
        <v>681195</v>
      </c>
      <c r="I11" s="492">
        <f t="shared" si="2"/>
        <v>755589</v>
      </c>
      <c r="J11" s="492">
        <f t="shared" si="2"/>
        <v>36993</v>
      </c>
      <c r="K11" s="492">
        <f t="shared" si="2"/>
        <v>5217</v>
      </c>
      <c r="L11" s="492">
        <f t="shared" si="2"/>
        <v>21283</v>
      </c>
      <c r="M11" s="492">
        <f t="shared" si="2"/>
        <v>70000</v>
      </c>
      <c r="N11" s="492">
        <f t="shared" si="2"/>
        <v>381313</v>
      </c>
      <c r="O11" s="492">
        <f t="shared" si="2"/>
        <v>0</v>
      </c>
      <c r="P11" s="492">
        <f t="shared" si="2"/>
        <v>16380</v>
      </c>
      <c r="Q11" s="492">
        <f>SUM(Q12:Q42)</f>
        <v>370801</v>
      </c>
      <c r="R11" s="492">
        <f t="shared" si="2"/>
        <v>70555</v>
      </c>
      <c r="S11" s="492">
        <f t="shared" si="2"/>
        <v>300246</v>
      </c>
    </row>
    <row r="12" spans="1:22" s="91" customFormat="1" ht="18.95" customHeight="1" x14ac:dyDescent="0.2">
      <c r="A12" s="189">
        <v>1</v>
      </c>
      <c r="B12" s="191" t="s">
        <v>500</v>
      </c>
      <c r="C12" s="493">
        <f>D12+Q12</f>
        <v>9249</v>
      </c>
      <c r="D12" s="493">
        <f t="shared" ref="D12:D47" si="3">SUM(E12:P12)</f>
        <v>9249</v>
      </c>
      <c r="E12" s="494">
        <v>0</v>
      </c>
      <c r="F12" s="494">
        <v>0</v>
      </c>
      <c r="G12" s="494">
        <v>0</v>
      </c>
      <c r="H12" s="494">
        <v>500</v>
      </c>
      <c r="I12" s="494">
        <v>0</v>
      </c>
      <c r="J12" s="494">
        <v>0</v>
      </c>
      <c r="K12" s="494">
        <v>306</v>
      </c>
      <c r="L12" s="494">
        <v>0</v>
      </c>
      <c r="M12" s="494">
        <v>0</v>
      </c>
      <c r="N12" s="494">
        <v>8443</v>
      </c>
      <c r="O12" s="494">
        <v>0</v>
      </c>
      <c r="P12" s="494">
        <v>0</v>
      </c>
      <c r="Q12" s="494">
        <f>R12+S12</f>
        <v>0</v>
      </c>
      <c r="R12" s="494"/>
      <c r="S12" s="494"/>
    </row>
    <row r="13" spans="1:22" s="91" customFormat="1" ht="18.95" customHeight="1" x14ac:dyDescent="0.2">
      <c r="A13" s="189">
        <v>2</v>
      </c>
      <c r="B13" s="191" t="s">
        <v>81</v>
      </c>
      <c r="C13" s="493">
        <f t="shared" ref="C13:C47" si="4">D13+Q13</f>
        <v>21860</v>
      </c>
      <c r="D13" s="493">
        <f t="shared" si="3"/>
        <v>21860</v>
      </c>
      <c r="E13" s="494">
        <v>1180</v>
      </c>
      <c r="F13" s="494"/>
      <c r="G13" s="494"/>
      <c r="H13" s="494">
        <v>880</v>
      </c>
      <c r="I13" s="494"/>
      <c r="J13" s="494"/>
      <c r="K13" s="494"/>
      <c r="L13" s="494"/>
      <c r="M13" s="494"/>
      <c r="N13" s="494">
        <v>19800</v>
      </c>
      <c r="O13" s="494"/>
      <c r="P13" s="494"/>
      <c r="Q13" s="494">
        <f t="shared" ref="Q13:Q41" si="5">R13+S13</f>
        <v>0</v>
      </c>
      <c r="R13" s="494"/>
      <c r="S13" s="494"/>
    </row>
    <row r="14" spans="1:22" s="91" customFormat="1" ht="18.95" customHeight="1" x14ac:dyDescent="0.2">
      <c r="A14" s="189">
        <v>3</v>
      </c>
      <c r="B14" s="191" t="s">
        <v>112</v>
      </c>
      <c r="C14" s="493">
        <f t="shared" si="4"/>
        <v>220406</v>
      </c>
      <c r="D14" s="493">
        <f t="shared" si="3"/>
        <v>216506</v>
      </c>
      <c r="E14" s="494">
        <v>191342</v>
      </c>
      <c r="F14" s="494">
        <v>8359</v>
      </c>
      <c r="G14" s="494"/>
      <c r="H14" s="494">
        <f>10000</f>
        <v>10000</v>
      </c>
      <c r="I14" s="494"/>
      <c r="J14" s="494"/>
      <c r="K14" s="494"/>
      <c r="L14" s="494"/>
      <c r="M14" s="494"/>
      <c r="N14" s="494">
        <v>6805</v>
      </c>
      <c r="O14" s="494"/>
      <c r="P14" s="494"/>
      <c r="Q14" s="494">
        <f t="shared" si="5"/>
        <v>3900</v>
      </c>
      <c r="R14" s="494"/>
      <c r="S14" s="494">
        <f>'Phụ lục số 8'!E47+'Phụ lục số 8'!E48</f>
        <v>3900</v>
      </c>
    </row>
    <row r="15" spans="1:22" s="91" customFormat="1" ht="18.95" customHeight="1" x14ac:dyDescent="0.2">
      <c r="A15" s="189">
        <v>4</v>
      </c>
      <c r="B15" s="191" t="s">
        <v>111</v>
      </c>
      <c r="C15" s="493">
        <f t="shared" si="4"/>
        <v>7801</v>
      </c>
      <c r="D15" s="493">
        <f t="shared" si="3"/>
        <v>7801</v>
      </c>
      <c r="E15" s="494">
        <v>899</v>
      </c>
      <c r="F15" s="494"/>
      <c r="G15" s="494"/>
      <c r="H15" s="494">
        <v>1080</v>
      </c>
      <c r="I15" s="494"/>
      <c r="J15" s="494"/>
      <c r="K15" s="494"/>
      <c r="L15" s="494"/>
      <c r="M15" s="494"/>
      <c r="N15" s="494">
        <v>5822</v>
      </c>
      <c r="O15" s="494"/>
      <c r="P15" s="494"/>
      <c r="Q15" s="494">
        <f t="shared" si="5"/>
        <v>0</v>
      </c>
      <c r="R15" s="494"/>
      <c r="S15" s="494"/>
    </row>
    <row r="16" spans="1:22" s="91" customFormat="1" ht="18.95" customHeight="1" x14ac:dyDescent="0.2">
      <c r="A16" s="189">
        <v>5</v>
      </c>
      <c r="B16" s="191" t="s">
        <v>110</v>
      </c>
      <c r="C16" s="493">
        <f t="shared" si="4"/>
        <v>11401</v>
      </c>
      <c r="D16" s="493">
        <f t="shared" si="3"/>
        <v>11129</v>
      </c>
      <c r="E16" s="494">
        <v>4737</v>
      </c>
      <c r="F16" s="494"/>
      <c r="G16" s="494"/>
      <c r="H16" s="494">
        <v>1800</v>
      </c>
      <c r="I16" s="494"/>
      <c r="J16" s="494"/>
      <c r="K16" s="494"/>
      <c r="L16" s="494"/>
      <c r="M16" s="494"/>
      <c r="N16" s="494">
        <v>4592</v>
      </c>
      <c r="O16" s="494"/>
      <c r="P16" s="494"/>
      <c r="Q16" s="494">
        <f t="shared" si="5"/>
        <v>272</v>
      </c>
      <c r="R16" s="494"/>
      <c r="S16" s="494">
        <f>'Phụ lục số 8'!E36</f>
        <v>272</v>
      </c>
    </row>
    <row r="17" spans="1:19" s="91" customFormat="1" ht="18.95" customHeight="1" x14ac:dyDescent="0.2">
      <c r="A17" s="189">
        <v>6</v>
      </c>
      <c r="B17" s="191" t="s">
        <v>109</v>
      </c>
      <c r="C17" s="493">
        <f t="shared" si="4"/>
        <v>20267</v>
      </c>
      <c r="D17" s="493">
        <f t="shared" si="3"/>
        <v>20267</v>
      </c>
      <c r="E17" s="494">
        <v>10906</v>
      </c>
      <c r="F17" s="494">
        <f>28</f>
        <v>28</v>
      </c>
      <c r="G17" s="494"/>
      <c r="H17" s="494">
        <v>640</v>
      </c>
      <c r="I17" s="494"/>
      <c r="J17" s="494"/>
      <c r="K17" s="494"/>
      <c r="L17" s="494"/>
      <c r="M17" s="494"/>
      <c r="N17" s="494">
        <v>8693</v>
      </c>
      <c r="O17" s="494"/>
      <c r="P17" s="494"/>
      <c r="Q17" s="494">
        <f t="shared" si="5"/>
        <v>0</v>
      </c>
      <c r="R17" s="494"/>
      <c r="S17" s="494"/>
    </row>
    <row r="18" spans="1:19" s="91" customFormat="1" ht="18.95" customHeight="1" x14ac:dyDescent="0.2">
      <c r="A18" s="189">
        <v>7</v>
      </c>
      <c r="B18" s="191" t="s">
        <v>108</v>
      </c>
      <c r="C18" s="493">
        <f t="shared" si="4"/>
        <v>30599</v>
      </c>
      <c r="D18" s="493">
        <f t="shared" si="3"/>
        <v>29899</v>
      </c>
      <c r="E18" s="494">
        <v>0</v>
      </c>
      <c r="F18" s="494"/>
      <c r="G18" s="494">
        <v>24000</v>
      </c>
      <c r="H18" s="494">
        <v>0</v>
      </c>
      <c r="I18" s="494"/>
      <c r="J18" s="494"/>
      <c r="K18" s="494"/>
      <c r="L18" s="494"/>
      <c r="M18" s="494"/>
      <c r="N18" s="494">
        <v>5899</v>
      </c>
      <c r="O18" s="494"/>
      <c r="P18" s="494"/>
      <c r="Q18" s="494">
        <f t="shared" si="5"/>
        <v>700</v>
      </c>
      <c r="R18" s="494"/>
      <c r="S18" s="494">
        <f>'Phụ lục số 8'!E38</f>
        <v>700</v>
      </c>
    </row>
    <row r="19" spans="1:19" s="91" customFormat="1" ht="18.95" customHeight="1" x14ac:dyDescent="0.2">
      <c r="A19" s="189">
        <v>8</v>
      </c>
      <c r="B19" s="191" t="s">
        <v>107</v>
      </c>
      <c r="C19" s="493">
        <f t="shared" si="4"/>
        <v>26371</v>
      </c>
      <c r="D19" s="493">
        <f t="shared" si="3"/>
        <v>26371</v>
      </c>
      <c r="E19" s="494">
        <v>690</v>
      </c>
      <c r="F19" s="494"/>
      <c r="G19" s="494"/>
      <c r="H19" s="494">
        <v>5000</v>
      </c>
      <c r="I19" s="494"/>
      <c r="J19" s="494"/>
      <c r="K19" s="494"/>
      <c r="L19" s="494"/>
      <c r="M19" s="494"/>
      <c r="N19" s="494">
        <v>20681</v>
      </c>
      <c r="O19" s="494"/>
      <c r="P19" s="494"/>
      <c r="Q19" s="494">
        <f t="shared" si="5"/>
        <v>0</v>
      </c>
      <c r="R19" s="494"/>
      <c r="S19" s="494"/>
    </row>
    <row r="20" spans="1:19" s="91" customFormat="1" ht="18.95" customHeight="1" x14ac:dyDescent="0.2">
      <c r="A20" s="189">
        <v>9</v>
      </c>
      <c r="B20" s="191" t="s">
        <v>106</v>
      </c>
      <c r="C20" s="493">
        <f t="shared" si="4"/>
        <v>10284</v>
      </c>
      <c r="D20" s="493">
        <f t="shared" si="3"/>
        <v>10284</v>
      </c>
      <c r="E20" s="494">
        <v>3418</v>
      </c>
      <c r="F20" s="494">
        <v>0</v>
      </c>
      <c r="G20" s="494"/>
      <c r="H20" s="494">
        <v>100</v>
      </c>
      <c r="I20" s="494"/>
      <c r="J20" s="494"/>
      <c r="K20" s="494"/>
      <c r="L20" s="494"/>
      <c r="M20" s="494"/>
      <c r="N20" s="494">
        <v>6766</v>
      </c>
      <c r="O20" s="494"/>
      <c r="P20" s="494"/>
      <c r="Q20" s="494">
        <f t="shared" si="5"/>
        <v>0</v>
      </c>
      <c r="R20" s="494"/>
      <c r="S20" s="494"/>
    </row>
    <row r="21" spans="1:19" s="91" customFormat="1" ht="18.95" customHeight="1" x14ac:dyDescent="0.2">
      <c r="A21" s="189">
        <v>10</v>
      </c>
      <c r="B21" s="191" t="s">
        <v>105</v>
      </c>
      <c r="C21" s="493">
        <f t="shared" si="4"/>
        <v>45975</v>
      </c>
      <c r="D21" s="493">
        <f t="shared" si="3"/>
        <v>45975</v>
      </c>
      <c r="E21" s="494">
        <v>34316</v>
      </c>
      <c r="F21" s="494"/>
      <c r="G21" s="494"/>
      <c r="H21" s="494">
        <v>523</v>
      </c>
      <c r="I21" s="494"/>
      <c r="J21" s="494"/>
      <c r="K21" s="494"/>
      <c r="L21" s="494"/>
      <c r="M21" s="494"/>
      <c r="N21" s="494">
        <v>11136</v>
      </c>
      <c r="O21" s="494"/>
      <c r="P21" s="494"/>
      <c r="Q21" s="494">
        <f t="shared" si="5"/>
        <v>0</v>
      </c>
      <c r="R21" s="494"/>
      <c r="S21" s="494"/>
    </row>
    <row r="22" spans="1:19" s="91" customFormat="1" ht="18.95" customHeight="1" x14ac:dyDescent="0.2">
      <c r="A22" s="189">
        <v>11</v>
      </c>
      <c r="B22" s="191" t="s">
        <v>104</v>
      </c>
      <c r="C22" s="493">
        <f t="shared" si="4"/>
        <v>430924</v>
      </c>
      <c r="D22" s="493">
        <f t="shared" si="3"/>
        <v>430924</v>
      </c>
      <c r="E22" s="494">
        <v>0</v>
      </c>
      <c r="F22" s="494">
        <v>63</v>
      </c>
      <c r="G22" s="494"/>
      <c r="H22" s="494">
        <v>413835</v>
      </c>
      <c r="I22" s="494"/>
      <c r="J22" s="494"/>
      <c r="K22" s="494"/>
      <c r="L22" s="494">
        <v>7886</v>
      </c>
      <c r="M22" s="494"/>
      <c r="N22" s="494">
        <v>9140</v>
      </c>
      <c r="O22" s="494"/>
      <c r="P22" s="494"/>
      <c r="Q22" s="494">
        <f t="shared" si="5"/>
        <v>0</v>
      </c>
      <c r="R22" s="494"/>
      <c r="S22" s="494"/>
    </row>
    <row r="23" spans="1:19" s="91" customFormat="1" ht="18.95" customHeight="1" x14ac:dyDescent="0.2">
      <c r="A23" s="189">
        <v>12</v>
      </c>
      <c r="B23" s="191" t="s">
        <v>103</v>
      </c>
      <c r="C23" s="493">
        <f t="shared" si="4"/>
        <v>419583</v>
      </c>
      <c r="D23" s="493">
        <f t="shared" si="3"/>
        <v>413518</v>
      </c>
      <c r="E23" s="494">
        <v>0</v>
      </c>
      <c r="F23" s="494"/>
      <c r="G23" s="494"/>
      <c r="H23" s="494">
        <v>17000</v>
      </c>
      <c r="I23" s="494">
        <v>387522</v>
      </c>
      <c r="J23" s="494"/>
      <c r="K23" s="494"/>
      <c r="L23" s="494"/>
      <c r="M23" s="494"/>
      <c r="N23" s="494">
        <v>8996</v>
      </c>
      <c r="O23" s="494"/>
      <c r="P23" s="494"/>
      <c r="Q23" s="494">
        <f t="shared" si="5"/>
        <v>6065</v>
      </c>
      <c r="R23" s="494"/>
      <c r="S23" s="494">
        <f>'Phụ lục số 8'!E44</f>
        <v>6065</v>
      </c>
    </row>
    <row r="24" spans="1:19" s="91" customFormat="1" ht="18.95" customHeight="1" x14ac:dyDescent="0.2">
      <c r="A24" s="189">
        <v>13</v>
      </c>
      <c r="B24" s="191" t="s">
        <v>102</v>
      </c>
      <c r="C24" s="493">
        <f t="shared" si="4"/>
        <v>140746</v>
      </c>
      <c r="D24" s="493">
        <f t="shared" si="3"/>
        <v>126143</v>
      </c>
      <c r="E24" s="494">
        <v>0</v>
      </c>
      <c r="F24" s="494"/>
      <c r="G24" s="494"/>
      <c r="H24" s="494">
        <v>48319</v>
      </c>
      <c r="I24" s="494">
        <v>0</v>
      </c>
      <c r="J24" s="494"/>
      <c r="K24" s="494"/>
      <c r="L24" s="494"/>
      <c r="M24" s="494">
        <v>70000</v>
      </c>
      <c r="N24" s="494">
        <v>7824</v>
      </c>
      <c r="O24" s="494"/>
      <c r="P24" s="494"/>
      <c r="Q24" s="494">
        <f t="shared" si="5"/>
        <v>14603</v>
      </c>
      <c r="R24" s="494"/>
      <c r="S24" s="494">
        <f>'Phụ lục số 8'!E42+'Phụ lục số 8'!E43</f>
        <v>14603</v>
      </c>
    </row>
    <row r="25" spans="1:19" s="91" customFormat="1" ht="18.95" customHeight="1" x14ac:dyDescent="0.2">
      <c r="A25" s="189">
        <v>14</v>
      </c>
      <c r="B25" s="191" t="s">
        <v>101</v>
      </c>
      <c r="C25" s="493">
        <f t="shared" si="4"/>
        <v>98411</v>
      </c>
      <c r="D25" s="493">
        <f t="shared" si="3"/>
        <v>97296</v>
      </c>
      <c r="E25" s="494">
        <v>0</v>
      </c>
      <c r="F25" s="494"/>
      <c r="G25" s="494">
        <v>2500</v>
      </c>
      <c r="H25" s="494">
        <v>39354</v>
      </c>
      <c r="I25" s="494"/>
      <c r="J25" s="494">
        <v>34853</v>
      </c>
      <c r="K25" s="494"/>
      <c r="L25" s="494">
        <v>13397</v>
      </c>
      <c r="M25" s="494"/>
      <c r="N25" s="494">
        <v>7192</v>
      </c>
      <c r="O25" s="494"/>
      <c r="P25" s="494"/>
      <c r="Q25" s="494">
        <f t="shared" si="5"/>
        <v>1115</v>
      </c>
      <c r="R25" s="494"/>
      <c r="S25" s="494">
        <f>'Phụ lục số 8'!E45</f>
        <v>1115</v>
      </c>
    </row>
    <row r="26" spans="1:19" s="91" customFormat="1" ht="18.95" customHeight="1" x14ac:dyDescent="0.2">
      <c r="A26" s="189">
        <v>15</v>
      </c>
      <c r="B26" s="191" t="s">
        <v>100</v>
      </c>
      <c r="C26" s="493">
        <f t="shared" si="4"/>
        <v>132790</v>
      </c>
      <c r="D26" s="493">
        <f t="shared" si="3"/>
        <v>132390</v>
      </c>
      <c r="E26" s="494">
        <v>85794</v>
      </c>
      <c r="F26" s="494">
        <v>37728</v>
      </c>
      <c r="G26" s="494"/>
      <c r="H26" s="494">
        <v>0</v>
      </c>
      <c r="I26" s="494"/>
      <c r="J26" s="494"/>
      <c r="K26" s="494"/>
      <c r="L26" s="494"/>
      <c r="M26" s="494"/>
      <c r="N26" s="494">
        <v>8868</v>
      </c>
      <c r="O26" s="494"/>
      <c r="P26" s="494"/>
      <c r="Q26" s="494">
        <f t="shared" si="5"/>
        <v>400</v>
      </c>
      <c r="R26" s="494"/>
      <c r="S26" s="494">
        <f>'Phụ lục số 8'!E49</f>
        <v>400</v>
      </c>
    </row>
    <row r="27" spans="1:19" s="91" customFormat="1" ht="18.95" customHeight="1" x14ac:dyDescent="0.2">
      <c r="A27" s="189">
        <v>16</v>
      </c>
      <c r="B27" s="191" t="s">
        <v>80</v>
      </c>
      <c r="C27" s="493">
        <f t="shared" si="4"/>
        <v>10391</v>
      </c>
      <c r="D27" s="493">
        <f t="shared" si="3"/>
        <v>10391</v>
      </c>
      <c r="E27" s="494">
        <v>3188</v>
      </c>
      <c r="F27" s="494"/>
      <c r="G27" s="494"/>
      <c r="H27" s="494">
        <v>1209</v>
      </c>
      <c r="I27" s="494"/>
      <c r="J27" s="494"/>
      <c r="K27" s="494"/>
      <c r="L27" s="494"/>
      <c r="M27" s="494"/>
      <c r="N27" s="494">
        <v>5994</v>
      </c>
      <c r="O27" s="494"/>
      <c r="P27" s="494"/>
      <c r="Q27" s="494">
        <f t="shared" si="5"/>
        <v>0</v>
      </c>
      <c r="R27" s="494"/>
      <c r="S27" s="494"/>
    </row>
    <row r="28" spans="1:19" s="91" customFormat="1" ht="18.95" customHeight="1" x14ac:dyDescent="0.2">
      <c r="A28" s="189">
        <v>17</v>
      </c>
      <c r="B28" s="191" t="s">
        <v>209</v>
      </c>
      <c r="C28" s="493">
        <f t="shared" si="4"/>
        <v>38869</v>
      </c>
      <c r="D28" s="493">
        <f t="shared" si="3"/>
        <v>38369</v>
      </c>
      <c r="E28" s="494">
        <v>4393</v>
      </c>
      <c r="F28" s="494"/>
      <c r="G28" s="494"/>
      <c r="H28" s="494">
        <v>5750</v>
      </c>
      <c r="I28" s="494"/>
      <c r="J28" s="494"/>
      <c r="K28" s="494"/>
      <c r="L28" s="494"/>
      <c r="M28" s="494"/>
      <c r="N28" s="494">
        <v>28226</v>
      </c>
      <c r="O28" s="494"/>
      <c r="P28" s="494"/>
      <c r="Q28" s="494">
        <f t="shared" si="5"/>
        <v>500</v>
      </c>
      <c r="R28" s="494"/>
      <c r="S28" s="494">
        <f>'Phụ lục số 8'!E35</f>
        <v>500</v>
      </c>
    </row>
    <row r="29" spans="1:19" s="91" customFormat="1" ht="18.95" customHeight="1" x14ac:dyDescent="0.2">
      <c r="A29" s="189">
        <v>18</v>
      </c>
      <c r="B29" s="191" t="s">
        <v>194</v>
      </c>
      <c r="C29" s="493">
        <f t="shared" si="4"/>
        <v>11919</v>
      </c>
      <c r="D29" s="493">
        <f t="shared" si="3"/>
        <v>11919</v>
      </c>
      <c r="E29" s="494">
        <v>0</v>
      </c>
      <c r="F29" s="494"/>
      <c r="G29" s="494"/>
      <c r="H29" s="494">
        <v>1670</v>
      </c>
      <c r="I29" s="494"/>
      <c r="J29" s="494"/>
      <c r="K29" s="494"/>
      <c r="L29" s="494"/>
      <c r="M29" s="494"/>
      <c r="N29" s="494">
        <v>10249</v>
      </c>
      <c r="O29" s="494"/>
      <c r="P29" s="494"/>
      <c r="Q29" s="494">
        <f t="shared" si="5"/>
        <v>0</v>
      </c>
      <c r="R29" s="494"/>
      <c r="S29" s="494"/>
    </row>
    <row r="30" spans="1:19" s="91" customFormat="1" ht="18.95" customHeight="1" x14ac:dyDescent="0.2">
      <c r="A30" s="189">
        <v>19</v>
      </c>
      <c r="B30" s="191" t="s">
        <v>99</v>
      </c>
      <c r="C30" s="493">
        <f t="shared" si="4"/>
        <v>8432</v>
      </c>
      <c r="D30" s="493">
        <f t="shared" si="3"/>
        <v>8432</v>
      </c>
      <c r="E30" s="494">
        <v>0</v>
      </c>
      <c r="F30" s="494"/>
      <c r="G30" s="494"/>
      <c r="H30" s="494">
        <v>0</v>
      </c>
      <c r="I30" s="494"/>
      <c r="J30" s="494"/>
      <c r="K30" s="494"/>
      <c r="L30" s="494"/>
      <c r="M30" s="494"/>
      <c r="N30" s="494">
        <v>8432</v>
      </c>
      <c r="O30" s="494"/>
      <c r="P30" s="494"/>
      <c r="Q30" s="494">
        <f t="shared" si="5"/>
        <v>0</v>
      </c>
      <c r="R30" s="494"/>
      <c r="S30" s="494"/>
    </row>
    <row r="31" spans="1:19" s="91" customFormat="1" ht="18.95" customHeight="1" x14ac:dyDescent="0.2">
      <c r="A31" s="189">
        <v>20</v>
      </c>
      <c r="B31" s="191" t="s">
        <v>98</v>
      </c>
      <c r="C31" s="493">
        <f t="shared" si="4"/>
        <v>4400</v>
      </c>
      <c r="D31" s="493">
        <f t="shared" si="3"/>
        <v>4400</v>
      </c>
      <c r="E31" s="494">
        <v>0</v>
      </c>
      <c r="F31" s="494"/>
      <c r="G31" s="494"/>
      <c r="H31" s="494">
        <v>0</v>
      </c>
      <c r="I31" s="494"/>
      <c r="J31" s="494"/>
      <c r="K31" s="494">
        <v>4400</v>
      </c>
      <c r="L31" s="494"/>
      <c r="M31" s="494"/>
      <c r="N31" s="494">
        <v>0</v>
      </c>
      <c r="O31" s="494"/>
      <c r="P31" s="494"/>
      <c r="Q31" s="494">
        <f t="shared" si="5"/>
        <v>0</v>
      </c>
      <c r="R31" s="494"/>
      <c r="S31" s="494"/>
    </row>
    <row r="32" spans="1:19" s="91" customFormat="1" ht="18.95" customHeight="1" x14ac:dyDescent="0.2">
      <c r="A32" s="189">
        <v>21</v>
      </c>
      <c r="B32" s="191" t="s">
        <v>97</v>
      </c>
      <c r="C32" s="493">
        <f t="shared" si="4"/>
        <v>3378</v>
      </c>
      <c r="D32" s="493">
        <f t="shared" si="3"/>
        <v>3378</v>
      </c>
      <c r="E32" s="494">
        <v>0</v>
      </c>
      <c r="F32" s="494">
        <v>55</v>
      </c>
      <c r="G32" s="494"/>
      <c r="H32" s="494">
        <v>0</v>
      </c>
      <c r="I32" s="494"/>
      <c r="J32" s="494"/>
      <c r="K32" s="494"/>
      <c r="L32" s="494"/>
      <c r="M32" s="494"/>
      <c r="N32" s="494">
        <v>3323</v>
      </c>
      <c r="O32" s="494"/>
      <c r="P32" s="494"/>
      <c r="Q32" s="494">
        <f t="shared" si="5"/>
        <v>0</v>
      </c>
      <c r="R32" s="494"/>
      <c r="S32" s="494"/>
    </row>
    <row r="33" spans="1:19" s="91" customFormat="1" ht="18.95" customHeight="1" x14ac:dyDescent="0.2">
      <c r="A33" s="189">
        <v>22</v>
      </c>
      <c r="B33" s="191" t="s">
        <v>93</v>
      </c>
      <c r="C33" s="493">
        <f t="shared" si="4"/>
        <v>191197</v>
      </c>
      <c r="D33" s="493">
        <f t="shared" si="3"/>
        <v>191197</v>
      </c>
      <c r="E33" s="494">
        <v>0</v>
      </c>
      <c r="F33" s="494"/>
      <c r="G33" s="494">
        <v>0</v>
      </c>
      <c r="H33" s="494">
        <v>1814</v>
      </c>
      <c r="I33" s="494">
        <v>11810</v>
      </c>
      <c r="J33" s="494"/>
      <c r="K33" s="494"/>
      <c r="L33" s="494"/>
      <c r="M33" s="494"/>
      <c r="N33" s="494">
        <v>177573</v>
      </c>
      <c r="O33" s="494"/>
      <c r="P33" s="494"/>
      <c r="Q33" s="494">
        <f t="shared" si="5"/>
        <v>0</v>
      </c>
      <c r="R33" s="494"/>
      <c r="S33" s="494"/>
    </row>
    <row r="34" spans="1:19" s="91" customFormat="1" ht="18.95" customHeight="1" x14ac:dyDescent="0.2">
      <c r="A34" s="189">
        <v>23</v>
      </c>
      <c r="B34" s="191" t="s">
        <v>94</v>
      </c>
      <c r="C34" s="493">
        <f t="shared" si="4"/>
        <v>22832</v>
      </c>
      <c r="D34" s="493">
        <f t="shared" si="3"/>
        <v>22832</v>
      </c>
      <c r="E34" s="494">
        <v>0</v>
      </c>
      <c r="F34" s="494"/>
      <c r="G34" s="494"/>
      <c r="H34" s="494">
        <v>22832</v>
      </c>
      <c r="I34" s="494"/>
      <c r="J34" s="494"/>
      <c r="K34" s="494"/>
      <c r="L34" s="494"/>
      <c r="M34" s="494"/>
      <c r="N34" s="494">
        <v>0</v>
      </c>
      <c r="O34" s="494"/>
      <c r="P34" s="494"/>
      <c r="Q34" s="494">
        <f t="shared" si="5"/>
        <v>0</v>
      </c>
      <c r="R34" s="494"/>
      <c r="S34" s="494"/>
    </row>
    <row r="35" spans="1:19" s="91" customFormat="1" ht="18.95" customHeight="1" x14ac:dyDescent="0.2">
      <c r="A35" s="189">
        <v>24</v>
      </c>
      <c r="B35" s="191" t="s">
        <v>95</v>
      </c>
      <c r="C35" s="493">
        <f t="shared" si="4"/>
        <v>10106</v>
      </c>
      <c r="D35" s="493">
        <f t="shared" si="3"/>
        <v>10106</v>
      </c>
      <c r="E35" s="494">
        <v>0</v>
      </c>
      <c r="F35" s="494">
        <v>10106</v>
      </c>
      <c r="G35" s="494"/>
      <c r="H35" s="494">
        <v>0</v>
      </c>
      <c r="I35" s="494"/>
      <c r="J35" s="494"/>
      <c r="K35" s="494"/>
      <c r="L35" s="494"/>
      <c r="M35" s="494"/>
      <c r="N35" s="494">
        <v>0</v>
      </c>
      <c r="O35" s="494"/>
      <c r="P35" s="494"/>
      <c r="Q35" s="494">
        <f t="shared" si="5"/>
        <v>0</v>
      </c>
      <c r="R35" s="494"/>
      <c r="S35" s="494"/>
    </row>
    <row r="36" spans="1:19" s="91" customFormat="1" ht="18.95" customHeight="1" x14ac:dyDescent="0.2">
      <c r="A36" s="189">
        <v>25</v>
      </c>
      <c r="B36" s="191" t="s">
        <v>96</v>
      </c>
      <c r="C36" s="493">
        <f t="shared" si="4"/>
        <v>17569</v>
      </c>
      <c r="D36" s="493">
        <f t="shared" si="3"/>
        <v>17569</v>
      </c>
      <c r="E36" s="494">
        <v>0</v>
      </c>
      <c r="F36" s="494"/>
      <c r="G36" s="494"/>
      <c r="H36" s="494">
        <v>17569</v>
      </c>
      <c r="I36" s="494"/>
      <c r="J36" s="494"/>
      <c r="K36" s="494"/>
      <c r="L36" s="494"/>
      <c r="M36" s="494"/>
      <c r="N36" s="494">
        <v>0</v>
      </c>
      <c r="O36" s="494"/>
      <c r="P36" s="494"/>
      <c r="Q36" s="494">
        <f t="shared" si="5"/>
        <v>0</v>
      </c>
      <c r="R36" s="494"/>
      <c r="S36" s="494"/>
    </row>
    <row r="37" spans="1:19" s="91" customFormat="1" ht="18.95" customHeight="1" x14ac:dyDescent="0.2">
      <c r="A37" s="189">
        <v>26</v>
      </c>
      <c r="B37" s="191" t="s">
        <v>113</v>
      </c>
      <c r="C37" s="493">
        <f t="shared" si="4"/>
        <v>15951</v>
      </c>
      <c r="D37" s="493">
        <f t="shared" si="3"/>
        <v>15951</v>
      </c>
      <c r="E37" s="494">
        <v>0</v>
      </c>
      <c r="F37" s="494"/>
      <c r="G37" s="494"/>
      <c r="H37" s="494">
        <v>15951</v>
      </c>
      <c r="I37" s="494"/>
      <c r="J37" s="494"/>
      <c r="K37" s="494"/>
      <c r="L37" s="494"/>
      <c r="M37" s="494"/>
      <c r="N37" s="494">
        <v>0</v>
      </c>
      <c r="O37" s="494"/>
      <c r="P37" s="494"/>
      <c r="Q37" s="494">
        <f t="shared" si="5"/>
        <v>0</v>
      </c>
      <c r="R37" s="494"/>
      <c r="S37" s="494"/>
    </row>
    <row r="38" spans="1:19" s="91" customFormat="1" ht="18.95" customHeight="1" x14ac:dyDescent="0.2">
      <c r="A38" s="189">
        <v>27</v>
      </c>
      <c r="B38" s="191" t="s">
        <v>114</v>
      </c>
      <c r="C38" s="493">
        <f t="shared" si="4"/>
        <v>6080</v>
      </c>
      <c r="D38" s="493">
        <f t="shared" si="3"/>
        <v>6080</v>
      </c>
      <c r="E38" s="494">
        <v>0</v>
      </c>
      <c r="F38" s="494"/>
      <c r="G38" s="494"/>
      <c r="H38" s="494">
        <v>6080</v>
      </c>
      <c r="I38" s="494"/>
      <c r="J38" s="494"/>
      <c r="K38" s="494"/>
      <c r="L38" s="494"/>
      <c r="M38" s="494"/>
      <c r="N38" s="494">
        <v>0</v>
      </c>
      <c r="O38" s="494"/>
      <c r="P38" s="494"/>
      <c r="Q38" s="494">
        <f t="shared" si="5"/>
        <v>0</v>
      </c>
      <c r="R38" s="494"/>
      <c r="S38" s="494"/>
    </row>
    <row r="39" spans="1:19" s="91" customFormat="1" ht="18.95" customHeight="1" x14ac:dyDescent="0.2">
      <c r="A39" s="189">
        <v>28</v>
      </c>
      <c r="B39" s="191" t="s">
        <v>115</v>
      </c>
      <c r="C39" s="493">
        <f t="shared" si="4"/>
        <v>11438</v>
      </c>
      <c r="D39" s="493">
        <f t="shared" si="3"/>
        <v>11438</v>
      </c>
      <c r="E39" s="494">
        <v>11438</v>
      </c>
      <c r="F39" s="494"/>
      <c r="G39" s="494"/>
      <c r="H39" s="494">
        <v>0</v>
      </c>
      <c r="I39" s="494"/>
      <c r="J39" s="494"/>
      <c r="K39" s="494"/>
      <c r="L39" s="494"/>
      <c r="M39" s="494"/>
      <c r="N39" s="494">
        <v>0</v>
      </c>
      <c r="O39" s="494">
        <v>0</v>
      </c>
      <c r="P39" s="494"/>
      <c r="Q39" s="494">
        <f t="shared" si="5"/>
        <v>0</v>
      </c>
      <c r="R39" s="494"/>
      <c r="S39" s="494"/>
    </row>
    <row r="40" spans="1:19" s="91" customFormat="1" ht="18.95" customHeight="1" x14ac:dyDescent="0.2">
      <c r="A40" s="189">
        <v>29</v>
      </c>
      <c r="B40" s="191" t="s">
        <v>501</v>
      </c>
      <c r="C40" s="493">
        <f t="shared" si="4"/>
        <v>4908</v>
      </c>
      <c r="D40" s="493">
        <f t="shared" si="3"/>
        <v>4908</v>
      </c>
      <c r="E40" s="494">
        <v>2768</v>
      </c>
      <c r="F40" s="494"/>
      <c r="G40" s="494"/>
      <c r="H40" s="494">
        <v>0</v>
      </c>
      <c r="I40" s="494"/>
      <c r="J40" s="494">
        <v>2140</v>
      </c>
      <c r="K40" s="494"/>
      <c r="L40" s="494"/>
      <c r="M40" s="494"/>
      <c r="N40" s="494"/>
      <c r="O40" s="494"/>
      <c r="P40" s="494"/>
      <c r="Q40" s="494">
        <f t="shared" si="5"/>
        <v>0</v>
      </c>
      <c r="R40" s="494"/>
      <c r="S40" s="494"/>
    </row>
    <row r="41" spans="1:19" s="91" customFormat="1" ht="18.95" customHeight="1" x14ac:dyDescent="0.2">
      <c r="A41" s="189">
        <v>30</v>
      </c>
      <c r="B41" s="191" t="s">
        <v>502</v>
      </c>
      <c r="C41" s="493">
        <f>D41+Q41</f>
        <v>356257</v>
      </c>
      <c r="D41" s="493">
        <f t="shared" ref="D41:D46" si="6">SUM(E41:P41)</f>
        <v>356257</v>
      </c>
      <c r="E41" s="494"/>
      <c r="F41" s="494"/>
      <c r="G41" s="494"/>
      <c r="H41" s="494"/>
      <c r="I41" s="494">
        <f>(105963+60813+28465+44842+10011)+('Phụ lục số 8'!E20+'Phụ lục số 8'!E21+'Phụ lục số 8'!E22)</f>
        <v>356257</v>
      </c>
      <c r="J41" s="494"/>
      <c r="K41" s="494"/>
      <c r="L41" s="494"/>
      <c r="M41" s="494"/>
      <c r="N41" s="494"/>
      <c r="O41" s="494"/>
      <c r="P41" s="494"/>
      <c r="Q41" s="494">
        <f t="shared" si="5"/>
        <v>0</v>
      </c>
      <c r="R41" s="494"/>
      <c r="S41" s="494"/>
    </row>
    <row r="42" spans="1:19" s="91" customFormat="1" ht="18.95" customHeight="1" x14ac:dyDescent="0.2">
      <c r="A42" s="189">
        <v>31</v>
      </c>
      <c r="B42" s="191" t="s">
        <v>78</v>
      </c>
      <c r="C42" s="493">
        <f t="shared" si="4"/>
        <v>545266</v>
      </c>
      <c r="D42" s="493">
        <f t="shared" si="6"/>
        <v>202020</v>
      </c>
      <c r="E42" s="493">
        <f t="shared" ref="E42:S42" si="7">SUM(E43:E47)</f>
        <v>85294</v>
      </c>
      <c r="F42" s="493">
        <f t="shared" si="7"/>
        <v>22887</v>
      </c>
      <c r="G42" s="493">
        <f t="shared" si="7"/>
        <v>800</v>
      </c>
      <c r="H42" s="493">
        <f t="shared" si="7"/>
        <v>69289</v>
      </c>
      <c r="I42" s="493">
        <f t="shared" si="7"/>
        <v>0</v>
      </c>
      <c r="J42" s="493">
        <f t="shared" si="7"/>
        <v>0</v>
      </c>
      <c r="K42" s="493">
        <f t="shared" si="7"/>
        <v>511</v>
      </c>
      <c r="L42" s="493">
        <f t="shared" si="7"/>
        <v>0</v>
      </c>
      <c r="M42" s="493">
        <f t="shared" si="7"/>
        <v>0</v>
      </c>
      <c r="N42" s="493">
        <f t="shared" si="7"/>
        <v>6859</v>
      </c>
      <c r="O42" s="493">
        <f t="shared" si="7"/>
        <v>0</v>
      </c>
      <c r="P42" s="493">
        <f t="shared" si="7"/>
        <v>16380</v>
      </c>
      <c r="Q42" s="493">
        <f t="shared" si="7"/>
        <v>343246</v>
      </c>
      <c r="R42" s="493">
        <f t="shared" si="7"/>
        <v>70555</v>
      </c>
      <c r="S42" s="493">
        <f t="shared" si="7"/>
        <v>272691</v>
      </c>
    </row>
    <row r="43" spans="1:19" s="285" customFormat="1" ht="18.95" customHeight="1" x14ac:dyDescent="0.2">
      <c r="A43" s="283" t="s">
        <v>449</v>
      </c>
      <c r="B43" s="284" t="s">
        <v>511</v>
      </c>
      <c r="C43" s="495">
        <f>D43+Q43</f>
        <v>50000</v>
      </c>
      <c r="D43" s="495">
        <f t="shared" si="6"/>
        <v>50000</v>
      </c>
      <c r="E43" s="495">
        <f>90000-40000</f>
        <v>50000</v>
      </c>
      <c r="F43" s="495"/>
      <c r="G43" s="495"/>
      <c r="H43" s="495"/>
      <c r="I43" s="495">
        <v>0</v>
      </c>
      <c r="J43" s="495"/>
      <c r="K43" s="495"/>
      <c r="L43" s="495"/>
      <c r="M43" s="495"/>
      <c r="N43" s="495"/>
      <c r="O43" s="495"/>
      <c r="P43" s="495"/>
      <c r="Q43" s="495">
        <f>R43+S43</f>
        <v>0</v>
      </c>
      <c r="R43" s="495"/>
      <c r="S43" s="495"/>
    </row>
    <row r="44" spans="1:19" s="285" customFormat="1" ht="18.95" customHeight="1" x14ac:dyDescent="0.2">
      <c r="A44" s="283" t="s">
        <v>449</v>
      </c>
      <c r="B44" s="284" t="s">
        <v>510</v>
      </c>
      <c r="C44" s="495">
        <f>D44+Q44</f>
        <v>50000</v>
      </c>
      <c r="D44" s="495">
        <f t="shared" si="6"/>
        <v>30000</v>
      </c>
      <c r="E44" s="495">
        <v>30000</v>
      </c>
      <c r="F44" s="495">
        <v>0</v>
      </c>
      <c r="G44" s="495">
        <v>0</v>
      </c>
      <c r="H44" s="495">
        <v>0</v>
      </c>
      <c r="I44" s="495">
        <v>0</v>
      </c>
      <c r="J44" s="495">
        <v>0</v>
      </c>
      <c r="K44" s="495">
        <v>0</v>
      </c>
      <c r="L44" s="495">
        <v>0</v>
      </c>
      <c r="M44" s="495">
        <v>0</v>
      </c>
      <c r="N44" s="495">
        <v>0</v>
      </c>
      <c r="O44" s="495">
        <v>0</v>
      </c>
      <c r="P44" s="495">
        <v>0</v>
      </c>
      <c r="Q44" s="495">
        <f>R44+S44</f>
        <v>20000</v>
      </c>
      <c r="R44" s="495">
        <v>0</v>
      </c>
      <c r="S44" s="495">
        <f>20000</f>
        <v>20000</v>
      </c>
    </row>
    <row r="45" spans="1:19" s="285" customFormat="1" ht="18.95" customHeight="1" x14ac:dyDescent="0.2">
      <c r="A45" s="283" t="s">
        <v>449</v>
      </c>
      <c r="B45" s="284" t="s">
        <v>1025</v>
      </c>
      <c r="C45" s="495">
        <f>D45+Q45</f>
        <v>38435</v>
      </c>
      <c r="D45" s="495">
        <f t="shared" si="6"/>
        <v>0</v>
      </c>
      <c r="E45" s="495"/>
      <c r="F45" s="495"/>
      <c r="G45" s="495"/>
      <c r="H45" s="495"/>
      <c r="I45" s="495"/>
      <c r="J45" s="495"/>
      <c r="K45" s="495"/>
      <c r="L45" s="495"/>
      <c r="M45" s="495"/>
      <c r="N45" s="495"/>
      <c r="O45" s="495"/>
      <c r="P45" s="495"/>
      <c r="Q45" s="495">
        <f>R45+S45</f>
        <v>38435</v>
      </c>
      <c r="R45" s="495"/>
      <c r="S45" s="495">
        <f>'Phụ lục số 8'!E32</f>
        <v>38435</v>
      </c>
    </row>
    <row r="46" spans="1:19" s="285" customFormat="1" ht="18.95" customHeight="1" x14ac:dyDescent="0.2">
      <c r="A46" s="283" t="s">
        <v>449</v>
      </c>
      <c r="B46" s="284" t="s">
        <v>1049</v>
      </c>
      <c r="C46" s="495">
        <f>D46+Q46</f>
        <v>59339</v>
      </c>
      <c r="D46" s="495">
        <f t="shared" si="6"/>
        <v>59339</v>
      </c>
      <c r="E46" s="495"/>
      <c r="F46" s="495"/>
      <c r="G46" s="495"/>
      <c r="H46" s="495">
        <f>691691-632352</f>
        <v>59339</v>
      </c>
      <c r="I46" s="495"/>
      <c r="J46" s="495"/>
      <c r="K46" s="495"/>
      <c r="L46" s="495"/>
      <c r="M46" s="495"/>
      <c r="N46" s="495"/>
      <c r="O46" s="495"/>
      <c r="P46" s="495"/>
      <c r="Q46" s="495">
        <f>R46+S46</f>
        <v>0</v>
      </c>
      <c r="R46" s="495"/>
      <c r="S46" s="495"/>
    </row>
    <row r="47" spans="1:19" ht="18.95" customHeight="1" x14ac:dyDescent="0.2">
      <c r="A47" s="193" t="s">
        <v>449</v>
      </c>
      <c r="B47" s="192" t="s">
        <v>399</v>
      </c>
      <c r="C47" s="494">
        <f t="shared" si="4"/>
        <v>347492</v>
      </c>
      <c r="D47" s="494">
        <f t="shared" si="3"/>
        <v>62681</v>
      </c>
      <c r="E47" s="494">
        <f>441409-436115</f>
        <v>5294</v>
      </c>
      <c r="F47" s="494">
        <f>80000-57113</f>
        <v>22887</v>
      </c>
      <c r="G47" s="494">
        <f>28000-27200</f>
        <v>800</v>
      </c>
      <c r="H47" s="494">
        <f>14270-'10%TK tăng thêm so với năm 2018'!I20</f>
        <v>9950</v>
      </c>
      <c r="I47" s="494">
        <v>0</v>
      </c>
      <c r="J47" s="494">
        <f>35000-35000</f>
        <v>0</v>
      </c>
      <c r="K47" s="494">
        <f>5500-4989</f>
        <v>511</v>
      </c>
      <c r="L47" s="494"/>
      <c r="M47" s="494"/>
      <c r="N47" s="494">
        <f>418567-411708</f>
        <v>6859</v>
      </c>
      <c r="O47" s="494">
        <f>95000-95000</f>
        <v>0</v>
      </c>
      <c r="P47" s="494">
        <f>25000-8620</f>
        <v>16380</v>
      </c>
      <c r="Q47" s="495">
        <f>R47+S47</f>
        <v>284811</v>
      </c>
      <c r="R47" s="494">
        <f>'Phụ lục số 8'!E7</f>
        <v>70555</v>
      </c>
      <c r="S47" s="494">
        <f>'Phụ lục số 8'!E28-(SUM('Phụ lục số 4'!S12:S41)+('Phụ lục số 4'!S43+'Phụ lục số 4'!S44+'Phụ lục số 4'!S45+'Phụ lục số 4'!S46)+SUM('Phụ lục số 4'!S48+'Phụ lục số 4'!S63+'Phụ lục số 4'!S67))</f>
        <v>214256</v>
      </c>
    </row>
    <row r="48" spans="1:19" s="153" customFormat="1" ht="18.95" customHeight="1" x14ac:dyDescent="0.2">
      <c r="A48" s="194" t="s">
        <v>294</v>
      </c>
      <c r="B48" s="190" t="s">
        <v>130</v>
      </c>
      <c r="C48" s="492">
        <f>SUM(C49,C55)</f>
        <v>43165</v>
      </c>
      <c r="D48" s="492">
        <f>SUM(D49,D55)</f>
        <v>42615</v>
      </c>
      <c r="E48" s="492">
        <f>SUM(E49,E55)</f>
        <v>1046</v>
      </c>
      <c r="F48" s="492">
        <f t="shared" ref="F48:S48" si="8">SUM(F49,F55)</f>
        <v>396</v>
      </c>
      <c r="G48" s="492">
        <f t="shared" si="8"/>
        <v>700</v>
      </c>
      <c r="H48" s="492">
        <f t="shared" si="8"/>
        <v>2836</v>
      </c>
      <c r="I48" s="492">
        <f t="shared" si="8"/>
        <v>100</v>
      </c>
      <c r="J48" s="492">
        <f t="shared" si="8"/>
        <v>0</v>
      </c>
      <c r="K48" s="492">
        <f t="shared" si="8"/>
        <v>283</v>
      </c>
      <c r="L48" s="492">
        <f t="shared" si="8"/>
        <v>0</v>
      </c>
      <c r="M48" s="492">
        <f t="shared" si="8"/>
        <v>0</v>
      </c>
      <c r="N48" s="492">
        <f t="shared" si="8"/>
        <v>37254</v>
      </c>
      <c r="O48" s="492">
        <f t="shared" si="8"/>
        <v>0</v>
      </c>
      <c r="P48" s="492">
        <f t="shared" si="8"/>
        <v>0</v>
      </c>
      <c r="Q48" s="492">
        <f t="shared" si="8"/>
        <v>550</v>
      </c>
      <c r="R48" s="492">
        <f t="shared" si="8"/>
        <v>0</v>
      </c>
      <c r="S48" s="492">
        <f t="shared" si="8"/>
        <v>550</v>
      </c>
    </row>
    <row r="49" spans="1:19" s="153" customFormat="1" ht="18.95" customHeight="1" x14ac:dyDescent="0.2">
      <c r="A49" s="245">
        <v>1</v>
      </c>
      <c r="B49" s="190" t="s">
        <v>425</v>
      </c>
      <c r="C49" s="492">
        <f>SUM(C50:C54)</f>
        <v>25852</v>
      </c>
      <c r="D49" s="492">
        <f>SUM(D50:D54)</f>
        <v>25852</v>
      </c>
      <c r="E49" s="492">
        <f>SUM(E50:E54)</f>
        <v>1046</v>
      </c>
      <c r="F49" s="492">
        <f t="shared" ref="F49:S49" si="9">SUM(F50:F54)</f>
        <v>355</v>
      </c>
      <c r="G49" s="492">
        <f t="shared" si="9"/>
        <v>0</v>
      </c>
      <c r="H49" s="492">
        <f t="shared" si="9"/>
        <v>1869</v>
      </c>
      <c r="I49" s="492">
        <f t="shared" si="9"/>
        <v>0</v>
      </c>
      <c r="J49" s="492">
        <f t="shared" si="9"/>
        <v>0</v>
      </c>
      <c r="K49" s="492">
        <f t="shared" si="9"/>
        <v>33</v>
      </c>
      <c r="L49" s="492">
        <f t="shared" si="9"/>
        <v>0</v>
      </c>
      <c r="M49" s="492">
        <f t="shared" si="9"/>
        <v>0</v>
      </c>
      <c r="N49" s="492">
        <f>SUM(N50:N54)</f>
        <v>22549</v>
      </c>
      <c r="O49" s="492">
        <f t="shared" si="9"/>
        <v>0</v>
      </c>
      <c r="P49" s="492">
        <f t="shared" si="9"/>
        <v>0</v>
      </c>
      <c r="Q49" s="492">
        <f t="shared" si="9"/>
        <v>0</v>
      </c>
      <c r="R49" s="492">
        <f t="shared" si="9"/>
        <v>0</v>
      </c>
      <c r="S49" s="492">
        <f t="shared" si="9"/>
        <v>0</v>
      </c>
    </row>
    <row r="50" spans="1:19" ht="18.95" customHeight="1" x14ac:dyDescent="0.2">
      <c r="A50" s="193">
        <v>32</v>
      </c>
      <c r="B50" s="192" t="s">
        <v>116</v>
      </c>
      <c r="C50" s="493">
        <f t="shared" ref="C50:C66" si="10">D50+Q50</f>
        <v>7385</v>
      </c>
      <c r="D50" s="493">
        <f>SUM(E50:P50)</f>
        <v>7385</v>
      </c>
      <c r="E50" s="494"/>
      <c r="F50" s="494">
        <v>93</v>
      </c>
      <c r="G50" s="494"/>
      <c r="H50" s="494">
        <v>416</v>
      </c>
      <c r="I50" s="494"/>
      <c r="J50" s="494"/>
      <c r="K50" s="494">
        <v>0</v>
      </c>
      <c r="L50" s="494"/>
      <c r="M50" s="494"/>
      <c r="N50" s="494">
        <v>6876</v>
      </c>
      <c r="O50" s="494"/>
      <c r="P50" s="494"/>
      <c r="Q50" s="494">
        <f>R50+S50</f>
        <v>0</v>
      </c>
      <c r="R50" s="494"/>
      <c r="S50" s="494"/>
    </row>
    <row r="51" spans="1:19" ht="18.95" customHeight="1" x14ac:dyDescent="0.2">
      <c r="A51" s="193">
        <v>33</v>
      </c>
      <c r="B51" s="192" t="s">
        <v>117</v>
      </c>
      <c r="C51" s="493">
        <f t="shared" si="10"/>
        <v>7304</v>
      </c>
      <c r="D51" s="493">
        <f>SUM(E51:P51)</f>
        <v>7304</v>
      </c>
      <c r="E51" s="494">
        <v>1046</v>
      </c>
      <c r="F51" s="494">
        <v>60</v>
      </c>
      <c r="G51" s="494"/>
      <c r="H51" s="494">
        <v>485</v>
      </c>
      <c r="I51" s="494"/>
      <c r="J51" s="494"/>
      <c r="K51" s="494"/>
      <c r="L51" s="494"/>
      <c r="M51" s="494"/>
      <c r="N51" s="494">
        <v>5713</v>
      </c>
      <c r="O51" s="494"/>
      <c r="P51" s="494"/>
      <c r="Q51" s="494">
        <f t="shared" ref="Q51:Q62" si="11">R51+S51</f>
        <v>0</v>
      </c>
      <c r="R51" s="494"/>
      <c r="S51" s="494"/>
    </row>
    <row r="52" spans="1:19" ht="18.95" customHeight="1" x14ac:dyDescent="0.2">
      <c r="A52" s="193">
        <v>34</v>
      </c>
      <c r="B52" s="192" t="s">
        <v>118</v>
      </c>
      <c r="C52" s="493">
        <f t="shared" si="10"/>
        <v>4232</v>
      </c>
      <c r="D52" s="493">
        <f>SUM(E52:P52)</f>
        <v>4232</v>
      </c>
      <c r="E52" s="494">
        <v>0</v>
      </c>
      <c r="F52" s="494">
        <v>110</v>
      </c>
      <c r="G52" s="494"/>
      <c r="H52" s="494">
        <v>339</v>
      </c>
      <c r="I52" s="494"/>
      <c r="J52" s="494"/>
      <c r="K52" s="494">
        <v>33</v>
      </c>
      <c r="L52" s="494"/>
      <c r="M52" s="494"/>
      <c r="N52" s="494">
        <v>3750</v>
      </c>
      <c r="O52" s="494"/>
      <c r="P52" s="494"/>
      <c r="Q52" s="494">
        <f t="shared" si="11"/>
        <v>0</v>
      </c>
      <c r="R52" s="494"/>
      <c r="S52" s="494"/>
    </row>
    <row r="53" spans="1:19" ht="18.95" customHeight="1" x14ac:dyDescent="0.2">
      <c r="A53" s="193">
        <v>35</v>
      </c>
      <c r="B53" s="192" t="s">
        <v>119</v>
      </c>
      <c r="C53" s="493">
        <f t="shared" si="10"/>
        <v>3988</v>
      </c>
      <c r="D53" s="493">
        <f>SUM(E53:P53)</f>
        <v>3988</v>
      </c>
      <c r="E53" s="494"/>
      <c r="F53" s="494">
        <v>78</v>
      </c>
      <c r="G53" s="494"/>
      <c r="H53" s="494">
        <v>379</v>
      </c>
      <c r="I53" s="494"/>
      <c r="J53" s="494"/>
      <c r="K53" s="494"/>
      <c r="L53" s="494"/>
      <c r="M53" s="494"/>
      <c r="N53" s="494">
        <v>3531</v>
      </c>
      <c r="O53" s="494"/>
      <c r="P53" s="494"/>
      <c r="Q53" s="494">
        <f t="shared" si="11"/>
        <v>0</v>
      </c>
      <c r="R53" s="494"/>
      <c r="S53" s="494"/>
    </row>
    <row r="54" spans="1:19" ht="18.95" customHeight="1" x14ac:dyDescent="0.2">
      <c r="A54" s="193">
        <v>36</v>
      </c>
      <c r="B54" s="192" t="s">
        <v>120</v>
      </c>
      <c r="C54" s="493">
        <f t="shared" si="10"/>
        <v>2943</v>
      </c>
      <c r="D54" s="493">
        <f>SUM(E54:P54)</f>
        <v>2943</v>
      </c>
      <c r="E54" s="494"/>
      <c r="F54" s="494">
        <v>14</v>
      </c>
      <c r="G54" s="494"/>
      <c r="H54" s="494">
        <v>250</v>
      </c>
      <c r="I54" s="494"/>
      <c r="J54" s="494"/>
      <c r="K54" s="494"/>
      <c r="L54" s="494"/>
      <c r="M54" s="494"/>
      <c r="N54" s="494">
        <v>2679</v>
      </c>
      <c r="O54" s="494"/>
      <c r="P54" s="494"/>
      <c r="Q54" s="494">
        <f t="shared" si="11"/>
        <v>0</v>
      </c>
      <c r="R54" s="494"/>
      <c r="S54" s="494"/>
    </row>
    <row r="55" spans="1:19" s="153" customFormat="1" ht="18.95" customHeight="1" x14ac:dyDescent="0.2">
      <c r="A55" s="245">
        <v>2</v>
      </c>
      <c r="B55" s="190" t="s">
        <v>75</v>
      </c>
      <c r="C55" s="492">
        <f>SUM(C56:C62)</f>
        <v>17313</v>
      </c>
      <c r="D55" s="492">
        <f>SUM(D56:D62)</f>
        <v>16763</v>
      </c>
      <c r="E55" s="492">
        <f>SUM(E56:E62)</f>
        <v>0</v>
      </c>
      <c r="F55" s="492">
        <f t="shared" ref="F55:S55" si="12">SUM(F56:F62)</f>
        <v>41</v>
      </c>
      <c r="G55" s="492">
        <f t="shared" si="12"/>
        <v>700</v>
      </c>
      <c r="H55" s="492">
        <f t="shared" si="12"/>
        <v>967</v>
      </c>
      <c r="I55" s="492">
        <f t="shared" si="12"/>
        <v>100</v>
      </c>
      <c r="J55" s="492">
        <f t="shared" si="12"/>
        <v>0</v>
      </c>
      <c r="K55" s="492">
        <f t="shared" si="12"/>
        <v>250</v>
      </c>
      <c r="L55" s="492">
        <f t="shared" si="12"/>
        <v>0</v>
      </c>
      <c r="M55" s="492">
        <f t="shared" si="12"/>
        <v>0</v>
      </c>
      <c r="N55" s="492">
        <f t="shared" si="12"/>
        <v>14705</v>
      </c>
      <c r="O55" s="492">
        <f t="shared" si="12"/>
        <v>0</v>
      </c>
      <c r="P55" s="492">
        <f t="shared" si="12"/>
        <v>0</v>
      </c>
      <c r="Q55" s="492">
        <f t="shared" si="11"/>
        <v>550</v>
      </c>
      <c r="R55" s="492">
        <f t="shared" si="12"/>
        <v>0</v>
      </c>
      <c r="S55" s="492">
        <f t="shared" si="12"/>
        <v>550</v>
      </c>
    </row>
    <row r="56" spans="1:19" ht="18.95" customHeight="1" x14ac:dyDescent="0.2">
      <c r="A56" s="193">
        <v>37</v>
      </c>
      <c r="B56" s="192" t="s">
        <v>121</v>
      </c>
      <c r="C56" s="493">
        <f t="shared" si="10"/>
        <v>2736</v>
      </c>
      <c r="D56" s="493">
        <f t="shared" ref="D56:D62" si="13">SUM(E56:P56)</f>
        <v>2736</v>
      </c>
      <c r="E56" s="494"/>
      <c r="F56" s="494">
        <v>25</v>
      </c>
      <c r="G56" s="494">
        <v>700</v>
      </c>
      <c r="H56" s="494">
        <v>100</v>
      </c>
      <c r="I56" s="494"/>
      <c r="J56" s="494"/>
      <c r="K56" s="494">
        <v>110</v>
      </c>
      <c r="L56" s="494"/>
      <c r="M56" s="494"/>
      <c r="N56" s="494">
        <v>1801</v>
      </c>
      <c r="O56" s="494"/>
      <c r="P56" s="494"/>
      <c r="Q56" s="494">
        <f t="shared" si="11"/>
        <v>0</v>
      </c>
      <c r="R56" s="494"/>
      <c r="S56" s="494"/>
    </row>
    <row r="57" spans="1:19" ht="18.95" customHeight="1" x14ac:dyDescent="0.2">
      <c r="A57" s="193">
        <v>38</v>
      </c>
      <c r="B57" s="192" t="s">
        <v>122</v>
      </c>
      <c r="C57" s="493">
        <f t="shared" si="10"/>
        <v>2788</v>
      </c>
      <c r="D57" s="493">
        <f t="shared" si="13"/>
        <v>2788</v>
      </c>
      <c r="E57" s="494"/>
      <c r="F57" s="494">
        <v>16</v>
      </c>
      <c r="G57" s="494"/>
      <c r="H57" s="494">
        <v>500</v>
      </c>
      <c r="I57" s="494"/>
      <c r="J57" s="494"/>
      <c r="K57" s="494">
        <v>40</v>
      </c>
      <c r="L57" s="494"/>
      <c r="M57" s="494"/>
      <c r="N57" s="494">
        <v>2232</v>
      </c>
      <c r="O57" s="494"/>
      <c r="P57" s="494"/>
      <c r="Q57" s="494">
        <f t="shared" si="11"/>
        <v>0</v>
      </c>
      <c r="R57" s="494"/>
      <c r="S57" s="494"/>
    </row>
    <row r="58" spans="1:19" ht="18.95" customHeight="1" x14ac:dyDescent="0.2">
      <c r="A58" s="193">
        <v>39</v>
      </c>
      <c r="B58" s="192" t="s">
        <v>123</v>
      </c>
      <c r="C58" s="493">
        <f t="shared" si="10"/>
        <v>2402</v>
      </c>
      <c r="D58" s="493">
        <f t="shared" si="13"/>
        <v>2402</v>
      </c>
      <c r="E58" s="494"/>
      <c r="F58" s="494"/>
      <c r="G58" s="494"/>
      <c r="H58" s="494">
        <v>0</v>
      </c>
      <c r="I58" s="494"/>
      <c r="J58" s="494"/>
      <c r="K58" s="494"/>
      <c r="L58" s="494"/>
      <c r="M58" s="494"/>
      <c r="N58" s="494">
        <v>2402</v>
      </c>
      <c r="O58" s="494"/>
      <c r="P58" s="494"/>
      <c r="Q58" s="494">
        <f t="shared" si="11"/>
        <v>0</v>
      </c>
      <c r="R58" s="494"/>
      <c r="S58" s="494"/>
    </row>
    <row r="59" spans="1:19" ht="18.95" customHeight="1" x14ac:dyDescent="0.2">
      <c r="A59" s="193">
        <v>40</v>
      </c>
      <c r="B59" s="192" t="s">
        <v>124</v>
      </c>
      <c r="C59" s="493">
        <f t="shared" si="10"/>
        <v>3395</v>
      </c>
      <c r="D59" s="493">
        <f t="shared" si="13"/>
        <v>3395</v>
      </c>
      <c r="E59" s="494"/>
      <c r="F59" s="494"/>
      <c r="G59" s="494"/>
      <c r="H59" s="494">
        <v>180</v>
      </c>
      <c r="I59" s="494"/>
      <c r="J59" s="494"/>
      <c r="K59" s="494"/>
      <c r="L59" s="494"/>
      <c r="M59" s="494"/>
      <c r="N59" s="494">
        <v>3215</v>
      </c>
      <c r="O59" s="494"/>
      <c r="P59" s="494"/>
      <c r="Q59" s="494">
        <f t="shared" si="11"/>
        <v>0</v>
      </c>
      <c r="R59" s="494"/>
      <c r="S59" s="494"/>
    </row>
    <row r="60" spans="1:19" ht="18.95" customHeight="1" x14ac:dyDescent="0.2">
      <c r="A60" s="193">
        <v>41</v>
      </c>
      <c r="B60" s="192" t="s">
        <v>125</v>
      </c>
      <c r="C60" s="493">
        <f>D60+Q60</f>
        <v>4130</v>
      </c>
      <c r="D60" s="493">
        <f t="shared" si="13"/>
        <v>3580</v>
      </c>
      <c r="E60" s="494"/>
      <c r="F60" s="494"/>
      <c r="G60" s="494"/>
      <c r="H60" s="494">
        <v>0</v>
      </c>
      <c r="I60" s="494"/>
      <c r="J60" s="494"/>
      <c r="K60" s="494">
        <v>100</v>
      </c>
      <c r="L60" s="494"/>
      <c r="M60" s="494"/>
      <c r="N60" s="494">
        <v>3480</v>
      </c>
      <c r="O60" s="494"/>
      <c r="P60" s="494"/>
      <c r="Q60" s="494">
        <f t="shared" si="11"/>
        <v>550</v>
      </c>
      <c r="R60" s="494"/>
      <c r="S60" s="494">
        <f>550</f>
        <v>550</v>
      </c>
    </row>
    <row r="61" spans="1:19" ht="18.95" customHeight="1" x14ac:dyDescent="0.2">
      <c r="A61" s="193">
        <v>42</v>
      </c>
      <c r="B61" s="192" t="s">
        <v>126</v>
      </c>
      <c r="C61" s="493">
        <f t="shared" si="10"/>
        <v>902</v>
      </c>
      <c r="D61" s="493">
        <f t="shared" si="13"/>
        <v>902</v>
      </c>
      <c r="E61" s="494"/>
      <c r="F61" s="494"/>
      <c r="G61" s="494"/>
      <c r="H61" s="494">
        <v>0</v>
      </c>
      <c r="I61" s="494">
        <v>100</v>
      </c>
      <c r="J61" s="494"/>
      <c r="K61" s="494"/>
      <c r="L61" s="494"/>
      <c r="M61" s="494"/>
      <c r="N61" s="494">
        <v>802</v>
      </c>
      <c r="O61" s="494"/>
      <c r="P61" s="494"/>
      <c r="Q61" s="494">
        <f t="shared" si="11"/>
        <v>0</v>
      </c>
      <c r="R61" s="494"/>
      <c r="S61" s="494"/>
    </row>
    <row r="62" spans="1:19" ht="18.95" customHeight="1" x14ac:dyDescent="0.2">
      <c r="A62" s="193">
        <v>43</v>
      </c>
      <c r="B62" s="192" t="s">
        <v>127</v>
      </c>
      <c r="C62" s="493">
        <f t="shared" si="10"/>
        <v>960</v>
      </c>
      <c r="D62" s="493">
        <f t="shared" si="13"/>
        <v>960</v>
      </c>
      <c r="E62" s="494"/>
      <c r="F62" s="494"/>
      <c r="G62" s="494"/>
      <c r="H62" s="494">
        <v>187</v>
      </c>
      <c r="I62" s="494"/>
      <c r="J62" s="494"/>
      <c r="K62" s="494"/>
      <c r="L62" s="494"/>
      <c r="M62" s="494"/>
      <c r="N62" s="494">
        <v>773</v>
      </c>
      <c r="O62" s="494"/>
      <c r="P62" s="494"/>
      <c r="Q62" s="494">
        <f t="shared" si="11"/>
        <v>0</v>
      </c>
      <c r="R62" s="494"/>
      <c r="S62" s="494"/>
    </row>
    <row r="63" spans="1:19" s="153" customFormat="1" ht="18.95" customHeight="1" x14ac:dyDescent="0.2">
      <c r="A63" s="194" t="s">
        <v>322</v>
      </c>
      <c r="B63" s="190" t="s">
        <v>426</v>
      </c>
      <c r="C63" s="492">
        <f>SUM(C64:C66)</f>
        <v>146016</v>
      </c>
      <c r="D63" s="492">
        <f>SUM(D64:D66)</f>
        <v>110163</v>
      </c>
      <c r="E63" s="492">
        <f>SUM(E64:E66)</f>
        <v>0</v>
      </c>
      <c r="F63" s="492">
        <f t="shared" ref="F63:S63" si="14">SUM(F64:F66)</f>
        <v>330</v>
      </c>
      <c r="G63" s="492">
        <f t="shared" si="14"/>
        <v>0</v>
      </c>
      <c r="H63" s="492">
        <f t="shared" si="14"/>
        <v>7660</v>
      </c>
      <c r="I63" s="492">
        <f t="shared" si="14"/>
        <v>0</v>
      </c>
      <c r="J63" s="492">
        <f t="shared" si="14"/>
        <v>0</v>
      </c>
      <c r="K63" s="492">
        <f t="shared" si="14"/>
        <v>0</v>
      </c>
      <c r="L63" s="492">
        <f t="shared" si="14"/>
        <v>0</v>
      </c>
      <c r="M63" s="492">
        <f t="shared" si="14"/>
        <v>0</v>
      </c>
      <c r="N63" s="492">
        <f t="shared" si="14"/>
        <v>0</v>
      </c>
      <c r="O63" s="492">
        <f t="shared" si="14"/>
        <v>102173</v>
      </c>
      <c r="P63" s="492">
        <f t="shared" si="14"/>
        <v>0</v>
      </c>
      <c r="Q63" s="492">
        <f t="shared" si="14"/>
        <v>35853</v>
      </c>
      <c r="R63" s="492">
        <f t="shared" si="14"/>
        <v>0</v>
      </c>
      <c r="S63" s="492">
        <f t="shared" si="14"/>
        <v>35853</v>
      </c>
    </row>
    <row r="64" spans="1:19" ht="18.95" customHeight="1" x14ac:dyDescent="0.2">
      <c r="A64" s="193">
        <v>44</v>
      </c>
      <c r="B64" s="192" t="s">
        <v>427</v>
      </c>
      <c r="C64" s="493">
        <f t="shared" si="10"/>
        <v>74183</v>
      </c>
      <c r="D64" s="494">
        <f>SUM(E64:P64)</f>
        <v>38330</v>
      </c>
      <c r="E64" s="494"/>
      <c r="F64" s="494">
        <v>330</v>
      </c>
      <c r="G64" s="494"/>
      <c r="H64" s="494">
        <v>4000</v>
      </c>
      <c r="I64" s="494"/>
      <c r="J64" s="494"/>
      <c r="K64" s="494"/>
      <c r="L64" s="494"/>
      <c r="M64" s="494"/>
      <c r="N64" s="494"/>
      <c r="O64" s="494">
        <f>68000-34000</f>
        <v>34000</v>
      </c>
      <c r="P64" s="494"/>
      <c r="Q64" s="494">
        <f>R64+S64</f>
        <v>35853</v>
      </c>
      <c r="R64" s="494"/>
      <c r="S64" s="494">
        <f>'Phụ lục số 8'!E39+'Phụ lục số 8'!E46</f>
        <v>35853</v>
      </c>
    </row>
    <row r="65" spans="1:19" ht="18.95" customHeight="1" x14ac:dyDescent="0.2">
      <c r="A65" s="193">
        <v>45</v>
      </c>
      <c r="B65" s="192" t="s">
        <v>428</v>
      </c>
      <c r="C65" s="493">
        <f t="shared" si="10"/>
        <v>64833</v>
      </c>
      <c r="D65" s="494">
        <f>SUM(E65:P65)</f>
        <v>64833</v>
      </c>
      <c r="E65" s="494"/>
      <c r="F65" s="494"/>
      <c r="G65" s="494"/>
      <c r="H65" s="494">
        <v>3660</v>
      </c>
      <c r="I65" s="494"/>
      <c r="J65" s="494"/>
      <c r="K65" s="494"/>
      <c r="L65" s="494"/>
      <c r="M65" s="494"/>
      <c r="N65" s="494"/>
      <c r="O65" s="494">
        <f>61173</f>
        <v>61173</v>
      </c>
      <c r="P65" s="494"/>
      <c r="Q65" s="494">
        <f>R65+S65</f>
        <v>0</v>
      </c>
      <c r="R65" s="494"/>
      <c r="S65" s="494"/>
    </row>
    <row r="66" spans="1:19" ht="18.95" customHeight="1" x14ac:dyDescent="0.2">
      <c r="A66" s="193">
        <v>46</v>
      </c>
      <c r="B66" s="192" t="s">
        <v>429</v>
      </c>
      <c r="C66" s="493">
        <f t="shared" si="10"/>
        <v>7000</v>
      </c>
      <c r="D66" s="494">
        <f>SUM(E66:P66)</f>
        <v>7000</v>
      </c>
      <c r="E66" s="494"/>
      <c r="F66" s="494"/>
      <c r="G66" s="494"/>
      <c r="H66" s="494">
        <v>0</v>
      </c>
      <c r="I66" s="494"/>
      <c r="J66" s="494"/>
      <c r="K66" s="494"/>
      <c r="L66" s="494"/>
      <c r="M66" s="494"/>
      <c r="N66" s="494"/>
      <c r="O66" s="494">
        <f>ROUND(6600*1.06,-3)</f>
        <v>7000</v>
      </c>
      <c r="P66" s="494"/>
      <c r="Q66" s="494">
        <f>R66+S66</f>
        <v>0</v>
      </c>
      <c r="R66" s="494"/>
      <c r="S66" s="494"/>
    </row>
    <row r="67" spans="1:19" s="153" customFormat="1" ht="18.95" customHeight="1" x14ac:dyDescent="0.2">
      <c r="A67" s="194" t="s">
        <v>323</v>
      </c>
      <c r="B67" s="190" t="s">
        <v>245</v>
      </c>
      <c r="C67" s="492">
        <f t="shared" ref="C67:S67" si="15">SUM(C68,C84,C99)</f>
        <v>8758</v>
      </c>
      <c r="D67" s="492">
        <f t="shared" si="15"/>
        <v>8668</v>
      </c>
      <c r="E67" s="492">
        <f t="shared" si="15"/>
        <v>0</v>
      </c>
      <c r="F67" s="492">
        <f t="shared" si="15"/>
        <v>48</v>
      </c>
      <c r="G67" s="492">
        <f t="shared" si="15"/>
        <v>0</v>
      </c>
      <c r="H67" s="492">
        <f t="shared" si="15"/>
        <v>0</v>
      </c>
      <c r="I67" s="492">
        <f t="shared" si="15"/>
        <v>0</v>
      </c>
      <c r="J67" s="492">
        <f t="shared" si="15"/>
        <v>0</v>
      </c>
      <c r="K67" s="492">
        <f t="shared" si="15"/>
        <v>0</v>
      </c>
      <c r="L67" s="492">
        <f t="shared" si="15"/>
        <v>0</v>
      </c>
      <c r="M67" s="492">
        <f t="shared" si="15"/>
        <v>0</v>
      </c>
      <c r="N67" s="492">
        <f t="shared" si="15"/>
        <v>0</v>
      </c>
      <c r="O67" s="492">
        <f t="shared" si="15"/>
        <v>0</v>
      </c>
      <c r="P67" s="492">
        <f t="shared" si="15"/>
        <v>8620</v>
      </c>
      <c r="Q67" s="492">
        <f t="shared" si="15"/>
        <v>90</v>
      </c>
      <c r="R67" s="492">
        <f t="shared" si="15"/>
        <v>0</v>
      </c>
      <c r="S67" s="492">
        <f t="shared" si="15"/>
        <v>90</v>
      </c>
    </row>
    <row r="68" spans="1:19" s="240" customFormat="1" ht="18.95" customHeight="1" x14ac:dyDescent="0.2">
      <c r="A68" s="241">
        <v>1</v>
      </c>
      <c r="B68" s="520" t="s">
        <v>487</v>
      </c>
      <c r="C68" s="496">
        <f>SUM(C69:C83)</f>
        <v>6747</v>
      </c>
      <c r="D68" s="496">
        <f t="shared" ref="D68:S68" si="16">SUM(D69:D83)</f>
        <v>6657</v>
      </c>
      <c r="E68" s="496">
        <f t="shared" si="16"/>
        <v>0</v>
      </c>
      <c r="F68" s="496">
        <f t="shared" si="16"/>
        <v>13</v>
      </c>
      <c r="G68" s="496">
        <f t="shared" si="16"/>
        <v>0</v>
      </c>
      <c r="H68" s="496">
        <f t="shared" si="16"/>
        <v>0</v>
      </c>
      <c r="I68" s="496">
        <f t="shared" si="16"/>
        <v>0</v>
      </c>
      <c r="J68" s="496">
        <f t="shared" si="16"/>
        <v>0</v>
      </c>
      <c r="K68" s="496">
        <f t="shared" si="16"/>
        <v>0</v>
      </c>
      <c r="L68" s="496">
        <f t="shared" si="16"/>
        <v>0</v>
      </c>
      <c r="M68" s="496">
        <f t="shared" si="16"/>
        <v>0</v>
      </c>
      <c r="N68" s="496">
        <f t="shared" si="16"/>
        <v>0</v>
      </c>
      <c r="O68" s="496">
        <f t="shared" si="16"/>
        <v>0</v>
      </c>
      <c r="P68" s="496">
        <f t="shared" si="16"/>
        <v>6644</v>
      </c>
      <c r="Q68" s="496">
        <f t="shared" si="16"/>
        <v>90</v>
      </c>
      <c r="R68" s="496">
        <f t="shared" si="16"/>
        <v>0</v>
      </c>
      <c r="S68" s="496">
        <f t="shared" si="16"/>
        <v>90</v>
      </c>
    </row>
    <row r="69" spans="1:19" ht="18.95" customHeight="1" x14ac:dyDescent="0.2">
      <c r="A69" s="193">
        <v>47</v>
      </c>
      <c r="B69" s="204" t="s">
        <v>207</v>
      </c>
      <c r="C69" s="493">
        <f t="shared" ref="C69:C106" si="17">D69+Q69</f>
        <v>493</v>
      </c>
      <c r="D69" s="493">
        <f t="shared" ref="D69:D106" si="18">SUM(E69:P69)</f>
        <v>493</v>
      </c>
      <c r="E69" s="494"/>
      <c r="F69" s="494"/>
      <c r="G69" s="494"/>
      <c r="H69" s="494"/>
      <c r="I69" s="494"/>
      <c r="J69" s="494"/>
      <c r="K69" s="494"/>
      <c r="L69" s="494"/>
      <c r="M69" s="494"/>
      <c r="N69" s="494"/>
      <c r="O69" s="494"/>
      <c r="P69" s="494">
        <v>493</v>
      </c>
      <c r="Q69" s="494">
        <f>R69+S69</f>
        <v>0</v>
      </c>
      <c r="R69" s="494"/>
      <c r="S69" s="494"/>
    </row>
    <row r="70" spans="1:19" ht="18.95" customHeight="1" x14ac:dyDescent="0.2">
      <c r="A70" s="193">
        <v>48</v>
      </c>
      <c r="B70" s="204" t="s">
        <v>208</v>
      </c>
      <c r="C70" s="493">
        <f t="shared" si="17"/>
        <v>1707</v>
      </c>
      <c r="D70" s="493">
        <f t="shared" si="18"/>
        <v>1707</v>
      </c>
      <c r="E70" s="494"/>
      <c r="F70" s="494"/>
      <c r="G70" s="494"/>
      <c r="H70" s="494"/>
      <c r="I70" s="494"/>
      <c r="J70" s="494"/>
      <c r="K70" s="494"/>
      <c r="L70" s="494"/>
      <c r="M70" s="494"/>
      <c r="N70" s="494"/>
      <c r="O70" s="494"/>
      <c r="P70" s="494">
        <v>1707</v>
      </c>
      <c r="Q70" s="494">
        <f t="shared" ref="Q70:Q83" si="19">R70+S70</f>
        <v>0</v>
      </c>
      <c r="R70" s="494"/>
      <c r="S70" s="494"/>
    </row>
    <row r="71" spans="1:19" ht="18.95" customHeight="1" x14ac:dyDescent="0.2">
      <c r="A71" s="193">
        <v>49</v>
      </c>
      <c r="B71" s="204" t="s">
        <v>197</v>
      </c>
      <c r="C71" s="493">
        <f t="shared" si="17"/>
        <v>317</v>
      </c>
      <c r="D71" s="493">
        <f t="shared" si="18"/>
        <v>317</v>
      </c>
      <c r="E71" s="494"/>
      <c r="F71" s="494"/>
      <c r="G71" s="494"/>
      <c r="H71" s="494"/>
      <c r="I71" s="494"/>
      <c r="J71" s="494"/>
      <c r="K71" s="494"/>
      <c r="L71" s="494"/>
      <c r="M71" s="494"/>
      <c r="N71" s="494"/>
      <c r="O71" s="494"/>
      <c r="P71" s="494">
        <v>317</v>
      </c>
      <c r="Q71" s="494">
        <f t="shared" si="19"/>
        <v>0</v>
      </c>
      <c r="R71" s="494"/>
      <c r="S71" s="494"/>
    </row>
    <row r="72" spans="1:19" ht="18.95" customHeight="1" x14ac:dyDescent="0.2">
      <c r="A72" s="193">
        <v>50</v>
      </c>
      <c r="B72" s="204" t="s">
        <v>198</v>
      </c>
      <c r="C72" s="493">
        <f t="shared" si="17"/>
        <v>412</v>
      </c>
      <c r="D72" s="493">
        <f t="shared" si="18"/>
        <v>412</v>
      </c>
      <c r="E72" s="494"/>
      <c r="F72" s="494"/>
      <c r="G72" s="494"/>
      <c r="H72" s="494"/>
      <c r="I72" s="494"/>
      <c r="J72" s="494"/>
      <c r="K72" s="494"/>
      <c r="L72" s="494"/>
      <c r="M72" s="494"/>
      <c r="N72" s="494"/>
      <c r="O72" s="494"/>
      <c r="P72" s="494">
        <v>412</v>
      </c>
      <c r="Q72" s="494">
        <f t="shared" si="19"/>
        <v>0</v>
      </c>
      <c r="R72" s="494"/>
      <c r="S72" s="494"/>
    </row>
    <row r="73" spans="1:19" ht="18.95" customHeight="1" x14ac:dyDescent="0.2">
      <c r="A73" s="193">
        <v>51</v>
      </c>
      <c r="B73" s="204" t="s">
        <v>196</v>
      </c>
      <c r="C73" s="493">
        <f t="shared" si="17"/>
        <v>438</v>
      </c>
      <c r="D73" s="493">
        <f t="shared" si="18"/>
        <v>438</v>
      </c>
      <c r="E73" s="494"/>
      <c r="F73" s="494"/>
      <c r="G73" s="494"/>
      <c r="H73" s="494"/>
      <c r="I73" s="494"/>
      <c r="J73" s="494"/>
      <c r="K73" s="494"/>
      <c r="L73" s="494"/>
      <c r="M73" s="494"/>
      <c r="N73" s="494"/>
      <c r="O73" s="494"/>
      <c r="P73" s="494">
        <v>438</v>
      </c>
      <c r="Q73" s="494">
        <f t="shared" si="19"/>
        <v>0</v>
      </c>
      <c r="R73" s="494"/>
      <c r="S73" s="494"/>
    </row>
    <row r="74" spans="1:19" ht="18.95" customHeight="1" x14ac:dyDescent="0.2">
      <c r="A74" s="193">
        <v>52</v>
      </c>
      <c r="B74" s="204" t="s">
        <v>199</v>
      </c>
      <c r="C74" s="493">
        <f t="shared" si="17"/>
        <v>317</v>
      </c>
      <c r="D74" s="493">
        <f t="shared" si="18"/>
        <v>317</v>
      </c>
      <c r="E74" s="494"/>
      <c r="F74" s="494"/>
      <c r="G74" s="494"/>
      <c r="H74" s="494"/>
      <c r="I74" s="494"/>
      <c r="J74" s="494"/>
      <c r="K74" s="494"/>
      <c r="L74" s="494"/>
      <c r="M74" s="494"/>
      <c r="N74" s="494"/>
      <c r="O74" s="494"/>
      <c r="P74" s="494">
        <v>317</v>
      </c>
      <c r="Q74" s="494">
        <f t="shared" si="19"/>
        <v>0</v>
      </c>
      <c r="R74" s="494"/>
      <c r="S74" s="494"/>
    </row>
    <row r="75" spans="1:19" ht="18.95" customHeight="1" x14ac:dyDescent="0.2">
      <c r="A75" s="193">
        <v>53</v>
      </c>
      <c r="B75" s="204" t="s">
        <v>375</v>
      </c>
      <c r="C75" s="493">
        <f t="shared" si="17"/>
        <v>317</v>
      </c>
      <c r="D75" s="493">
        <f t="shared" si="18"/>
        <v>317</v>
      </c>
      <c r="E75" s="494"/>
      <c r="F75" s="494"/>
      <c r="G75" s="494"/>
      <c r="H75" s="494"/>
      <c r="I75" s="494"/>
      <c r="J75" s="494"/>
      <c r="K75" s="494"/>
      <c r="L75" s="494"/>
      <c r="M75" s="494"/>
      <c r="N75" s="494"/>
      <c r="O75" s="494"/>
      <c r="P75" s="494">
        <v>317</v>
      </c>
      <c r="Q75" s="494">
        <f t="shared" si="19"/>
        <v>0</v>
      </c>
      <c r="R75" s="494"/>
      <c r="S75" s="494"/>
    </row>
    <row r="76" spans="1:19" ht="18.95" customHeight="1" x14ac:dyDescent="0.2">
      <c r="A76" s="193">
        <v>54</v>
      </c>
      <c r="B76" s="204" t="s">
        <v>200</v>
      </c>
      <c r="C76" s="493">
        <f t="shared" si="17"/>
        <v>354</v>
      </c>
      <c r="D76" s="493">
        <f t="shared" si="18"/>
        <v>354</v>
      </c>
      <c r="E76" s="494"/>
      <c r="F76" s="494"/>
      <c r="G76" s="494"/>
      <c r="H76" s="494"/>
      <c r="I76" s="494"/>
      <c r="J76" s="494"/>
      <c r="K76" s="494"/>
      <c r="L76" s="494"/>
      <c r="M76" s="494"/>
      <c r="N76" s="494"/>
      <c r="O76" s="494"/>
      <c r="P76" s="494">
        <v>354</v>
      </c>
      <c r="Q76" s="494">
        <f t="shared" si="19"/>
        <v>0</v>
      </c>
      <c r="R76" s="494"/>
      <c r="S76" s="494"/>
    </row>
    <row r="77" spans="1:19" ht="18.95" customHeight="1" x14ac:dyDescent="0.2">
      <c r="A77" s="193">
        <v>55</v>
      </c>
      <c r="B77" s="204" t="s">
        <v>201</v>
      </c>
      <c r="C77" s="493">
        <f t="shared" si="17"/>
        <v>434</v>
      </c>
      <c r="D77" s="493">
        <f>SUM(E77:P77)</f>
        <v>434</v>
      </c>
      <c r="E77" s="494"/>
      <c r="F77" s="494">
        <v>13</v>
      </c>
      <c r="G77" s="494"/>
      <c r="H77" s="494"/>
      <c r="I77" s="494"/>
      <c r="J77" s="494"/>
      <c r="K77" s="494"/>
      <c r="L77" s="494"/>
      <c r="M77" s="494"/>
      <c r="N77" s="494"/>
      <c r="O77" s="494"/>
      <c r="P77" s="494">
        <v>421</v>
      </c>
      <c r="Q77" s="494">
        <f t="shared" si="19"/>
        <v>0</v>
      </c>
      <c r="R77" s="494"/>
      <c r="S77" s="494"/>
    </row>
    <row r="78" spans="1:19" ht="18.95" customHeight="1" x14ac:dyDescent="0.2">
      <c r="A78" s="193">
        <v>56</v>
      </c>
      <c r="B78" s="204" t="s">
        <v>202</v>
      </c>
      <c r="C78" s="493">
        <f t="shared" si="17"/>
        <v>283</v>
      </c>
      <c r="D78" s="493">
        <f t="shared" si="18"/>
        <v>283</v>
      </c>
      <c r="E78" s="494"/>
      <c r="F78" s="494"/>
      <c r="G78" s="494"/>
      <c r="H78" s="494"/>
      <c r="I78" s="494"/>
      <c r="J78" s="494"/>
      <c r="K78" s="494"/>
      <c r="L78" s="494"/>
      <c r="M78" s="494"/>
      <c r="N78" s="494"/>
      <c r="O78" s="494"/>
      <c r="P78" s="494">
        <v>283</v>
      </c>
      <c r="Q78" s="494">
        <f t="shared" si="19"/>
        <v>0</v>
      </c>
      <c r="R78" s="494"/>
      <c r="S78" s="494"/>
    </row>
    <row r="79" spans="1:19" ht="18.95" customHeight="1" x14ac:dyDescent="0.2">
      <c r="A79" s="193">
        <v>57</v>
      </c>
      <c r="B79" s="204" t="s">
        <v>203</v>
      </c>
      <c r="C79" s="493">
        <f t="shared" si="17"/>
        <v>317</v>
      </c>
      <c r="D79" s="493">
        <f t="shared" si="18"/>
        <v>317</v>
      </c>
      <c r="E79" s="494"/>
      <c r="F79" s="494"/>
      <c r="G79" s="494"/>
      <c r="H79" s="494"/>
      <c r="I79" s="494"/>
      <c r="J79" s="494"/>
      <c r="K79" s="494"/>
      <c r="L79" s="494"/>
      <c r="M79" s="494"/>
      <c r="N79" s="494"/>
      <c r="O79" s="494"/>
      <c r="P79" s="494">
        <v>317</v>
      </c>
      <c r="Q79" s="494">
        <f t="shared" si="19"/>
        <v>0</v>
      </c>
      <c r="R79" s="494"/>
      <c r="S79" s="494"/>
    </row>
    <row r="80" spans="1:19" ht="18.95" customHeight="1" x14ac:dyDescent="0.2">
      <c r="A80" s="193">
        <v>58</v>
      </c>
      <c r="B80" s="204" t="s">
        <v>204</v>
      </c>
      <c r="C80" s="493">
        <f t="shared" si="17"/>
        <v>407</v>
      </c>
      <c r="D80" s="493">
        <f t="shared" si="18"/>
        <v>317</v>
      </c>
      <c r="E80" s="494"/>
      <c r="F80" s="494"/>
      <c r="G80" s="494"/>
      <c r="H80" s="494"/>
      <c r="I80" s="494"/>
      <c r="J80" s="494"/>
      <c r="K80" s="494"/>
      <c r="L80" s="494"/>
      <c r="M80" s="494"/>
      <c r="N80" s="494"/>
      <c r="O80" s="494"/>
      <c r="P80" s="494">
        <v>317</v>
      </c>
      <c r="Q80" s="494">
        <f t="shared" si="19"/>
        <v>90</v>
      </c>
      <c r="R80" s="494"/>
      <c r="S80" s="494">
        <f>90</f>
        <v>90</v>
      </c>
    </row>
    <row r="81" spans="1:19" ht="18.95" customHeight="1" x14ac:dyDescent="0.2">
      <c r="A81" s="193">
        <v>59</v>
      </c>
      <c r="B81" s="204" t="s">
        <v>376</v>
      </c>
      <c r="C81" s="493">
        <f t="shared" si="17"/>
        <v>317</v>
      </c>
      <c r="D81" s="493">
        <f t="shared" si="18"/>
        <v>317</v>
      </c>
      <c r="E81" s="494"/>
      <c r="F81" s="494"/>
      <c r="G81" s="494"/>
      <c r="H81" s="494"/>
      <c r="I81" s="494"/>
      <c r="J81" s="494"/>
      <c r="K81" s="494"/>
      <c r="L81" s="494"/>
      <c r="M81" s="494"/>
      <c r="N81" s="494"/>
      <c r="O81" s="494"/>
      <c r="P81" s="494">
        <v>317</v>
      </c>
      <c r="Q81" s="494">
        <f t="shared" si="19"/>
        <v>0</v>
      </c>
      <c r="R81" s="494"/>
      <c r="S81" s="494"/>
    </row>
    <row r="82" spans="1:19" ht="18.95" customHeight="1" x14ac:dyDescent="0.2">
      <c r="A82" s="193">
        <v>60</v>
      </c>
      <c r="B82" s="204" t="s">
        <v>89</v>
      </c>
      <c r="C82" s="493">
        <f t="shared" si="17"/>
        <v>317</v>
      </c>
      <c r="D82" s="493">
        <f t="shared" si="18"/>
        <v>317</v>
      </c>
      <c r="E82" s="494"/>
      <c r="F82" s="494"/>
      <c r="G82" s="494"/>
      <c r="H82" s="494"/>
      <c r="I82" s="494"/>
      <c r="J82" s="494"/>
      <c r="K82" s="494"/>
      <c r="L82" s="494"/>
      <c r="M82" s="494"/>
      <c r="N82" s="494"/>
      <c r="O82" s="494"/>
      <c r="P82" s="494">
        <v>317</v>
      </c>
      <c r="Q82" s="494">
        <f t="shared" si="19"/>
        <v>0</v>
      </c>
      <c r="R82" s="494"/>
      <c r="S82" s="494"/>
    </row>
    <row r="83" spans="1:19" ht="18.95" customHeight="1" x14ac:dyDescent="0.2">
      <c r="A83" s="193">
        <v>61</v>
      </c>
      <c r="B83" s="204" t="s">
        <v>33</v>
      </c>
      <c r="C83" s="493">
        <f t="shared" si="17"/>
        <v>317</v>
      </c>
      <c r="D83" s="493">
        <f t="shared" si="18"/>
        <v>317</v>
      </c>
      <c r="E83" s="494"/>
      <c r="F83" s="494"/>
      <c r="G83" s="494"/>
      <c r="H83" s="494"/>
      <c r="I83" s="494"/>
      <c r="J83" s="494"/>
      <c r="K83" s="494"/>
      <c r="L83" s="494"/>
      <c r="M83" s="494"/>
      <c r="N83" s="494"/>
      <c r="O83" s="494"/>
      <c r="P83" s="494">
        <v>317</v>
      </c>
      <c r="Q83" s="494">
        <f t="shared" si="19"/>
        <v>0</v>
      </c>
      <c r="R83" s="494"/>
      <c r="S83" s="494"/>
    </row>
    <row r="84" spans="1:19" s="240" customFormat="1" ht="18.95" customHeight="1" x14ac:dyDescent="0.2">
      <c r="A84" s="241">
        <v>2</v>
      </c>
      <c r="B84" s="239" t="s">
        <v>488</v>
      </c>
      <c r="C84" s="496">
        <f t="shared" ref="C84:S84" si="20">SUM(C85:C98)</f>
        <v>0</v>
      </c>
      <c r="D84" s="496">
        <f t="shared" si="20"/>
        <v>0</v>
      </c>
      <c r="E84" s="496">
        <f t="shared" si="20"/>
        <v>0</v>
      </c>
      <c r="F84" s="496">
        <f t="shared" si="20"/>
        <v>0</v>
      </c>
      <c r="G84" s="496">
        <f t="shared" si="20"/>
        <v>0</v>
      </c>
      <c r="H84" s="496">
        <f t="shared" si="20"/>
        <v>0</v>
      </c>
      <c r="I84" s="496">
        <f t="shared" si="20"/>
        <v>0</v>
      </c>
      <c r="J84" s="496">
        <f t="shared" si="20"/>
        <v>0</v>
      </c>
      <c r="K84" s="496">
        <f t="shared" si="20"/>
        <v>0</v>
      </c>
      <c r="L84" s="496">
        <f t="shared" si="20"/>
        <v>0</v>
      </c>
      <c r="M84" s="496">
        <f t="shared" si="20"/>
        <v>0</v>
      </c>
      <c r="N84" s="496">
        <f t="shared" si="20"/>
        <v>0</v>
      </c>
      <c r="O84" s="496">
        <f t="shared" si="20"/>
        <v>0</v>
      </c>
      <c r="P84" s="496">
        <f t="shared" si="20"/>
        <v>0</v>
      </c>
      <c r="Q84" s="496">
        <f t="shared" si="20"/>
        <v>0</v>
      </c>
      <c r="R84" s="496">
        <f t="shared" si="20"/>
        <v>0</v>
      </c>
      <c r="S84" s="496">
        <f t="shared" si="20"/>
        <v>0</v>
      </c>
    </row>
    <row r="85" spans="1:19" ht="18.95" hidden="1" customHeight="1" x14ac:dyDescent="0.2">
      <c r="A85" s="193">
        <v>62</v>
      </c>
      <c r="B85" s="204" t="s">
        <v>205</v>
      </c>
      <c r="C85" s="493">
        <f t="shared" si="17"/>
        <v>0</v>
      </c>
      <c r="D85" s="493">
        <f t="shared" si="18"/>
        <v>0</v>
      </c>
      <c r="E85" s="494"/>
      <c r="F85" s="494"/>
      <c r="G85" s="494"/>
      <c r="H85" s="494"/>
      <c r="I85" s="494"/>
      <c r="J85" s="494"/>
      <c r="K85" s="494"/>
      <c r="L85" s="494"/>
      <c r="M85" s="494"/>
      <c r="N85" s="494"/>
      <c r="O85" s="494"/>
      <c r="P85" s="494"/>
      <c r="Q85" s="494">
        <f>R85+S85</f>
        <v>0</v>
      </c>
      <c r="R85" s="494"/>
      <c r="S85" s="494"/>
    </row>
    <row r="86" spans="1:19" ht="18.95" hidden="1" customHeight="1" x14ac:dyDescent="0.2">
      <c r="A86" s="193">
        <v>63</v>
      </c>
      <c r="B86" s="204" t="s">
        <v>206</v>
      </c>
      <c r="C86" s="493">
        <f t="shared" si="17"/>
        <v>0</v>
      </c>
      <c r="D86" s="493">
        <f t="shared" si="18"/>
        <v>0</v>
      </c>
      <c r="E86" s="494"/>
      <c r="F86" s="494"/>
      <c r="G86" s="494"/>
      <c r="H86" s="494"/>
      <c r="I86" s="494"/>
      <c r="J86" s="494"/>
      <c r="K86" s="494"/>
      <c r="L86" s="494"/>
      <c r="M86" s="494"/>
      <c r="N86" s="494"/>
      <c r="O86" s="494"/>
      <c r="P86" s="494"/>
      <c r="Q86" s="494">
        <f t="shared" ref="Q86:Q98" si="21">R86+S86</f>
        <v>0</v>
      </c>
      <c r="R86" s="494"/>
      <c r="S86" s="494"/>
    </row>
    <row r="87" spans="1:19" ht="18.95" hidden="1" customHeight="1" x14ac:dyDescent="0.2">
      <c r="A87" s="193">
        <v>64</v>
      </c>
      <c r="B87" s="204" t="s">
        <v>73</v>
      </c>
      <c r="C87" s="493">
        <f t="shared" si="17"/>
        <v>0</v>
      </c>
      <c r="D87" s="493">
        <f t="shared" si="18"/>
        <v>0</v>
      </c>
      <c r="E87" s="494"/>
      <c r="F87" s="494"/>
      <c r="G87" s="494"/>
      <c r="H87" s="494"/>
      <c r="I87" s="494"/>
      <c r="J87" s="494"/>
      <c r="K87" s="494"/>
      <c r="L87" s="494"/>
      <c r="M87" s="494"/>
      <c r="N87" s="494"/>
      <c r="O87" s="494"/>
      <c r="P87" s="494"/>
      <c r="Q87" s="494">
        <f t="shared" si="21"/>
        <v>0</v>
      </c>
      <c r="R87" s="494"/>
      <c r="S87" s="494"/>
    </row>
    <row r="88" spans="1:19" ht="18.95" hidden="1" customHeight="1" x14ac:dyDescent="0.2">
      <c r="A88" s="193">
        <v>65</v>
      </c>
      <c r="B88" s="204" t="s">
        <v>243</v>
      </c>
      <c r="C88" s="493">
        <f t="shared" si="17"/>
        <v>0</v>
      </c>
      <c r="D88" s="493">
        <f t="shared" si="18"/>
        <v>0</v>
      </c>
      <c r="E88" s="494"/>
      <c r="F88" s="494"/>
      <c r="G88" s="494"/>
      <c r="H88" s="494"/>
      <c r="I88" s="494"/>
      <c r="J88" s="494"/>
      <c r="K88" s="494"/>
      <c r="L88" s="494"/>
      <c r="M88" s="494"/>
      <c r="N88" s="494"/>
      <c r="O88" s="494"/>
      <c r="P88" s="494"/>
      <c r="Q88" s="494">
        <f t="shared" si="21"/>
        <v>0</v>
      </c>
      <c r="R88" s="494"/>
      <c r="S88" s="494"/>
    </row>
    <row r="89" spans="1:19" ht="18.95" hidden="1" customHeight="1" x14ac:dyDescent="0.2">
      <c r="A89" s="193">
        <v>66</v>
      </c>
      <c r="B89" s="213" t="s">
        <v>377</v>
      </c>
      <c r="C89" s="493">
        <f t="shared" si="17"/>
        <v>0</v>
      </c>
      <c r="D89" s="493">
        <f t="shared" ref="D89:D94" si="22">SUM(E89:P89)</f>
        <v>0</v>
      </c>
      <c r="E89" s="494"/>
      <c r="F89" s="494"/>
      <c r="G89" s="494"/>
      <c r="H89" s="494"/>
      <c r="I89" s="494"/>
      <c r="J89" s="494"/>
      <c r="K89" s="494"/>
      <c r="L89" s="494"/>
      <c r="M89" s="494"/>
      <c r="N89" s="494"/>
      <c r="O89" s="494"/>
      <c r="P89" s="494"/>
      <c r="Q89" s="494">
        <f t="shared" si="21"/>
        <v>0</v>
      </c>
      <c r="R89" s="494"/>
      <c r="S89" s="494"/>
    </row>
    <row r="90" spans="1:19" ht="18.95" hidden="1" customHeight="1" x14ac:dyDescent="0.2">
      <c r="A90" s="193">
        <v>67</v>
      </c>
      <c r="B90" s="213" t="s">
        <v>711</v>
      </c>
      <c r="C90" s="493">
        <f>D90+Q90</f>
        <v>0</v>
      </c>
      <c r="D90" s="493">
        <f t="shared" si="22"/>
        <v>0</v>
      </c>
      <c r="E90" s="494"/>
      <c r="F90" s="494"/>
      <c r="G90" s="494"/>
      <c r="H90" s="494"/>
      <c r="I90" s="494"/>
      <c r="J90" s="494"/>
      <c r="K90" s="494"/>
      <c r="L90" s="494"/>
      <c r="M90" s="494"/>
      <c r="N90" s="494"/>
      <c r="O90" s="494"/>
      <c r="P90" s="494"/>
      <c r="Q90" s="494">
        <f>R90+S90</f>
        <v>0</v>
      </c>
      <c r="R90" s="494"/>
      <c r="S90" s="494"/>
    </row>
    <row r="91" spans="1:19" ht="18.95" hidden="1" customHeight="1" x14ac:dyDescent="0.2">
      <c r="A91" s="193">
        <v>68</v>
      </c>
      <c r="B91" s="213" t="s">
        <v>712</v>
      </c>
      <c r="C91" s="493">
        <f>D91+Q91</f>
        <v>0</v>
      </c>
      <c r="D91" s="493">
        <f t="shared" si="22"/>
        <v>0</v>
      </c>
      <c r="E91" s="494"/>
      <c r="F91" s="494"/>
      <c r="G91" s="494"/>
      <c r="H91" s="494"/>
      <c r="I91" s="494"/>
      <c r="J91" s="494"/>
      <c r="K91" s="494"/>
      <c r="L91" s="494"/>
      <c r="M91" s="494"/>
      <c r="N91" s="494"/>
      <c r="O91" s="494"/>
      <c r="P91" s="494"/>
      <c r="Q91" s="494">
        <f>R91+S91</f>
        <v>0</v>
      </c>
      <c r="R91" s="494"/>
      <c r="S91" s="494"/>
    </row>
    <row r="92" spans="1:19" ht="18.95" hidden="1" customHeight="1" x14ac:dyDescent="0.2">
      <c r="A92" s="193">
        <v>69</v>
      </c>
      <c r="B92" s="242" t="s">
        <v>490</v>
      </c>
      <c r="C92" s="493">
        <f t="shared" si="17"/>
        <v>0</v>
      </c>
      <c r="D92" s="493">
        <f t="shared" si="22"/>
        <v>0</v>
      </c>
      <c r="E92" s="497"/>
      <c r="F92" s="497"/>
      <c r="G92" s="497"/>
      <c r="H92" s="497"/>
      <c r="I92" s="497"/>
      <c r="J92" s="497"/>
      <c r="K92" s="497"/>
      <c r="L92" s="497"/>
      <c r="M92" s="497"/>
      <c r="N92" s="497"/>
      <c r="O92" s="497"/>
      <c r="P92" s="497"/>
      <c r="Q92" s="497">
        <f t="shared" si="21"/>
        <v>0</v>
      </c>
      <c r="R92" s="497"/>
      <c r="S92" s="497"/>
    </row>
    <row r="93" spans="1:19" ht="18.95" hidden="1" customHeight="1" x14ac:dyDescent="0.2">
      <c r="A93" s="193">
        <v>70</v>
      </c>
      <c r="B93" s="242" t="s">
        <v>489</v>
      </c>
      <c r="C93" s="493">
        <f t="shared" si="17"/>
        <v>0</v>
      </c>
      <c r="D93" s="493">
        <f t="shared" si="22"/>
        <v>0</v>
      </c>
      <c r="E93" s="497"/>
      <c r="F93" s="497"/>
      <c r="G93" s="497"/>
      <c r="H93" s="497"/>
      <c r="I93" s="497"/>
      <c r="J93" s="497"/>
      <c r="K93" s="497"/>
      <c r="L93" s="497"/>
      <c r="M93" s="497"/>
      <c r="N93" s="497"/>
      <c r="O93" s="497"/>
      <c r="P93" s="497"/>
      <c r="Q93" s="497">
        <f t="shared" si="21"/>
        <v>0</v>
      </c>
      <c r="R93" s="497"/>
      <c r="S93" s="497"/>
    </row>
    <row r="94" spans="1:19" ht="18.95" hidden="1" customHeight="1" x14ac:dyDescent="0.2">
      <c r="A94" s="193">
        <v>71</v>
      </c>
      <c r="B94" s="242" t="s">
        <v>491</v>
      </c>
      <c r="C94" s="493">
        <f t="shared" si="17"/>
        <v>0</v>
      </c>
      <c r="D94" s="493">
        <f t="shared" si="22"/>
        <v>0</v>
      </c>
      <c r="E94" s="497"/>
      <c r="F94" s="497"/>
      <c r="G94" s="497"/>
      <c r="H94" s="497"/>
      <c r="I94" s="497"/>
      <c r="J94" s="497"/>
      <c r="K94" s="497"/>
      <c r="L94" s="497"/>
      <c r="M94" s="497"/>
      <c r="N94" s="497"/>
      <c r="O94" s="497"/>
      <c r="P94" s="497"/>
      <c r="Q94" s="497">
        <f t="shared" si="21"/>
        <v>0</v>
      </c>
      <c r="R94" s="497"/>
      <c r="S94" s="497"/>
    </row>
    <row r="95" spans="1:19" ht="18.95" hidden="1" customHeight="1" x14ac:dyDescent="0.2">
      <c r="A95" s="193">
        <v>72</v>
      </c>
      <c r="B95" s="204" t="s">
        <v>79</v>
      </c>
      <c r="C95" s="493">
        <f t="shared" si="17"/>
        <v>0</v>
      </c>
      <c r="D95" s="493">
        <f t="shared" si="18"/>
        <v>0</v>
      </c>
      <c r="E95" s="494"/>
      <c r="F95" s="494"/>
      <c r="G95" s="494"/>
      <c r="H95" s="494"/>
      <c r="I95" s="494"/>
      <c r="J95" s="494"/>
      <c r="K95" s="494"/>
      <c r="L95" s="494"/>
      <c r="M95" s="494"/>
      <c r="N95" s="494"/>
      <c r="O95" s="494"/>
      <c r="P95" s="494"/>
      <c r="Q95" s="494">
        <f t="shared" si="21"/>
        <v>0</v>
      </c>
      <c r="R95" s="494"/>
      <c r="S95" s="494"/>
    </row>
    <row r="96" spans="1:19" ht="18.95" hidden="1" customHeight="1" x14ac:dyDescent="0.2">
      <c r="A96" s="193">
        <v>73</v>
      </c>
      <c r="B96" s="204" t="s">
        <v>492</v>
      </c>
      <c r="C96" s="493">
        <f t="shared" si="17"/>
        <v>0</v>
      </c>
      <c r="D96" s="493">
        <f>SUM(E96:P96)</f>
        <v>0</v>
      </c>
      <c r="E96" s="494"/>
      <c r="F96" s="494"/>
      <c r="G96" s="494"/>
      <c r="H96" s="494"/>
      <c r="I96" s="494"/>
      <c r="J96" s="494"/>
      <c r="K96" s="494"/>
      <c r="L96" s="494"/>
      <c r="M96" s="494"/>
      <c r="N96" s="494"/>
      <c r="O96" s="494"/>
      <c r="P96" s="497"/>
      <c r="Q96" s="497">
        <f t="shared" si="21"/>
        <v>0</v>
      </c>
      <c r="R96" s="494"/>
      <c r="S96" s="494"/>
    </row>
    <row r="97" spans="1:19" ht="18.95" hidden="1" customHeight="1" x14ac:dyDescent="0.2">
      <c r="A97" s="193">
        <v>74</v>
      </c>
      <c r="B97" s="204" t="s">
        <v>493</v>
      </c>
      <c r="C97" s="493">
        <f t="shared" si="17"/>
        <v>0</v>
      </c>
      <c r="D97" s="493">
        <f>SUM(E97:P97)</f>
        <v>0</v>
      </c>
      <c r="E97" s="494"/>
      <c r="F97" s="494"/>
      <c r="G97" s="494"/>
      <c r="H97" s="494"/>
      <c r="I97" s="494"/>
      <c r="J97" s="494"/>
      <c r="K97" s="494"/>
      <c r="L97" s="494"/>
      <c r="M97" s="494"/>
      <c r="N97" s="494"/>
      <c r="O97" s="494"/>
      <c r="P97" s="497"/>
      <c r="Q97" s="497">
        <f t="shared" si="21"/>
        <v>0</v>
      </c>
      <c r="R97" s="494"/>
      <c r="S97" s="494"/>
    </row>
    <row r="98" spans="1:19" ht="18.95" hidden="1" customHeight="1" x14ac:dyDescent="0.2">
      <c r="A98" s="193">
        <v>75</v>
      </c>
      <c r="B98" s="204" t="s">
        <v>494</v>
      </c>
      <c r="C98" s="493">
        <f t="shared" si="17"/>
        <v>0</v>
      </c>
      <c r="D98" s="493">
        <f>SUM(E98:P98)</f>
        <v>0</v>
      </c>
      <c r="E98" s="494"/>
      <c r="F98" s="494"/>
      <c r="G98" s="494"/>
      <c r="H98" s="494"/>
      <c r="I98" s="494"/>
      <c r="J98" s="494"/>
      <c r="K98" s="494"/>
      <c r="L98" s="494"/>
      <c r="M98" s="494"/>
      <c r="N98" s="494"/>
      <c r="O98" s="494"/>
      <c r="P98" s="494"/>
      <c r="Q98" s="494">
        <f t="shared" si="21"/>
        <v>0</v>
      </c>
      <c r="R98" s="494"/>
      <c r="S98" s="494"/>
    </row>
    <row r="99" spans="1:19" s="240" customFormat="1" ht="18.95" customHeight="1" x14ac:dyDescent="0.2">
      <c r="A99" s="241">
        <v>3</v>
      </c>
      <c r="B99" s="239" t="s">
        <v>495</v>
      </c>
      <c r="C99" s="498">
        <f>SUM(C100:C106)</f>
        <v>2011</v>
      </c>
      <c r="D99" s="498">
        <f t="shared" ref="D99:S99" si="23">SUM(D100:D106)</f>
        <v>2011</v>
      </c>
      <c r="E99" s="498">
        <f t="shared" si="23"/>
        <v>0</v>
      </c>
      <c r="F99" s="498">
        <f t="shared" si="23"/>
        <v>35</v>
      </c>
      <c r="G99" s="498">
        <f t="shared" si="23"/>
        <v>0</v>
      </c>
      <c r="H99" s="498">
        <f t="shared" si="23"/>
        <v>0</v>
      </c>
      <c r="I99" s="498">
        <f t="shared" si="23"/>
        <v>0</v>
      </c>
      <c r="J99" s="498">
        <f t="shared" si="23"/>
        <v>0</v>
      </c>
      <c r="K99" s="498">
        <f t="shared" si="23"/>
        <v>0</v>
      </c>
      <c r="L99" s="498">
        <f t="shared" si="23"/>
        <v>0</v>
      </c>
      <c r="M99" s="498">
        <f t="shared" si="23"/>
        <v>0</v>
      </c>
      <c r="N99" s="498">
        <f t="shared" si="23"/>
        <v>0</v>
      </c>
      <c r="O99" s="498">
        <f t="shared" si="23"/>
        <v>0</v>
      </c>
      <c r="P99" s="498">
        <f t="shared" si="23"/>
        <v>1976</v>
      </c>
      <c r="Q99" s="498">
        <f t="shared" si="23"/>
        <v>0</v>
      </c>
      <c r="R99" s="498">
        <f t="shared" si="23"/>
        <v>0</v>
      </c>
      <c r="S99" s="498">
        <f t="shared" si="23"/>
        <v>0</v>
      </c>
    </row>
    <row r="100" spans="1:19" ht="18.95" customHeight="1" x14ac:dyDescent="0.2">
      <c r="A100" s="243">
        <v>76</v>
      </c>
      <c r="B100" s="204" t="s">
        <v>253</v>
      </c>
      <c r="C100" s="493">
        <f t="shared" si="17"/>
        <v>131</v>
      </c>
      <c r="D100" s="493">
        <f t="shared" si="18"/>
        <v>131</v>
      </c>
      <c r="E100" s="494"/>
      <c r="F100" s="494">
        <v>35</v>
      </c>
      <c r="G100" s="494"/>
      <c r="H100" s="494"/>
      <c r="I100" s="494"/>
      <c r="J100" s="494"/>
      <c r="K100" s="494"/>
      <c r="L100" s="494"/>
      <c r="M100" s="494"/>
      <c r="N100" s="494"/>
      <c r="O100" s="494"/>
      <c r="P100" s="494">
        <v>96</v>
      </c>
      <c r="Q100" s="494">
        <f>R100+S100</f>
        <v>0</v>
      </c>
      <c r="R100" s="494"/>
      <c r="S100" s="494"/>
    </row>
    <row r="101" spans="1:19" ht="18.95" customHeight="1" x14ac:dyDescent="0.2">
      <c r="A101" s="243">
        <v>77</v>
      </c>
      <c r="B101" s="244" t="s">
        <v>254</v>
      </c>
      <c r="C101" s="493">
        <f t="shared" si="17"/>
        <v>150</v>
      </c>
      <c r="D101" s="493">
        <f t="shared" si="18"/>
        <v>150</v>
      </c>
      <c r="E101" s="494"/>
      <c r="F101" s="494"/>
      <c r="G101" s="494"/>
      <c r="H101" s="494"/>
      <c r="I101" s="494"/>
      <c r="J101" s="494"/>
      <c r="K101" s="494"/>
      <c r="L101" s="494"/>
      <c r="M101" s="494"/>
      <c r="N101" s="494"/>
      <c r="O101" s="494"/>
      <c r="P101" s="494">
        <v>150</v>
      </c>
      <c r="Q101" s="494">
        <f t="shared" ref="Q101:Q106" si="24">R101+S101</f>
        <v>0</v>
      </c>
      <c r="R101" s="494"/>
      <c r="S101" s="494"/>
    </row>
    <row r="102" spans="1:19" ht="18.95" customHeight="1" x14ac:dyDescent="0.2">
      <c r="A102" s="243">
        <v>78</v>
      </c>
      <c r="B102" s="204" t="s">
        <v>34</v>
      </c>
      <c r="C102" s="493">
        <f t="shared" si="17"/>
        <v>330</v>
      </c>
      <c r="D102" s="493">
        <f>SUM(E102:P102)</f>
        <v>330</v>
      </c>
      <c r="E102" s="494"/>
      <c r="F102" s="494"/>
      <c r="G102" s="494"/>
      <c r="H102" s="494"/>
      <c r="I102" s="494"/>
      <c r="J102" s="494"/>
      <c r="K102" s="494"/>
      <c r="L102" s="494"/>
      <c r="M102" s="494"/>
      <c r="N102" s="494"/>
      <c r="O102" s="494"/>
      <c r="P102" s="494">
        <v>330</v>
      </c>
      <c r="Q102" s="494">
        <f t="shared" si="24"/>
        <v>0</v>
      </c>
      <c r="R102" s="494"/>
      <c r="S102" s="494"/>
    </row>
    <row r="103" spans="1:19" ht="18.95" customHeight="1" x14ac:dyDescent="0.2">
      <c r="A103" s="243">
        <v>79</v>
      </c>
      <c r="B103" s="204" t="s">
        <v>195</v>
      </c>
      <c r="C103" s="493">
        <f t="shared" si="17"/>
        <v>400</v>
      </c>
      <c r="D103" s="493">
        <f>SUM(E103:P103)</f>
        <v>400</v>
      </c>
      <c r="E103" s="494"/>
      <c r="F103" s="494"/>
      <c r="G103" s="494"/>
      <c r="H103" s="494"/>
      <c r="I103" s="494"/>
      <c r="J103" s="494"/>
      <c r="K103" s="494"/>
      <c r="L103" s="494"/>
      <c r="M103" s="494"/>
      <c r="N103" s="494"/>
      <c r="O103" s="494"/>
      <c r="P103" s="494">
        <v>400</v>
      </c>
      <c r="Q103" s="494">
        <f t="shared" si="24"/>
        <v>0</v>
      </c>
      <c r="R103" s="494"/>
      <c r="S103" s="494"/>
    </row>
    <row r="104" spans="1:19" ht="18.95" customHeight="1" x14ac:dyDescent="0.2">
      <c r="A104" s="243">
        <v>80</v>
      </c>
      <c r="B104" s="204" t="s">
        <v>74</v>
      </c>
      <c r="C104" s="493">
        <f t="shared" si="17"/>
        <v>450</v>
      </c>
      <c r="D104" s="493">
        <f>SUM(E104:P104)</f>
        <v>450</v>
      </c>
      <c r="E104" s="494"/>
      <c r="F104" s="494"/>
      <c r="G104" s="494"/>
      <c r="H104" s="494"/>
      <c r="I104" s="494"/>
      <c r="J104" s="494"/>
      <c r="K104" s="494"/>
      <c r="L104" s="494"/>
      <c r="M104" s="494"/>
      <c r="N104" s="494"/>
      <c r="O104" s="494"/>
      <c r="P104" s="494">
        <v>450</v>
      </c>
      <c r="Q104" s="494">
        <f t="shared" si="24"/>
        <v>0</v>
      </c>
      <c r="R104" s="494"/>
      <c r="S104" s="494"/>
    </row>
    <row r="105" spans="1:19" ht="18.95" customHeight="1" x14ac:dyDescent="0.2">
      <c r="A105" s="243">
        <v>81</v>
      </c>
      <c r="B105" s="204" t="s">
        <v>507</v>
      </c>
      <c r="C105" s="493">
        <f t="shared" si="17"/>
        <v>550</v>
      </c>
      <c r="D105" s="493">
        <f t="shared" si="18"/>
        <v>550</v>
      </c>
      <c r="E105" s="494"/>
      <c r="F105" s="494"/>
      <c r="G105" s="494"/>
      <c r="H105" s="494"/>
      <c r="I105" s="494"/>
      <c r="J105" s="494"/>
      <c r="K105" s="494"/>
      <c r="L105" s="494"/>
      <c r="M105" s="494"/>
      <c r="N105" s="494"/>
      <c r="O105" s="494"/>
      <c r="P105" s="494">
        <v>550</v>
      </c>
      <c r="Q105" s="494">
        <f t="shared" si="24"/>
        <v>0</v>
      </c>
      <c r="R105" s="494"/>
      <c r="S105" s="494"/>
    </row>
    <row r="106" spans="1:19" ht="12.75" x14ac:dyDescent="0.2">
      <c r="A106" s="193">
        <v>82</v>
      </c>
      <c r="B106" s="204" t="s">
        <v>398</v>
      </c>
      <c r="C106" s="493">
        <f t="shared" si="17"/>
        <v>0</v>
      </c>
      <c r="D106" s="493">
        <f t="shared" si="18"/>
        <v>0</v>
      </c>
      <c r="E106" s="494"/>
      <c r="F106" s="494"/>
      <c r="G106" s="494"/>
      <c r="H106" s="494"/>
      <c r="I106" s="494"/>
      <c r="J106" s="494"/>
      <c r="K106" s="494"/>
      <c r="L106" s="494"/>
      <c r="M106" s="494"/>
      <c r="N106" s="494"/>
      <c r="O106" s="494"/>
      <c r="P106" s="494">
        <v>0</v>
      </c>
      <c r="Q106" s="494">
        <f t="shared" si="24"/>
        <v>0</v>
      </c>
      <c r="R106" s="494"/>
      <c r="S106" s="494"/>
    </row>
    <row r="107" spans="1:19" s="153" customFormat="1" ht="15.95" customHeight="1" x14ac:dyDescent="0.2">
      <c r="A107" s="194" t="s">
        <v>295</v>
      </c>
      <c r="B107" s="521" t="s">
        <v>676</v>
      </c>
      <c r="C107" s="522">
        <f>'Phụ lục số 2'!N38</f>
        <v>300</v>
      </c>
      <c r="D107" s="522"/>
      <c r="E107" s="522"/>
      <c r="F107" s="522"/>
      <c r="G107" s="522"/>
      <c r="H107" s="522"/>
      <c r="I107" s="522"/>
      <c r="J107" s="522"/>
      <c r="K107" s="522"/>
      <c r="L107" s="522"/>
      <c r="M107" s="522"/>
      <c r="N107" s="522"/>
      <c r="O107" s="522"/>
      <c r="P107" s="522"/>
      <c r="Q107" s="522"/>
      <c r="R107" s="522"/>
      <c r="S107" s="522"/>
    </row>
    <row r="108" spans="1:19" s="153" customFormat="1" ht="15.95" customHeight="1" x14ac:dyDescent="0.2">
      <c r="A108" s="194" t="s">
        <v>299</v>
      </c>
      <c r="B108" s="521" t="s">
        <v>677</v>
      </c>
      <c r="C108" s="522">
        <f>'Phụ lục số 2'!N33</f>
        <v>2000</v>
      </c>
      <c r="D108" s="522"/>
      <c r="E108" s="522"/>
      <c r="F108" s="522"/>
      <c r="G108" s="522"/>
      <c r="H108" s="522"/>
      <c r="I108" s="522"/>
      <c r="J108" s="522"/>
      <c r="K108" s="522"/>
      <c r="L108" s="522"/>
      <c r="M108" s="522"/>
      <c r="N108" s="522"/>
      <c r="O108" s="522"/>
      <c r="P108" s="522"/>
      <c r="Q108" s="522"/>
      <c r="R108" s="522"/>
      <c r="S108" s="522"/>
    </row>
    <row r="109" spans="1:19" s="153" customFormat="1" ht="15.95" customHeight="1" x14ac:dyDescent="0.2">
      <c r="A109" s="194" t="s">
        <v>337</v>
      </c>
      <c r="B109" s="521" t="s">
        <v>678</v>
      </c>
      <c r="C109" s="522">
        <f>'Phụ lục số 2'!N34</f>
        <v>110426</v>
      </c>
      <c r="D109" s="522"/>
      <c r="E109" s="522"/>
      <c r="F109" s="522"/>
      <c r="G109" s="522"/>
      <c r="H109" s="522"/>
      <c r="I109" s="522"/>
      <c r="J109" s="522"/>
      <c r="K109" s="522"/>
      <c r="L109" s="522"/>
      <c r="M109" s="522"/>
      <c r="N109" s="522"/>
      <c r="O109" s="522"/>
      <c r="P109" s="522"/>
      <c r="Q109" s="522"/>
      <c r="R109" s="522"/>
      <c r="S109" s="522"/>
    </row>
    <row r="110" spans="1:19" s="153" customFormat="1" ht="15.75" customHeight="1" x14ac:dyDescent="0.2">
      <c r="A110" s="194" t="s">
        <v>679</v>
      </c>
      <c r="B110" s="521" t="s">
        <v>681</v>
      </c>
      <c r="C110" s="522">
        <f>'Phụ lục số 2'!N36</f>
        <v>0</v>
      </c>
      <c r="D110" s="522"/>
      <c r="E110" s="522"/>
      <c r="F110" s="522"/>
      <c r="G110" s="522"/>
      <c r="H110" s="522"/>
      <c r="I110" s="522"/>
      <c r="J110" s="522"/>
      <c r="K110" s="522"/>
      <c r="L110" s="522"/>
      <c r="M110" s="522"/>
      <c r="N110" s="522"/>
      <c r="O110" s="522"/>
      <c r="P110" s="522"/>
      <c r="Q110" s="522"/>
      <c r="R110" s="522"/>
      <c r="S110" s="522"/>
    </row>
    <row r="111" spans="1:19" s="153" customFormat="1" ht="15.95" customHeight="1" x14ac:dyDescent="0.2">
      <c r="A111" s="194" t="s">
        <v>680</v>
      </c>
      <c r="B111" s="521" t="s">
        <v>689</v>
      </c>
      <c r="C111" s="522">
        <f>'Phụ lục số 5'!C31</f>
        <v>4119360</v>
      </c>
      <c r="D111" s="522"/>
      <c r="E111" s="522"/>
      <c r="F111" s="522"/>
      <c r="G111" s="522"/>
      <c r="H111" s="522"/>
      <c r="I111" s="522"/>
      <c r="J111" s="522"/>
      <c r="K111" s="522"/>
      <c r="L111" s="522"/>
      <c r="M111" s="522"/>
      <c r="N111" s="522"/>
      <c r="O111" s="522"/>
      <c r="P111" s="522"/>
      <c r="Q111" s="522"/>
      <c r="R111" s="522"/>
      <c r="S111" s="522"/>
    </row>
    <row r="112" spans="1:19" s="153" customFormat="1" ht="15.95" customHeight="1" x14ac:dyDescent="0.2">
      <c r="A112" s="194" t="s">
        <v>682</v>
      </c>
      <c r="B112" s="521" t="s">
        <v>687</v>
      </c>
      <c r="C112" s="522">
        <f>'Phụ lục số 2'!N15</f>
        <v>559653</v>
      </c>
      <c r="D112" s="525"/>
      <c r="E112" s="525"/>
      <c r="F112" s="525"/>
      <c r="G112" s="525"/>
      <c r="H112" s="525"/>
      <c r="I112" s="525"/>
      <c r="J112" s="525"/>
      <c r="K112" s="525"/>
      <c r="L112" s="525"/>
      <c r="M112" s="525"/>
      <c r="N112" s="525"/>
      <c r="O112" s="525"/>
      <c r="P112" s="525"/>
      <c r="Q112" s="525"/>
      <c r="R112" s="525"/>
      <c r="S112" s="525"/>
    </row>
    <row r="113" spans="1:19" s="153" customFormat="1" ht="15.95" customHeight="1" x14ac:dyDescent="0.2">
      <c r="A113" s="527" t="s">
        <v>281</v>
      </c>
      <c r="B113" s="521" t="s">
        <v>683</v>
      </c>
      <c r="C113" s="530">
        <f>'Phụ lục số 2'!N17</f>
        <v>1380000</v>
      </c>
      <c r="D113" s="529"/>
      <c r="E113" s="529"/>
      <c r="F113" s="529"/>
      <c r="G113" s="529"/>
      <c r="H113" s="529"/>
      <c r="I113" s="529"/>
      <c r="J113" s="529"/>
      <c r="K113" s="529"/>
      <c r="L113" s="529"/>
      <c r="M113" s="529"/>
      <c r="N113" s="529"/>
      <c r="O113" s="529"/>
      <c r="P113" s="529"/>
      <c r="Q113" s="529"/>
      <c r="R113" s="529"/>
      <c r="S113" s="529"/>
    </row>
    <row r="114" spans="1:19" s="153" customFormat="1" ht="15.95" customHeight="1" x14ac:dyDescent="0.2">
      <c r="A114" s="527" t="s">
        <v>685</v>
      </c>
      <c r="B114" s="528" t="s">
        <v>688</v>
      </c>
      <c r="C114" s="530">
        <f>'Phụ lục số 2'!N16</f>
        <v>70000</v>
      </c>
      <c r="D114" s="529"/>
      <c r="E114" s="529"/>
      <c r="F114" s="529"/>
      <c r="G114" s="529"/>
      <c r="H114" s="529"/>
      <c r="I114" s="529"/>
      <c r="J114" s="529"/>
      <c r="K114" s="529"/>
      <c r="L114" s="529"/>
      <c r="M114" s="529"/>
      <c r="N114" s="529"/>
      <c r="O114" s="529"/>
      <c r="P114" s="529"/>
      <c r="Q114" s="529"/>
      <c r="R114" s="529"/>
      <c r="S114" s="529"/>
    </row>
    <row r="115" spans="1:19" s="153" customFormat="1" ht="15.95" customHeight="1" x14ac:dyDescent="0.2">
      <c r="A115" s="527" t="s">
        <v>686</v>
      </c>
      <c r="B115" s="528" t="s">
        <v>684</v>
      </c>
      <c r="C115" s="530">
        <f>'Phụ lục số 8'!D50</f>
        <v>1016696</v>
      </c>
      <c r="D115" s="529"/>
      <c r="E115" s="529"/>
      <c r="F115" s="529"/>
      <c r="G115" s="529"/>
      <c r="H115" s="529"/>
      <c r="I115" s="529"/>
      <c r="J115" s="529"/>
      <c r="K115" s="529"/>
      <c r="L115" s="529"/>
      <c r="M115" s="529"/>
      <c r="N115" s="529"/>
      <c r="O115" s="529"/>
      <c r="P115" s="529"/>
      <c r="Q115" s="529"/>
      <c r="R115" s="529"/>
      <c r="S115" s="529"/>
    </row>
    <row r="116" spans="1:19" ht="15.95" customHeight="1" x14ac:dyDescent="0.2">
      <c r="A116" s="246" t="s">
        <v>1045</v>
      </c>
      <c r="B116" s="523" t="s">
        <v>1046</v>
      </c>
      <c r="C116" s="524">
        <f>'Phụ lục số 2'!N44</f>
        <v>15000</v>
      </c>
      <c r="D116" s="526"/>
      <c r="E116" s="526"/>
      <c r="F116" s="526"/>
      <c r="G116" s="526"/>
      <c r="H116" s="526"/>
      <c r="I116" s="526"/>
      <c r="J116" s="526"/>
      <c r="K116" s="526"/>
      <c r="L116" s="526"/>
      <c r="M116" s="526"/>
      <c r="N116" s="526"/>
      <c r="O116" s="526"/>
      <c r="P116" s="526"/>
      <c r="Q116" s="526"/>
      <c r="R116" s="526"/>
      <c r="S116" s="526"/>
    </row>
    <row r="118" spans="1:19" ht="15.95" customHeight="1" x14ac:dyDescent="0.2">
      <c r="C118" s="940"/>
    </row>
    <row r="122" spans="1:19" ht="15.95" customHeight="1" x14ac:dyDescent="0.2">
      <c r="E122" s="92">
        <v>85137</v>
      </c>
    </row>
    <row r="123" spans="1:19" ht="15.95" customHeight="1" x14ac:dyDescent="0.2">
      <c r="E123" s="940">
        <f>+E42-E122</f>
        <v>157</v>
      </c>
    </row>
    <row r="124" spans="1:19" ht="15.95" customHeight="1" x14ac:dyDescent="0.2">
      <c r="E124" s="92">
        <v>441252</v>
      </c>
    </row>
    <row r="125" spans="1:19" ht="15.95" customHeight="1" x14ac:dyDescent="0.2">
      <c r="E125" s="940">
        <f>+E124+E123</f>
        <v>441409</v>
      </c>
    </row>
    <row r="126" spans="1:19" ht="15.95" customHeight="1" x14ac:dyDescent="0.2">
      <c r="E126" s="92">
        <v>1576743</v>
      </c>
      <c r="H126" s="943">
        <v>45</v>
      </c>
    </row>
    <row r="127" spans="1:19" ht="15.95" customHeight="1" x14ac:dyDescent="0.2">
      <c r="E127" s="92">
        <f>+E126/11</f>
        <v>143340.27272727274</v>
      </c>
      <c r="H127" s="92">
        <f>+H126*8000</f>
        <v>360000</v>
      </c>
    </row>
    <row r="128" spans="1:19" ht="15.95" customHeight="1" x14ac:dyDescent="0.2">
      <c r="E128" s="92">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26"/>
      <c r="D1" s="226"/>
      <c r="E1" s="69" t="s">
        <v>735</v>
      </c>
      <c r="F1" s="226"/>
      <c r="G1" s="226"/>
      <c r="H1" s="226"/>
      <c r="I1" s="226"/>
      <c r="J1" s="226"/>
      <c r="K1" s="226"/>
      <c r="L1" s="226"/>
      <c r="M1" s="226"/>
      <c r="N1" s="226"/>
      <c r="O1" s="226"/>
      <c r="P1" s="226"/>
      <c r="Q1" s="226"/>
      <c r="R1" s="226"/>
      <c r="S1" s="226"/>
      <c r="T1" s="226"/>
      <c r="U1" s="227"/>
      <c r="V1" s="227"/>
      <c r="W1" s="227"/>
      <c r="X1" s="226"/>
      <c r="Y1" s="226"/>
      <c r="Z1" s="69" t="s">
        <v>735</v>
      </c>
      <c r="AA1" s="70"/>
      <c r="AB1" s="70"/>
      <c r="AC1" s="70"/>
      <c r="AD1" s="70"/>
      <c r="AE1" s="70"/>
      <c r="AF1" s="70"/>
      <c r="AG1" s="70"/>
      <c r="AH1" s="70"/>
      <c r="AI1" s="70"/>
      <c r="AJ1" s="70"/>
      <c r="AK1" s="70"/>
      <c r="AL1" s="70"/>
      <c r="AM1" s="227"/>
      <c r="AN1" s="227"/>
      <c r="AO1" s="227"/>
    </row>
    <row r="2" spans="1:41" x14ac:dyDescent="0.25">
      <c r="D2" s="42"/>
      <c r="E2" s="42"/>
      <c r="F2" s="71"/>
      <c r="T2" s="16"/>
      <c r="U2" s="1021" t="s">
        <v>430</v>
      </c>
      <c r="V2" s="1021"/>
      <c r="W2" s="1021"/>
      <c r="AL2" s="16"/>
      <c r="AM2" s="1022" t="s">
        <v>430</v>
      </c>
      <c r="AN2" s="1022"/>
      <c r="AO2" s="1022"/>
    </row>
    <row r="3" spans="1:41" s="10" customFormat="1" ht="24.75" customHeight="1" x14ac:dyDescent="0.25">
      <c r="A3" s="1023" t="s">
        <v>326</v>
      </c>
      <c r="B3" s="1023" t="s">
        <v>431</v>
      </c>
      <c r="C3" s="1020" t="s">
        <v>432</v>
      </c>
      <c r="D3" s="1020"/>
      <c r="E3" s="1020"/>
      <c r="F3" s="1020" t="s">
        <v>433</v>
      </c>
      <c r="G3" s="1020"/>
      <c r="H3" s="1020"/>
      <c r="I3" s="1020" t="s">
        <v>434</v>
      </c>
      <c r="J3" s="1020"/>
      <c r="K3" s="1020"/>
      <c r="L3" s="1020" t="s">
        <v>435</v>
      </c>
      <c r="M3" s="1020"/>
      <c r="N3" s="1020"/>
      <c r="O3" s="1020" t="s">
        <v>436</v>
      </c>
      <c r="P3" s="1020"/>
      <c r="Q3" s="1020"/>
      <c r="R3" s="1020" t="s">
        <v>437</v>
      </c>
      <c r="S3" s="1020"/>
      <c r="T3" s="1020"/>
      <c r="U3" s="1020" t="s">
        <v>438</v>
      </c>
      <c r="V3" s="1020"/>
      <c r="W3" s="1020"/>
      <c r="X3" s="1020" t="s">
        <v>439</v>
      </c>
      <c r="Y3" s="1020"/>
      <c r="Z3" s="1020"/>
      <c r="AA3" s="1020" t="s">
        <v>440</v>
      </c>
      <c r="AB3" s="1020"/>
      <c r="AC3" s="1020"/>
      <c r="AD3" s="1020" t="s">
        <v>441</v>
      </c>
      <c r="AE3" s="1020"/>
      <c r="AF3" s="1020"/>
      <c r="AG3" s="1020" t="s">
        <v>442</v>
      </c>
      <c r="AH3" s="1020"/>
      <c r="AI3" s="1020"/>
      <c r="AJ3" s="1020" t="s">
        <v>53</v>
      </c>
      <c r="AK3" s="1020"/>
      <c r="AL3" s="1020"/>
      <c r="AM3" s="1020" t="s">
        <v>443</v>
      </c>
      <c r="AN3" s="1020"/>
      <c r="AO3" s="1020"/>
    </row>
    <row r="4" spans="1:41" s="35" customFormat="1" ht="27.75" customHeight="1" x14ac:dyDescent="0.25">
      <c r="A4" s="1023"/>
      <c r="B4" s="1023"/>
      <c r="C4" s="228" t="s">
        <v>444</v>
      </c>
      <c r="D4" s="228" t="s">
        <v>445</v>
      </c>
      <c r="E4" s="228" t="s">
        <v>446</v>
      </c>
      <c r="F4" s="228" t="s">
        <v>444</v>
      </c>
      <c r="G4" s="228" t="s">
        <v>445</v>
      </c>
      <c r="H4" s="228" t="s">
        <v>446</v>
      </c>
      <c r="I4" s="228" t="s">
        <v>444</v>
      </c>
      <c r="J4" s="228" t="s">
        <v>445</v>
      </c>
      <c r="K4" s="228" t="s">
        <v>446</v>
      </c>
      <c r="L4" s="228" t="s">
        <v>444</v>
      </c>
      <c r="M4" s="228" t="s">
        <v>445</v>
      </c>
      <c r="N4" s="228" t="s">
        <v>446</v>
      </c>
      <c r="O4" s="228" t="s">
        <v>444</v>
      </c>
      <c r="P4" s="228" t="s">
        <v>445</v>
      </c>
      <c r="Q4" s="228" t="s">
        <v>446</v>
      </c>
      <c r="R4" s="228" t="s">
        <v>444</v>
      </c>
      <c r="S4" s="228" t="s">
        <v>445</v>
      </c>
      <c r="T4" s="228" t="s">
        <v>446</v>
      </c>
      <c r="U4" s="228" t="s">
        <v>444</v>
      </c>
      <c r="V4" s="228" t="s">
        <v>445</v>
      </c>
      <c r="W4" s="228" t="s">
        <v>446</v>
      </c>
      <c r="X4" s="228" t="s">
        <v>444</v>
      </c>
      <c r="Y4" s="228" t="s">
        <v>445</v>
      </c>
      <c r="Z4" s="228" t="s">
        <v>446</v>
      </c>
      <c r="AA4" s="228" t="s">
        <v>444</v>
      </c>
      <c r="AB4" s="228" t="s">
        <v>445</v>
      </c>
      <c r="AC4" s="228" t="s">
        <v>446</v>
      </c>
      <c r="AD4" s="228" t="s">
        <v>444</v>
      </c>
      <c r="AE4" s="228" t="s">
        <v>445</v>
      </c>
      <c r="AF4" s="228" t="s">
        <v>446</v>
      </c>
      <c r="AG4" s="228" t="s">
        <v>444</v>
      </c>
      <c r="AH4" s="228" t="s">
        <v>445</v>
      </c>
      <c r="AI4" s="228" t="s">
        <v>446</v>
      </c>
      <c r="AJ4" s="228" t="s">
        <v>444</v>
      </c>
      <c r="AK4" s="228" t="s">
        <v>445</v>
      </c>
      <c r="AL4" s="228" t="s">
        <v>446</v>
      </c>
      <c r="AM4" s="228" t="s">
        <v>444</v>
      </c>
      <c r="AN4" s="228" t="s">
        <v>445</v>
      </c>
      <c r="AO4" s="228" t="s">
        <v>446</v>
      </c>
    </row>
    <row r="5" spans="1:41" s="40" customFormat="1" ht="20.100000000000001" customHeight="1" x14ac:dyDescent="0.25">
      <c r="A5" s="73" t="s">
        <v>281</v>
      </c>
      <c r="B5" s="19" t="s">
        <v>447</v>
      </c>
      <c r="C5" s="828">
        <f>SUM(C6,C12,C13,C14,C15,C16,C20,C23,C26,C30)</f>
        <v>2253600</v>
      </c>
      <c r="D5" s="828"/>
      <c r="E5" s="828">
        <f>SUM(E6,E12,E13,E14,E15,E16,E20,E23,E26,E30)</f>
        <v>1817390</v>
      </c>
      <c r="F5" s="828">
        <f>SUM(F6,F12,F13,F14,F15,F16,F20,F23,F26,F30)</f>
        <v>68100</v>
      </c>
      <c r="G5" s="828"/>
      <c r="H5" s="828">
        <f>SUM(H6,H12,H13,H14,H15,H16,H20,H23,H26,H30)</f>
        <v>55200</v>
      </c>
      <c r="I5" s="828">
        <f>SUM(I6,I12,I13,I14,I15,I16,I20,I23,I26,I30)</f>
        <v>173430</v>
      </c>
      <c r="J5" s="828"/>
      <c r="K5" s="828">
        <f>SUM(K6,K12,K13,K14,K15,K16,K20,K23,K26,K30)</f>
        <v>148580</v>
      </c>
      <c r="L5" s="828">
        <f>SUM(L6,L12,L13,L14,L15,L16,L20,L23,L26,L30)</f>
        <v>54170</v>
      </c>
      <c r="M5" s="828"/>
      <c r="N5" s="828">
        <f>SUM(N6,N12,N13,N14,N15,N16,N20,N23,N26,N30)</f>
        <v>41060</v>
      </c>
      <c r="O5" s="828">
        <f>SUM(O6,O12,O13,O14,O15,O16,O20,O23,O26,O30)</f>
        <v>91180</v>
      </c>
      <c r="P5" s="828"/>
      <c r="Q5" s="828">
        <f>SUM(Q6,Q12,Q13,Q14,Q15,Q16,Q20,Q23,Q26,Q30)</f>
        <v>69800</v>
      </c>
      <c r="R5" s="828">
        <f>SUM(R6,R12,R13,R14,R15,R16,R20,R23,R26,R30)</f>
        <v>116680</v>
      </c>
      <c r="S5" s="828"/>
      <c r="T5" s="828">
        <f>SUM(T6,T12,T13,T14,T15,T16,T20,T23,T26,T30)</f>
        <v>99130</v>
      </c>
      <c r="U5" s="828">
        <f>SUM(U6,U12,U13,U14,U15,U16,U20,U23,U26,U30)</f>
        <v>761220</v>
      </c>
      <c r="V5" s="828"/>
      <c r="W5" s="828">
        <f>SUM(W6,W12,W13,W14,W15,W16,W20,W23,W26,W30)</f>
        <v>577950</v>
      </c>
      <c r="X5" s="828">
        <f>SUM(X6,X12,X13,X14,X15,X16,X20,X23,X26,X30)</f>
        <v>154800</v>
      </c>
      <c r="Y5" s="828"/>
      <c r="Z5" s="828">
        <f>SUM(Z6,Z12,Z13,Z14,Z15,Z16,Z20,Z23,Z26,Z30)</f>
        <v>129950</v>
      </c>
      <c r="AA5" s="828">
        <f>SUM(AA6,AA12,AA13,AA14,AA15,AA16,AA20,AA23,AA26,AA30)</f>
        <v>151050</v>
      </c>
      <c r="AB5" s="828"/>
      <c r="AC5" s="828">
        <f>SUM(AC6,AC12,AC13,AC14,AC15,AC16,AC20,AC23,AC26,AC30)</f>
        <v>124760</v>
      </c>
      <c r="AD5" s="828">
        <f>SUM(AD6,AD12,AD13,AD14,AD15,AD16,AD20,AD23,AD26,AD30)</f>
        <v>164030</v>
      </c>
      <c r="AE5" s="828"/>
      <c r="AF5" s="828">
        <f>SUM(AF6,AF12,AF13,AF14,AF15,AF16,AF20,AF23,AF26,AF30)</f>
        <v>133600</v>
      </c>
      <c r="AG5" s="828">
        <f>SUM(AG6,AG12,AG13,AG14,AG15,AG16,AG20,AG23,AG26,AG30)</f>
        <v>109970</v>
      </c>
      <c r="AH5" s="828"/>
      <c r="AI5" s="828">
        <f>SUM(AI6,AI12,AI13,AI14,AI15,AI16,AI20,AI23,AI26,AI30)</f>
        <v>88150</v>
      </c>
      <c r="AJ5" s="828">
        <f>SUM(AJ6,AJ12,AJ13,AJ14,AJ15,AJ16,AJ20,AJ23,AJ26,AJ30)</f>
        <v>307760</v>
      </c>
      <c r="AK5" s="828"/>
      <c r="AL5" s="828">
        <f>SUM(AL6,AL12,AL13,AL14,AL15,AL16,AL20,AL23,AL26,AL30)</f>
        <v>264860</v>
      </c>
      <c r="AM5" s="828">
        <f>SUM(AM6,AM12,AM13,AM14,AM15,AM16,AM20,AM23,AM26,AM30)</f>
        <v>101210</v>
      </c>
      <c r="AN5" s="828"/>
      <c r="AO5" s="828">
        <f>SUM(AO6,AO12,AO13,AO14,AO15,AO16,AO20,AO23,AO26,AO30)</f>
        <v>84350</v>
      </c>
    </row>
    <row r="6" spans="1:41" s="74" customFormat="1" ht="20.100000000000001" customHeight="1" x14ac:dyDescent="0.25">
      <c r="A6" s="64">
        <v>1</v>
      </c>
      <c r="B6" s="62" t="s">
        <v>448</v>
      </c>
      <c r="C6" s="829">
        <f>SUM(F6,L6,O6,R6,U6,X6,AA6,AD6,AG6,AJ6,AM6,I6)</f>
        <v>960000</v>
      </c>
      <c r="D6" s="829"/>
      <c r="E6" s="829">
        <f>SUM(H6,N6,Q6,T6,W6,Z6,AC6,AF6,AI6,AL6,AO6,K6)</f>
        <v>915610</v>
      </c>
      <c r="F6" s="829">
        <f>SUM(F7:F11)</f>
        <v>12000</v>
      </c>
      <c r="G6" s="829"/>
      <c r="H6" s="829">
        <f>SUM(H7:H11)</f>
        <v>11900</v>
      </c>
      <c r="I6" s="829">
        <f>SUM(I7:I11)</f>
        <v>30000</v>
      </c>
      <c r="J6" s="829"/>
      <c r="K6" s="829">
        <f>SUM(K7:K11)</f>
        <v>29650</v>
      </c>
      <c r="L6" s="829">
        <f>SUM(L7:L11)</f>
        <v>12500</v>
      </c>
      <c r="M6" s="829"/>
      <c r="N6" s="829">
        <f>SUM(N7:N11)</f>
        <v>12390</v>
      </c>
      <c r="O6" s="829">
        <f>SUM(O7:O11)</f>
        <v>22680</v>
      </c>
      <c r="P6" s="829"/>
      <c r="Q6" s="829">
        <f>SUM(Q7:Q11)</f>
        <v>22300</v>
      </c>
      <c r="R6" s="829">
        <f>SUM(R7:R11)</f>
        <v>37000</v>
      </c>
      <c r="S6" s="829"/>
      <c r="T6" s="829">
        <f>SUM(T7:T11)</f>
        <v>36450</v>
      </c>
      <c r="U6" s="829">
        <f>SUM(U7:U11)</f>
        <v>464000</v>
      </c>
      <c r="V6" s="829"/>
      <c r="W6" s="829">
        <f>SUM(W7:W11)</f>
        <v>425850</v>
      </c>
      <c r="X6" s="829">
        <f>SUM(X7:X11)</f>
        <v>45500</v>
      </c>
      <c r="Y6" s="829"/>
      <c r="Z6" s="829">
        <f>SUM(Z7:Z11)</f>
        <v>45150</v>
      </c>
      <c r="AA6" s="829">
        <f>SUM(AA7:AA11)</f>
        <v>44500</v>
      </c>
      <c r="AB6" s="829"/>
      <c r="AC6" s="829">
        <f>SUM(AC7:AC11)</f>
        <v>44010</v>
      </c>
      <c r="AD6" s="829">
        <f>SUM(AD7:AD11)</f>
        <v>78000</v>
      </c>
      <c r="AE6" s="829"/>
      <c r="AF6" s="829">
        <f>SUM(AF7:AF11)</f>
        <v>76470</v>
      </c>
      <c r="AG6" s="829">
        <f>SUM(AG7:AG11)</f>
        <v>40820</v>
      </c>
      <c r="AH6" s="829"/>
      <c r="AI6" s="829">
        <f>SUM(AI7:AI11)</f>
        <v>40200</v>
      </c>
      <c r="AJ6" s="829">
        <f>SUM(AJ7:AJ11)</f>
        <v>139000</v>
      </c>
      <c r="AK6" s="829"/>
      <c r="AL6" s="829">
        <f>SUM(AL7:AL11)</f>
        <v>137600</v>
      </c>
      <c r="AM6" s="829">
        <f>SUM(AM7:AM11)</f>
        <v>34000</v>
      </c>
      <c r="AN6" s="829"/>
      <c r="AO6" s="829">
        <f>SUM(AO7:AO11)</f>
        <v>33640</v>
      </c>
    </row>
    <row r="7" spans="1:41" ht="20.100000000000001" customHeight="1" x14ac:dyDescent="0.25">
      <c r="A7" s="75" t="s">
        <v>449</v>
      </c>
      <c r="B7" s="63" t="s">
        <v>450</v>
      </c>
      <c r="C7" s="830">
        <f>SUM(F7,L7,O7,R7,U7,X7,AA7,AD7,AG7,AJ7,AM7,I7)</f>
        <v>562540</v>
      </c>
      <c r="D7" s="830">
        <f t="shared" ref="D7:D15" si="0">IF(E7=0,"",E7/C7*100)</f>
        <v>100</v>
      </c>
      <c r="E7" s="830">
        <f t="shared" ref="E7:E15" si="1">SUM(H7,N7,Q7,T7,W7,Z7,AC7,AF7,AI7,AL7,AO7,K7)</f>
        <v>562540</v>
      </c>
      <c r="F7" s="830">
        <f>'Thu NSH'!U11</f>
        <v>10680</v>
      </c>
      <c r="G7" s="830">
        <v>100</v>
      </c>
      <c r="H7" s="830">
        <f t="shared" ref="H7:H29" si="2">F7*G7/100</f>
        <v>10680</v>
      </c>
      <c r="I7" s="830">
        <f>'Thu NSH'!AG11</f>
        <v>25500</v>
      </c>
      <c r="J7" s="830">
        <v>100</v>
      </c>
      <c r="K7" s="830">
        <f t="shared" ref="K7:K15" si="3">I7*J7/100</f>
        <v>25500</v>
      </c>
      <c r="L7" s="830">
        <f>'Thu NSH'!AS11</f>
        <v>11030</v>
      </c>
      <c r="M7" s="830">
        <v>100</v>
      </c>
      <c r="N7" s="830">
        <f t="shared" ref="N7:N15" si="4">L7*M7/100</f>
        <v>11030</v>
      </c>
      <c r="O7" s="830">
        <f>'Thu NSH'!BE11</f>
        <v>16300</v>
      </c>
      <c r="P7" s="830">
        <v>100</v>
      </c>
      <c r="Q7" s="830">
        <f t="shared" ref="Q7:Q15" si="5">O7*P7/100</f>
        <v>16300</v>
      </c>
      <c r="R7" s="830">
        <f>'Thu NSH'!BQ11</f>
        <v>16130</v>
      </c>
      <c r="S7" s="830">
        <v>100</v>
      </c>
      <c r="T7" s="830">
        <f t="shared" ref="T7:T15" si="6">R7*S7/100</f>
        <v>16130</v>
      </c>
      <c r="U7" s="830">
        <f>'Thu NSH'!CC11</f>
        <v>229400</v>
      </c>
      <c r="V7" s="830">
        <v>100</v>
      </c>
      <c r="W7" s="830">
        <f t="shared" ref="W7:W15" si="7">U7*V7/100</f>
        <v>229400</v>
      </c>
      <c r="X7" s="830">
        <f>'Thu NSH'!CO11</f>
        <v>36690</v>
      </c>
      <c r="Y7" s="830">
        <v>100</v>
      </c>
      <c r="Z7" s="830">
        <f t="shared" ref="Z7:Z15" si="8">X7*Y7/100</f>
        <v>36690</v>
      </c>
      <c r="AA7" s="830">
        <f>'Thu NSH'!DA11</f>
        <v>37010</v>
      </c>
      <c r="AB7" s="830">
        <v>100</v>
      </c>
      <c r="AC7" s="830">
        <f t="shared" ref="AC7:AC15" si="9">AA7*AB7/100</f>
        <v>37010</v>
      </c>
      <c r="AD7" s="830">
        <f>'Thu NSH'!DM11</f>
        <v>34970</v>
      </c>
      <c r="AE7" s="830">
        <v>100</v>
      </c>
      <c r="AF7" s="830">
        <f t="shared" ref="AF7:AF15" si="10">AD7*AE7/100</f>
        <v>34970</v>
      </c>
      <c r="AG7" s="830">
        <f>'Thu NSH'!DY11</f>
        <v>21300</v>
      </c>
      <c r="AH7" s="830">
        <v>100</v>
      </c>
      <c r="AI7" s="830">
        <f t="shared" ref="AI7:AI15" si="11">AG7*AH7/100</f>
        <v>21300</v>
      </c>
      <c r="AJ7" s="830">
        <f>'Thu NSH'!EK11</f>
        <v>96200</v>
      </c>
      <c r="AK7" s="830">
        <v>100</v>
      </c>
      <c r="AL7" s="830">
        <f t="shared" ref="AL7:AL15" si="12">AJ7*AK7/100</f>
        <v>96200</v>
      </c>
      <c r="AM7" s="830">
        <f>'Thu NSH'!EW11</f>
        <v>27330</v>
      </c>
      <c r="AN7" s="830">
        <v>100</v>
      </c>
      <c r="AO7" s="830">
        <f t="shared" ref="AO7:AO15" si="13">AM7*AN7/100</f>
        <v>27330</v>
      </c>
    </row>
    <row r="8" spans="1:41" ht="20.100000000000001" customHeight="1" x14ac:dyDescent="0.25">
      <c r="A8" s="75" t="s">
        <v>449</v>
      </c>
      <c r="B8" s="63" t="s">
        <v>451</v>
      </c>
      <c r="C8" s="830">
        <f t="shared" ref="C8:C15" si="14">SUM(F8,L8,O8,R8,U8,X8,AA8,AD8,AG8,AJ8,AM8,I8)</f>
        <v>347150</v>
      </c>
      <c r="D8" s="830">
        <f t="shared" si="0"/>
        <v>100</v>
      </c>
      <c r="E8" s="830">
        <f t="shared" si="1"/>
        <v>347150</v>
      </c>
      <c r="F8" s="830">
        <f>'Thu NSH'!U12</f>
        <v>1000</v>
      </c>
      <c r="G8" s="830">
        <v>100</v>
      </c>
      <c r="H8" s="830">
        <f t="shared" si="2"/>
        <v>1000</v>
      </c>
      <c r="I8" s="830">
        <f>'Thu NSH'!AG12</f>
        <v>3600</v>
      </c>
      <c r="J8" s="830">
        <v>100</v>
      </c>
      <c r="K8" s="830">
        <f t="shared" si="3"/>
        <v>3600</v>
      </c>
      <c r="L8" s="830">
        <f>'Thu NSH'!AS12</f>
        <v>1150</v>
      </c>
      <c r="M8" s="830">
        <v>100</v>
      </c>
      <c r="N8" s="830">
        <f t="shared" si="4"/>
        <v>1150</v>
      </c>
      <c r="O8" s="830">
        <f>'Thu NSH'!BE12</f>
        <v>6000</v>
      </c>
      <c r="P8" s="830">
        <v>100</v>
      </c>
      <c r="Q8" s="830">
        <f t="shared" si="5"/>
        <v>6000</v>
      </c>
      <c r="R8" s="830">
        <f>'Thu NSH'!BQ12</f>
        <v>20080</v>
      </c>
      <c r="S8" s="830">
        <v>100</v>
      </c>
      <c r="T8" s="830">
        <f t="shared" si="6"/>
        <v>20080</v>
      </c>
      <c r="U8" s="830">
        <f>'Thu NSH'!CC12</f>
        <v>195200</v>
      </c>
      <c r="V8" s="830">
        <v>100</v>
      </c>
      <c r="W8" s="830">
        <f t="shared" si="7"/>
        <v>195200</v>
      </c>
      <c r="X8" s="830">
        <f>'Thu NSH'!CO12</f>
        <v>8360</v>
      </c>
      <c r="Y8" s="830">
        <v>100</v>
      </c>
      <c r="Z8" s="830">
        <f t="shared" si="8"/>
        <v>8360</v>
      </c>
      <c r="AA8" s="830">
        <f>'Thu NSH'!DA12</f>
        <v>6800</v>
      </c>
      <c r="AB8" s="830">
        <v>100</v>
      </c>
      <c r="AC8" s="830">
        <f t="shared" si="9"/>
        <v>6800</v>
      </c>
      <c r="AD8" s="830">
        <f>'Thu NSH'!DM12</f>
        <v>40000</v>
      </c>
      <c r="AE8" s="830">
        <v>100</v>
      </c>
      <c r="AF8" s="830">
        <f t="shared" si="10"/>
        <v>40000</v>
      </c>
      <c r="AG8" s="830">
        <f>'Thu NSH'!DY12</f>
        <v>18100</v>
      </c>
      <c r="AH8" s="830">
        <v>100</v>
      </c>
      <c r="AI8" s="830">
        <f t="shared" si="11"/>
        <v>18100</v>
      </c>
      <c r="AJ8" s="830">
        <f>'Thu NSH'!EK12</f>
        <v>41000</v>
      </c>
      <c r="AK8" s="830">
        <v>100</v>
      </c>
      <c r="AL8" s="830">
        <f t="shared" si="12"/>
        <v>41000</v>
      </c>
      <c r="AM8" s="830">
        <f>'Thu NSH'!EW12</f>
        <v>5860</v>
      </c>
      <c r="AN8" s="830">
        <v>100</v>
      </c>
      <c r="AO8" s="830">
        <f t="shared" si="13"/>
        <v>5860</v>
      </c>
    </row>
    <row r="9" spans="1:41" ht="20.100000000000001" customHeight="1" x14ac:dyDescent="0.25">
      <c r="A9" s="75" t="s">
        <v>449</v>
      </c>
      <c r="B9" s="63" t="s">
        <v>452</v>
      </c>
      <c r="C9" s="830">
        <f t="shared" si="14"/>
        <v>31160</v>
      </c>
      <c r="D9" s="830" t="str">
        <f t="shared" si="0"/>
        <v/>
      </c>
      <c r="E9" s="830">
        <f t="shared" si="1"/>
        <v>0</v>
      </c>
      <c r="F9" s="830">
        <f>'Thu NSH'!U13</f>
        <v>0</v>
      </c>
      <c r="G9" s="830">
        <v>0</v>
      </c>
      <c r="H9" s="830">
        <f t="shared" si="2"/>
        <v>0</v>
      </c>
      <c r="I9" s="830">
        <f>'Thu NSH'!AG13</f>
        <v>350</v>
      </c>
      <c r="J9" s="830">
        <v>0</v>
      </c>
      <c r="K9" s="830">
        <f t="shared" si="3"/>
        <v>0</v>
      </c>
      <c r="L9" s="830">
        <f>'Thu NSH'!AS13</f>
        <v>100</v>
      </c>
      <c r="M9" s="830">
        <v>0</v>
      </c>
      <c r="N9" s="830">
        <f t="shared" si="4"/>
        <v>0</v>
      </c>
      <c r="O9" s="830">
        <f>'Thu NSH'!BE13</f>
        <v>250</v>
      </c>
      <c r="P9" s="830">
        <v>0</v>
      </c>
      <c r="Q9" s="830">
        <f t="shared" si="5"/>
        <v>0</v>
      </c>
      <c r="R9" s="830">
        <f>'Thu NSH'!BQ13</f>
        <v>210</v>
      </c>
      <c r="S9" s="830">
        <v>0</v>
      </c>
      <c r="T9" s="830">
        <f t="shared" si="6"/>
        <v>0</v>
      </c>
      <c r="U9" s="830">
        <f>'Thu NSH'!CC13</f>
        <v>27900</v>
      </c>
      <c r="V9" s="830">
        <v>0</v>
      </c>
      <c r="W9" s="830">
        <f t="shared" si="7"/>
        <v>0</v>
      </c>
      <c r="X9" s="830">
        <f>'Thu NSH'!CO13</f>
        <v>100</v>
      </c>
      <c r="Y9" s="830">
        <v>0</v>
      </c>
      <c r="Z9" s="830">
        <f t="shared" si="8"/>
        <v>0</v>
      </c>
      <c r="AA9" s="830">
        <f>'Thu NSH'!DA13</f>
        <v>350</v>
      </c>
      <c r="AB9" s="830">
        <v>0</v>
      </c>
      <c r="AC9" s="830">
        <f t="shared" si="9"/>
        <v>0</v>
      </c>
      <c r="AD9" s="830">
        <f>'Thu NSH'!DM13</f>
        <v>230</v>
      </c>
      <c r="AE9" s="830">
        <v>0</v>
      </c>
      <c r="AF9" s="830">
        <f t="shared" si="10"/>
        <v>0</v>
      </c>
      <c r="AG9" s="830">
        <f>'Thu NSH'!DY13</f>
        <v>350</v>
      </c>
      <c r="AH9" s="830">
        <v>0</v>
      </c>
      <c r="AI9" s="830">
        <f t="shared" si="11"/>
        <v>0</v>
      </c>
      <c r="AJ9" s="830">
        <f>'Thu NSH'!EK13</f>
        <v>1100</v>
      </c>
      <c r="AK9" s="830">
        <v>0</v>
      </c>
      <c r="AL9" s="830">
        <f t="shared" si="12"/>
        <v>0</v>
      </c>
      <c r="AM9" s="830">
        <f>'Thu NSH'!EW13</f>
        <v>220</v>
      </c>
      <c r="AN9" s="830">
        <v>0</v>
      </c>
      <c r="AO9" s="830">
        <f t="shared" si="13"/>
        <v>0</v>
      </c>
    </row>
    <row r="10" spans="1:41" ht="20.100000000000001" customHeight="1" x14ac:dyDescent="0.25">
      <c r="A10" s="75" t="s">
        <v>449</v>
      </c>
      <c r="B10" s="63" t="s">
        <v>286</v>
      </c>
      <c r="C10" s="830">
        <f t="shared" si="14"/>
        <v>13230</v>
      </c>
      <c r="D10" s="830" t="str">
        <f t="shared" si="0"/>
        <v/>
      </c>
      <c r="E10" s="830">
        <f t="shared" si="1"/>
        <v>0</v>
      </c>
      <c r="F10" s="830">
        <f>'Thu NSH'!U14</f>
        <v>100</v>
      </c>
      <c r="G10" s="830">
        <v>0</v>
      </c>
      <c r="H10" s="830">
        <f t="shared" si="2"/>
        <v>0</v>
      </c>
      <c r="I10" s="830">
        <f>'Thu NSH'!AG14</f>
        <v>0</v>
      </c>
      <c r="J10" s="830">
        <v>0</v>
      </c>
      <c r="K10" s="830">
        <f t="shared" si="3"/>
        <v>0</v>
      </c>
      <c r="L10" s="830">
        <f>'Thu NSH'!AS14</f>
        <v>10</v>
      </c>
      <c r="M10" s="830">
        <v>0</v>
      </c>
      <c r="N10" s="830">
        <f t="shared" si="4"/>
        <v>0</v>
      </c>
      <c r="O10" s="830">
        <f>'Thu NSH'!BE14</f>
        <v>130</v>
      </c>
      <c r="P10" s="830">
        <v>0</v>
      </c>
      <c r="Q10" s="830">
        <f t="shared" si="5"/>
        <v>0</v>
      </c>
      <c r="R10" s="830">
        <f>'Thu NSH'!BQ14</f>
        <v>340</v>
      </c>
      <c r="S10" s="830">
        <v>0</v>
      </c>
      <c r="T10" s="830">
        <f t="shared" si="6"/>
        <v>0</v>
      </c>
      <c r="U10" s="830">
        <f>'Thu NSH'!CC14</f>
        <v>10250</v>
      </c>
      <c r="V10" s="830">
        <v>0</v>
      </c>
      <c r="W10" s="830">
        <f t="shared" si="7"/>
        <v>0</v>
      </c>
      <c r="X10" s="830">
        <f>'Thu NSH'!CO14</f>
        <v>250</v>
      </c>
      <c r="Y10" s="830">
        <v>0</v>
      </c>
      <c r="Z10" s="830">
        <f t="shared" si="8"/>
        <v>0</v>
      </c>
      <c r="AA10" s="830">
        <f>'Thu NSH'!DA14</f>
        <v>140</v>
      </c>
      <c r="AB10" s="830">
        <v>0</v>
      </c>
      <c r="AC10" s="830">
        <f t="shared" si="9"/>
        <v>0</v>
      </c>
      <c r="AD10" s="830">
        <f>'Thu NSH'!DM14</f>
        <v>1300</v>
      </c>
      <c r="AE10" s="830">
        <v>0</v>
      </c>
      <c r="AF10" s="830">
        <f t="shared" si="10"/>
        <v>0</v>
      </c>
      <c r="AG10" s="830">
        <f>'Thu NSH'!DY14</f>
        <v>270</v>
      </c>
      <c r="AH10" s="830">
        <v>0</v>
      </c>
      <c r="AI10" s="830">
        <f t="shared" si="11"/>
        <v>0</v>
      </c>
      <c r="AJ10" s="830">
        <f>'Thu NSH'!EK14</f>
        <v>300</v>
      </c>
      <c r="AK10" s="830">
        <v>0</v>
      </c>
      <c r="AL10" s="830">
        <f t="shared" si="12"/>
        <v>0</v>
      </c>
      <c r="AM10" s="830">
        <f>'Thu NSH'!EW14</f>
        <v>140</v>
      </c>
      <c r="AN10" s="830">
        <v>0</v>
      </c>
      <c r="AO10" s="830">
        <f t="shared" si="13"/>
        <v>0</v>
      </c>
    </row>
    <row r="11" spans="1:41" ht="20.100000000000001" customHeight="1" x14ac:dyDescent="0.25">
      <c r="A11" s="75" t="s">
        <v>449</v>
      </c>
      <c r="B11" s="63" t="s">
        <v>453</v>
      </c>
      <c r="C11" s="830">
        <f t="shared" si="14"/>
        <v>5920</v>
      </c>
      <c r="D11" s="830">
        <f t="shared" si="0"/>
        <v>100</v>
      </c>
      <c r="E11" s="830">
        <f t="shared" si="1"/>
        <v>5920</v>
      </c>
      <c r="F11" s="830">
        <f>'Thu NSH'!U15</f>
        <v>220</v>
      </c>
      <c r="G11" s="830">
        <v>100</v>
      </c>
      <c r="H11" s="830">
        <f t="shared" si="2"/>
        <v>220</v>
      </c>
      <c r="I11" s="830">
        <f>'Thu NSH'!AG15</f>
        <v>550</v>
      </c>
      <c r="J11" s="830">
        <v>100</v>
      </c>
      <c r="K11" s="830">
        <f t="shared" si="3"/>
        <v>550</v>
      </c>
      <c r="L11" s="830">
        <f>'Thu NSH'!AS15</f>
        <v>210</v>
      </c>
      <c r="M11" s="830">
        <v>100</v>
      </c>
      <c r="N11" s="830">
        <f t="shared" si="4"/>
        <v>210</v>
      </c>
      <c r="O11" s="830">
        <f>'Thu NSH'!BE15</f>
        <v>0</v>
      </c>
      <c r="P11" s="830">
        <v>100</v>
      </c>
      <c r="Q11" s="830">
        <f t="shared" si="5"/>
        <v>0</v>
      </c>
      <c r="R11" s="830">
        <f>'Thu NSH'!BQ15</f>
        <v>240</v>
      </c>
      <c r="S11" s="830">
        <v>100</v>
      </c>
      <c r="T11" s="830">
        <f t="shared" si="6"/>
        <v>240</v>
      </c>
      <c r="U11" s="830">
        <f>'Thu NSH'!CC15</f>
        <v>1250</v>
      </c>
      <c r="V11" s="830">
        <v>100</v>
      </c>
      <c r="W11" s="830">
        <f t="shared" si="7"/>
        <v>1250</v>
      </c>
      <c r="X11" s="830">
        <f>'Thu NSH'!CO15</f>
        <v>100</v>
      </c>
      <c r="Y11" s="830">
        <v>100</v>
      </c>
      <c r="Z11" s="830">
        <f t="shared" si="8"/>
        <v>100</v>
      </c>
      <c r="AA11" s="830">
        <f>'Thu NSH'!DA15</f>
        <v>200</v>
      </c>
      <c r="AB11" s="830">
        <v>100</v>
      </c>
      <c r="AC11" s="830">
        <f t="shared" si="9"/>
        <v>200</v>
      </c>
      <c r="AD11" s="830">
        <f>'Thu NSH'!DM15</f>
        <v>1500</v>
      </c>
      <c r="AE11" s="830">
        <v>100</v>
      </c>
      <c r="AF11" s="830">
        <f t="shared" si="10"/>
        <v>1500</v>
      </c>
      <c r="AG11" s="830">
        <f>'Thu NSH'!DY15</f>
        <v>800</v>
      </c>
      <c r="AH11" s="830">
        <v>100</v>
      </c>
      <c r="AI11" s="830">
        <f t="shared" si="11"/>
        <v>800</v>
      </c>
      <c r="AJ11" s="830">
        <f>'Thu NSH'!EK15</f>
        <v>400</v>
      </c>
      <c r="AK11" s="830">
        <v>100</v>
      </c>
      <c r="AL11" s="830">
        <f t="shared" si="12"/>
        <v>400</v>
      </c>
      <c r="AM11" s="830">
        <f>'Thu NSH'!EW15</f>
        <v>450</v>
      </c>
      <c r="AN11" s="830">
        <v>100</v>
      </c>
      <c r="AO11" s="830">
        <f t="shared" si="13"/>
        <v>450</v>
      </c>
    </row>
    <row r="12" spans="1:41" s="76" customFormat="1" ht="20.100000000000001" customHeight="1" x14ac:dyDescent="0.25">
      <c r="A12" s="64">
        <v>2</v>
      </c>
      <c r="B12" s="62" t="s">
        <v>405</v>
      </c>
      <c r="C12" s="829">
        <f t="shared" si="14"/>
        <v>215200</v>
      </c>
      <c r="D12" s="830" t="str">
        <f t="shared" si="0"/>
        <v/>
      </c>
      <c r="E12" s="829">
        <f t="shared" si="1"/>
        <v>0</v>
      </c>
      <c r="F12" s="829">
        <f>'Thu NSH'!U16</f>
        <v>6800</v>
      </c>
      <c r="G12" s="829">
        <v>0</v>
      </c>
      <c r="H12" s="829">
        <f t="shared" si="2"/>
        <v>0</v>
      </c>
      <c r="I12" s="829">
        <f>'Thu NSH'!AG16</f>
        <v>15000</v>
      </c>
      <c r="J12" s="829">
        <v>0</v>
      </c>
      <c r="K12" s="829">
        <f t="shared" si="3"/>
        <v>0</v>
      </c>
      <c r="L12" s="829">
        <f>'Thu NSH'!AS16</f>
        <v>11000</v>
      </c>
      <c r="M12" s="829">
        <v>0</v>
      </c>
      <c r="N12" s="829">
        <f t="shared" si="4"/>
        <v>0</v>
      </c>
      <c r="O12" s="829">
        <f>'Thu NSH'!BE16</f>
        <v>16000</v>
      </c>
      <c r="P12" s="829">
        <v>0</v>
      </c>
      <c r="Q12" s="829">
        <f t="shared" si="5"/>
        <v>0</v>
      </c>
      <c r="R12" s="829">
        <f>'Thu NSH'!BQ16</f>
        <v>11500</v>
      </c>
      <c r="S12" s="829">
        <v>0</v>
      </c>
      <c r="T12" s="829">
        <f t="shared" si="6"/>
        <v>0</v>
      </c>
      <c r="U12" s="829">
        <f>'Thu NSH'!CC16</f>
        <v>44000</v>
      </c>
      <c r="V12" s="829">
        <v>0</v>
      </c>
      <c r="W12" s="829">
        <f t="shared" si="7"/>
        <v>0</v>
      </c>
      <c r="X12" s="829">
        <f>'Thu NSH'!CO16</f>
        <v>17500</v>
      </c>
      <c r="Y12" s="829">
        <v>0</v>
      </c>
      <c r="Z12" s="829">
        <f t="shared" si="8"/>
        <v>0</v>
      </c>
      <c r="AA12" s="829">
        <f>'Thu NSH'!DA16</f>
        <v>17800</v>
      </c>
      <c r="AB12" s="829">
        <v>0</v>
      </c>
      <c r="AC12" s="829">
        <f t="shared" si="9"/>
        <v>0</v>
      </c>
      <c r="AD12" s="829">
        <f>'Thu NSH'!DM16</f>
        <v>14900</v>
      </c>
      <c r="AE12" s="829">
        <v>0</v>
      </c>
      <c r="AF12" s="829">
        <f t="shared" si="10"/>
        <v>0</v>
      </c>
      <c r="AG12" s="829">
        <f>'Thu NSH'!DY16</f>
        <v>15200</v>
      </c>
      <c r="AH12" s="829">
        <v>0</v>
      </c>
      <c r="AI12" s="829">
        <f t="shared" si="11"/>
        <v>0</v>
      </c>
      <c r="AJ12" s="829">
        <f>'Thu NSH'!EK16</f>
        <v>32000</v>
      </c>
      <c r="AK12" s="829">
        <v>0</v>
      </c>
      <c r="AL12" s="829">
        <f t="shared" si="12"/>
        <v>0</v>
      </c>
      <c r="AM12" s="829">
        <f>'Thu NSH'!EW16</f>
        <v>13500</v>
      </c>
      <c r="AN12" s="829">
        <v>0</v>
      </c>
      <c r="AO12" s="829">
        <f t="shared" si="13"/>
        <v>0</v>
      </c>
    </row>
    <row r="13" spans="1:41" s="74" customFormat="1" ht="20.100000000000001" customHeight="1" x14ac:dyDescent="0.25">
      <c r="A13" s="64">
        <v>3</v>
      </c>
      <c r="B13" s="62" t="s">
        <v>289</v>
      </c>
      <c r="C13" s="829">
        <f t="shared" si="14"/>
        <v>240000</v>
      </c>
      <c r="D13" s="830">
        <f t="shared" si="0"/>
        <v>100</v>
      </c>
      <c r="E13" s="829">
        <f t="shared" si="1"/>
        <v>240000</v>
      </c>
      <c r="F13" s="829">
        <f>'Thu NSH'!U17</f>
        <v>10500</v>
      </c>
      <c r="G13" s="829">
        <v>100</v>
      </c>
      <c r="H13" s="829">
        <f t="shared" si="2"/>
        <v>10500</v>
      </c>
      <c r="I13" s="829">
        <f>'Thu NSH'!AG17</f>
        <v>16000</v>
      </c>
      <c r="J13" s="829">
        <v>100</v>
      </c>
      <c r="K13" s="829">
        <f t="shared" si="3"/>
        <v>16000</v>
      </c>
      <c r="L13" s="829">
        <f>'Thu NSH'!AS17</f>
        <v>10000</v>
      </c>
      <c r="M13" s="829">
        <v>100</v>
      </c>
      <c r="N13" s="829">
        <f t="shared" si="4"/>
        <v>10000</v>
      </c>
      <c r="O13" s="829">
        <f>'Thu NSH'!BE17</f>
        <v>13000</v>
      </c>
      <c r="P13" s="829">
        <v>100</v>
      </c>
      <c r="Q13" s="829">
        <f t="shared" si="5"/>
        <v>13000</v>
      </c>
      <c r="R13" s="829">
        <f>'Thu NSH'!BQ17</f>
        <v>15500</v>
      </c>
      <c r="S13" s="829">
        <v>100</v>
      </c>
      <c r="T13" s="829">
        <f t="shared" si="6"/>
        <v>15500</v>
      </c>
      <c r="U13" s="829">
        <f>'Thu NSH'!CC17</f>
        <v>46500</v>
      </c>
      <c r="V13" s="829">
        <v>100</v>
      </c>
      <c r="W13" s="829">
        <f t="shared" si="7"/>
        <v>46500</v>
      </c>
      <c r="X13" s="829">
        <f>'Thu NSH'!CO17</f>
        <v>23000</v>
      </c>
      <c r="Y13" s="829">
        <v>100</v>
      </c>
      <c r="Z13" s="829">
        <f t="shared" si="8"/>
        <v>23000</v>
      </c>
      <c r="AA13" s="829">
        <f>'Thu NSH'!DA17</f>
        <v>18000</v>
      </c>
      <c r="AB13" s="829">
        <v>100</v>
      </c>
      <c r="AC13" s="829">
        <f t="shared" si="9"/>
        <v>18000</v>
      </c>
      <c r="AD13" s="829">
        <f>'Thu NSH'!DM17</f>
        <v>19000</v>
      </c>
      <c r="AE13" s="829">
        <v>100</v>
      </c>
      <c r="AF13" s="829">
        <f t="shared" si="10"/>
        <v>19000</v>
      </c>
      <c r="AG13" s="829">
        <f>'Thu NSH'!DY17</f>
        <v>18500</v>
      </c>
      <c r="AH13" s="829">
        <v>100</v>
      </c>
      <c r="AI13" s="829">
        <f t="shared" si="11"/>
        <v>18500</v>
      </c>
      <c r="AJ13" s="829">
        <f>'Thu NSH'!EK17</f>
        <v>36000</v>
      </c>
      <c r="AK13" s="829">
        <v>100</v>
      </c>
      <c r="AL13" s="829">
        <f t="shared" si="12"/>
        <v>36000</v>
      </c>
      <c r="AM13" s="829">
        <f>'Thu NSH'!EW17</f>
        <v>14000</v>
      </c>
      <c r="AN13" s="829">
        <v>100</v>
      </c>
      <c r="AO13" s="829">
        <f t="shared" si="13"/>
        <v>14000</v>
      </c>
    </row>
    <row r="14" spans="1:41" s="74" customFormat="1" ht="20.100000000000001" hidden="1" customHeight="1" x14ac:dyDescent="0.25">
      <c r="A14" s="64">
        <v>4</v>
      </c>
      <c r="B14" s="62" t="s">
        <v>454</v>
      </c>
      <c r="C14" s="829">
        <f t="shared" si="14"/>
        <v>0</v>
      </c>
      <c r="D14" s="830" t="str">
        <f t="shared" si="0"/>
        <v/>
      </c>
      <c r="E14" s="829">
        <f t="shared" si="1"/>
        <v>0</v>
      </c>
      <c r="F14" s="829">
        <f>'Thu NSH'!U18</f>
        <v>0</v>
      </c>
      <c r="G14" s="829">
        <v>100</v>
      </c>
      <c r="H14" s="829">
        <f t="shared" si="2"/>
        <v>0</v>
      </c>
      <c r="I14" s="829">
        <f>'Thu NSH'!AG18</f>
        <v>0</v>
      </c>
      <c r="J14" s="829">
        <v>100</v>
      </c>
      <c r="K14" s="829">
        <f t="shared" si="3"/>
        <v>0</v>
      </c>
      <c r="L14" s="829">
        <f>'Thu NSH'!AS18</f>
        <v>0</v>
      </c>
      <c r="M14" s="829">
        <v>100</v>
      </c>
      <c r="N14" s="829">
        <f t="shared" si="4"/>
        <v>0</v>
      </c>
      <c r="O14" s="829">
        <f>'Thu NSH'!BE18</f>
        <v>0</v>
      </c>
      <c r="P14" s="829">
        <v>100</v>
      </c>
      <c r="Q14" s="829">
        <f t="shared" si="5"/>
        <v>0</v>
      </c>
      <c r="R14" s="829">
        <f>'Thu NSH'!BQ18</f>
        <v>0</v>
      </c>
      <c r="S14" s="829">
        <v>100</v>
      </c>
      <c r="T14" s="829">
        <f t="shared" si="6"/>
        <v>0</v>
      </c>
      <c r="U14" s="829">
        <f>'Thu NSH'!CC18</f>
        <v>0</v>
      </c>
      <c r="V14" s="829">
        <v>100</v>
      </c>
      <c r="W14" s="829">
        <f t="shared" si="7"/>
        <v>0</v>
      </c>
      <c r="X14" s="829">
        <f>'Thu NSH'!CO18</f>
        <v>0</v>
      </c>
      <c r="Y14" s="829">
        <v>100</v>
      </c>
      <c r="Z14" s="829">
        <f t="shared" si="8"/>
        <v>0</v>
      </c>
      <c r="AA14" s="829">
        <f>'Thu NSH'!DA18</f>
        <v>0</v>
      </c>
      <c r="AB14" s="829">
        <v>100</v>
      </c>
      <c r="AC14" s="829">
        <f t="shared" si="9"/>
        <v>0</v>
      </c>
      <c r="AD14" s="829">
        <f>'Thu NSH'!DM18</f>
        <v>0</v>
      </c>
      <c r="AE14" s="829">
        <v>100</v>
      </c>
      <c r="AF14" s="829">
        <f t="shared" si="10"/>
        <v>0</v>
      </c>
      <c r="AG14" s="829">
        <f>'Thu NSH'!DY18</f>
        <v>0</v>
      </c>
      <c r="AH14" s="829">
        <v>100</v>
      </c>
      <c r="AI14" s="829">
        <f t="shared" si="11"/>
        <v>0</v>
      </c>
      <c r="AJ14" s="829">
        <f>'Thu NSH'!EK18</f>
        <v>0</v>
      </c>
      <c r="AK14" s="829">
        <v>100</v>
      </c>
      <c r="AL14" s="829">
        <f t="shared" si="12"/>
        <v>0</v>
      </c>
      <c r="AM14" s="829">
        <f>'Thu NSH'!EW18</f>
        <v>0</v>
      </c>
      <c r="AN14" s="829">
        <v>100</v>
      </c>
      <c r="AO14" s="829">
        <f t="shared" si="13"/>
        <v>0</v>
      </c>
    </row>
    <row r="15" spans="1:41" s="74" customFormat="1" ht="20.100000000000001" customHeight="1" x14ac:dyDescent="0.25">
      <c r="A15" s="64">
        <v>4</v>
      </c>
      <c r="B15" s="62" t="s">
        <v>129</v>
      </c>
      <c r="C15" s="829">
        <f t="shared" si="14"/>
        <v>6000</v>
      </c>
      <c r="D15" s="830">
        <f t="shared" si="0"/>
        <v>100</v>
      </c>
      <c r="E15" s="829">
        <f t="shared" si="1"/>
        <v>6000</v>
      </c>
      <c r="F15" s="829">
        <f>'Thu NSH'!U19</f>
        <v>0</v>
      </c>
      <c r="G15" s="829">
        <v>100</v>
      </c>
      <c r="H15" s="829">
        <f t="shared" si="2"/>
        <v>0</v>
      </c>
      <c r="I15" s="829">
        <f>'Thu NSH'!AG19</f>
        <v>150</v>
      </c>
      <c r="J15" s="829">
        <v>100</v>
      </c>
      <c r="K15" s="829">
        <f t="shared" si="3"/>
        <v>150</v>
      </c>
      <c r="L15" s="829">
        <f>'Thu NSH'!AS19</f>
        <v>50</v>
      </c>
      <c r="M15" s="829">
        <v>100</v>
      </c>
      <c r="N15" s="829">
        <f t="shared" si="4"/>
        <v>50</v>
      </c>
      <c r="O15" s="829">
        <f>'Thu NSH'!BE19</f>
        <v>100</v>
      </c>
      <c r="P15" s="829">
        <v>100</v>
      </c>
      <c r="Q15" s="829">
        <f t="shared" si="5"/>
        <v>100</v>
      </c>
      <c r="R15" s="829">
        <f>'Thu NSH'!BQ19</f>
        <v>300</v>
      </c>
      <c r="S15" s="829">
        <v>100</v>
      </c>
      <c r="T15" s="829">
        <f t="shared" si="6"/>
        <v>300</v>
      </c>
      <c r="U15" s="829">
        <f>'Thu NSH'!CC19</f>
        <v>1500</v>
      </c>
      <c r="V15" s="829">
        <v>100</v>
      </c>
      <c r="W15" s="829">
        <f t="shared" si="7"/>
        <v>1500</v>
      </c>
      <c r="X15" s="829">
        <f>'Thu NSH'!CO19</f>
        <v>500</v>
      </c>
      <c r="Y15" s="829">
        <v>100</v>
      </c>
      <c r="Z15" s="829">
        <f t="shared" si="8"/>
        <v>500</v>
      </c>
      <c r="AA15" s="829">
        <f>'Thu NSH'!DA19</f>
        <v>550</v>
      </c>
      <c r="AB15" s="829">
        <v>100</v>
      </c>
      <c r="AC15" s="829">
        <f t="shared" si="9"/>
        <v>550</v>
      </c>
      <c r="AD15" s="829">
        <f>'Thu NSH'!DM19</f>
        <v>500</v>
      </c>
      <c r="AE15" s="829">
        <v>100</v>
      </c>
      <c r="AF15" s="829">
        <f t="shared" si="10"/>
        <v>500</v>
      </c>
      <c r="AG15" s="829">
        <f>'Thu NSH'!DY19</f>
        <v>500</v>
      </c>
      <c r="AH15" s="829">
        <v>100</v>
      </c>
      <c r="AI15" s="829">
        <f t="shared" si="11"/>
        <v>500</v>
      </c>
      <c r="AJ15" s="829">
        <f>'Thu NSH'!EK19</f>
        <v>1500</v>
      </c>
      <c r="AK15" s="829">
        <v>100</v>
      </c>
      <c r="AL15" s="829">
        <f t="shared" si="12"/>
        <v>1500</v>
      </c>
      <c r="AM15" s="829">
        <f>'Thu NSH'!EW19</f>
        <v>350</v>
      </c>
      <c r="AN15" s="829">
        <v>100</v>
      </c>
      <c r="AO15" s="829">
        <f t="shared" si="13"/>
        <v>350</v>
      </c>
    </row>
    <row r="16" spans="1:41" s="74" customFormat="1" ht="20.100000000000001" customHeight="1" x14ac:dyDescent="0.25">
      <c r="A16" s="64">
        <v>5</v>
      </c>
      <c r="B16" s="62" t="s">
        <v>455</v>
      </c>
      <c r="C16" s="829">
        <f>SUM(C17:C19)</f>
        <v>106900</v>
      </c>
      <c r="D16" s="829"/>
      <c r="E16" s="829">
        <f>SUM(E17:E19)</f>
        <v>97900</v>
      </c>
      <c r="F16" s="829">
        <f>SUM(F17:F19)</f>
        <v>6200</v>
      </c>
      <c r="G16" s="829"/>
      <c r="H16" s="829">
        <f>SUM(H17:H19)</f>
        <v>6200</v>
      </c>
      <c r="I16" s="829">
        <f>SUM(I17:I19)</f>
        <v>7000</v>
      </c>
      <c r="J16" s="829"/>
      <c r="K16" s="829">
        <f>SUM(K17:K19)</f>
        <v>3500</v>
      </c>
      <c r="L16" s="829">
        <f>SUM(L17:L19)</f>
        <v>3900</v>
      </c>
      <c r="M16" s="829"/>
      <c r="N16" s="829">
        <f>SUM(N17:N19)</f>
        <v>3900</v>
      </c>
      <c r="O16" s="829">
        <f>SUM(O17:O19)</f>
        <v>3500</v>
      </c>
      <c r="P16" s="829"/>
      <c r="Q16" s="829">
        <f>SUM(Q17:Q19)</f>
        <v>3500</v>
      </c>
      <c r="R16" s="829">
        <f>SUM(R17:R19)</f>
        <v>8600</v>
      </c>
      <c r="S16" s="829"/>
      <c r="T16" s="829">
        <f>SUM(T17:T19)</f>
        <v>8600</v>
      </c>
      <c r="U16" s="829">
        <f>SUM(U17:U19)</f>
        <v>16000</v>
      </c>
      <c r="V16" s="829"/>
      <c r="W16" s="829">
        <f>SUM(W17:W19)</f>
        <v>16000</v>
      </c>
      <c r="X16" s="829">
        <f>SUM(X17:X19)</f>
        <v>11000</v>
      </c>
      <c r="Y16" s="829"/>
      <c r="Z16" s="829">
        <f>SUM(Z17:Z19)</f>
        <v>11000</v>
      </c>
      <c r="AA16" s="829">
        <f>SUM(AA17:AA19)</f>
        <v>14000</v>
      </c>
      <c r="AB16" s="829"/>
      <c r="AC16" s="829">
        <f>SUM(AC17:AC19)</f>
        <v>14000</v>
      </c>
      <c r="AD16" s="829">
        <f>SUM(AD17:AD19)</f>
        <v>10000</v>
      </c>
      <c r="AE16" s="829"/>
      <c r="AF16" s="829">
        <f>SUM(AF17:AF19)</f>
        <v>10000</v>
      </c>
      <c r="AG16" s="829">
        <f>SUM(AG17:AG19)</f>
        <v>8000</v>
      </c>
      <c r="AH16" s="829"/>
      <c r="AI16" s="829">
        <f>SUM(AI17:AI19)</f>
        <v>8000</v>
      </c>
      <c r="AJ16" s="829">
        <f>SUM(AJ17:AJ19)</f>
        <v>13000</v>
      </c>
      <c r="AK16" s="829"/>
      <c r="AL16" s="829">
        <f>SUM(AL17:AL19)</f>
        <v>7500</v>
      </c>
      <c r="AM16" s="829">
        <f>SUM(AM17:AM19)</f>
        <v>5700</v>
      </c>
      <c r="AN16" s="829"/>
      <c r="AO16" s="829">
        <f>SUM(AO17:AO19)</f>
        <v>5700</v>
      </c>
    </row>
    <row r="17" spans="1:41" s="249" customFormat="1" ht="20.100000000000001" customHeight="1" x14ac:dyDescent="0.25">
      <c r="A17" s="335" t="s">
        <v>449</v>
      </c>
      <c r="B17" s="257" t="s">
        <v>554</v>
      </c>
      <c r="C17" s="831">
        <f>SUM(F17,L17,O17,R17,U17,X17,AA17,AD17,AG17,AJ17,AM17,I17)</f>
        <v>5500</v>
      </c>
      <c r="D17" s="831"/>
      <c r="E17" s="831">
        <f>SUM(H17,N17,Q17,T17,W17,Z17,AC17,AF17,AI17,AL17,AO17,K17)</f>
        <v>0</v>
      </c>
      <c r="F17" s="831">
        <f>'Thu NSH'!U21</f>
        <v>0</v>
      </c>
      <c r="G17" s="831">
        <v>0</v>
      </c>
      <c r="H17" s="830">
        <f t="shared" si="2"/>
        <v>0</v>
      </c>
      <c r="I17" s="831">
        <f>'Thu NSH'!AG21</f>
        <v>2000</v>
      </c>
      <c r="J17" s="831">
        <v>0</v>
      </c>
      <c r="K17" s="830">
        <f>I17*J17/100</f>
        <v>0</v>
      </c>
      <c r="L17" s="830">
        <f>'Thu NSH'!AS21</f>
        <v>0</v>
      </c>
      <c r="M17" s="831">
        <v>0</v>
      </c>
      <c r="N17" s="830">
        <f>L17*M17/100</f>
        <v>0</v>
      </c>
      <c r="O17" s="830">
        <f>'Thu NSH'!BE21</f>
        <v>0</v>
      </c>
      <c r="P17" s="831">
        <v>0</v>
      </c>
      <c r="Q17" s="830">
        <f>O17*P17/100</f>
        <v>0</v>
      </c>
      <c r="R17" s="830">
        <f>'Thu NSH'!BQ21</f>
        <v>0</v>
      </c>
      <c r="S17" s="831">
        <v>0</v>
      </c>
      <c r="T17" s="830">
        <f>R17*S17/100</f>
        <v>0</v>
      </c>
      <c r="U17" s="830">
        <f>'Thu NSH'!CC21</f>
        <v>0</v>
      </c>
      <c r="V17" s="831">
        <v>0</v>
      </c>
      <c r="W17" s="830">
        <f>U17*V17/100</f>
        <v>0</v>
      </c>
      <c r="X17" s="830">
        <f>'Thu NSH'!CO21</f>
        <v>0</v>
      </c>
      <c r="Y17" s="831">
        <v>0</v>
      </c>
      <c r="Z17" s="830">
        <f>X17*Y17/100</f>
        <v>0</v>
      </c>
      <c r="AA17" s="830">
        <f>'Thu NSH'!DA21</f>
        <v>0</v>
      </c>
      <c r="AB17" s="831">
        <v>0</v>
      </c>
      <c r="AC17" s="830">
        <f>AA17*AB17/100</f>
        <v>0</v>
      </c>
      <c r="AD17" s="830">
        <f>'Thu NSH'!DM21</f>
        <v>0</v>
      </c>
      <c r="AE17" s="831">
        <v>0</v>
      </c>
      <c r="AF17" s="830">
        <f>AD17*AE17/100</f>
        <v>0</v>
      </c>
      <c r="AG17" s="830">
        <f>'Thu NSH'!DY21</f>
        <v>0</v>
      </c>
      <c r="AH17" s="831">
        <v>0</v>
      </c>
      <c r="AI17" s="830">
        <f>AG17*AH17/100</f>
        <v>0</v>
      </c>
      <c r="AJ17" s="830">
        <f>'Thu NSH'!EK21</f>
        <v>3500</v>
      </c>
      <c r="AK17" s="831">
        <v>0</v>
      </c>
      <c r="AL17" s="830">
        <f>AJ17*AK17/100</f>
        <v>0</v>
      </c>
      <c r="AM17" s="830">
        <f>'Thu NSH'!EW21</f>
        <v>0</v>
      </c>
      <c r="AN17" s="831">
        <v>0</v>
      </c>
      <c r="AO17" s="830">
        <f>AM17*AN17/100</f>
        <v>0</v>
      </c>
    </row>
    <row r="18" spans="1:41" s="249" customFormat="1" ht="20.100000000000001" customHeight="1" x14ac:dyDescent="0.25">
      <c r="A18" s="335" t="s">
        <v>449</v>
      </c>
      <c r="B18" s="257" t="s">
        <v>555</v>
      </c>
      <c r="C18" s="831">
        <f>SUM(F18,L18,O18,R18,U18,X18,AA18,AD18,AG18,AJ18,AM18,I18)</f>
        <v>3500</v>
      </c>
      <c r="D18" s="831"/>
      <c r="E18" s="831">
        <f>SUM(H18,N18,Q18,T18,W18,Z18,AC18,AF18,AI18,AL18,AO18,K18)</f>
        <v>0</v>
      </c>
      <c r="F18" s="831">
        <f>'Thu NSH'!U22</f>
        <v>0</v>
      </c>
      <c r="G18" s="831">
        <v>0</v>
      </c>
      <c r="H18" s="830">
        <f t="shared" si="2"/>
        <v>0</v>
      </c>
      <c r="I18" s="831">
        <f>'Thu NSH'!AG22</f>
        <v>1500</v>
      </c>
      <c r="J18" s="831">
        <v>0</v>
      </c>
      <c r="K18" s="830">
        <f>I18*J18/100</f>
        <v>0</v>
      </c>
      <c r="L18" s="830">
        <f>'Thu NSH'!AS22</f>
        <v>0</v>
      </c>
      <c r="M18" s="831">
        <v>0</v>
      </c>
      <c r="N18" s="830">
        <f>L18*M18/100</f>
        <v>0</v>
      </c>
      <c r="O18" s="830">
        <f>'Thu NSH'!BE22</f>
        <v>0</v>
      </c>
      <c r="P18" s="831">
        <v>0</v>
      </c>
      <c r="Q18" s="830">
        <f>O18*P18/100</f>
        <v>0</v>
      </c>
      <c r="R18" s="830">
        <f>'Thu NSH'!BQ22</f>
        <v>0</v>
      </c>
      <c r="S18" s="831">
        <v>0</v>
      </c>
      <c r="T18" s="830">
        <f>R18*S18/100</f>
        <v>0</v>
      </c>
      <c r="U18" s="830">
        <f>'Thu NSH'!CC22</f>
        <v>0</v>
      </c>
      <c r="V18" s="831">
        <v>0</v>
      </c>
      <c r="W18" s="830">
        <f>U18*V18/100</f>
        <v>0</v>
      </c>
      <c r="X18" s="830">
        <f>'Thu NSH'!CO22</f>
        <v>0</v>
      </c>
      <c r="Y18" s="831">
        <v>0</v>
      </c>
      <c r="Z18" s="830">
        <f>X18*Y18/100</f>
        <v>0</v>
      </c>
      <c r="AA18" s="830">
        <f>'Thu NSH'!DA22</f>
        <v>0</v>
      </c>
      <c r="AB18" s="831">
        <v>0</v>
      </c>
      <c r="AC18" s="830">
        <f>AA18*AB18/100</f>
        <v>0</v>
      </c>
      <c r="AD18" s="830">
        <f>'Thu NSH'!DM22</f>
        <v>0</v>
      </c>
      <c r="AE18" s="831">
        <v>0</v>
      </c>
      <c r="AF18" s="830">
        <f>AD18*AE18/100</f>
        <v>0</v>
      </c>
      <c r="AG18" s="830">
        <f>'Thu NSH'!DY22</f>
        <v>0</v>
      </c>
      <c r="AH18" s="831">
        <v>0</v>
      </c>
      <c r="AI18" s="830">
        <f>AG18*AH18/100</f>
        <v>0</v>
      </c>
      <c r="AJ18" s="830">
        <f>'Thu NSH'!EK22</f>
        <v>2000</v>
      </c>
      <c r="AK18" s="831">
        <v>0</v>
      </c>
      <c r="AL18" s="830">
        <f>AJ18*AK18/100</f>
        <v>0</v>
      </c>
      <c r="AM18" s="830">
        <f>'Thu NSH'!EW22</f>
        <v>0</v>
      </c>
      <c r="AN18" s="831">
        <v>0</v>
      </c>
      <c r="AO18" s="830">
        <f>AM18*AN18/100</f>
        <v>0</v>
      </c>
    </row>
    <row r="19" spans="1:41" s="249" customFormat="1" ht="20.100000000000001" customHeight="1" x14ac:dyDescent="0.25">
      <c r="A19" s="335" t="s">
        <v>449</v>
      </c>
      <c r="B19" s="257" t="s">
        <v>556</v>
      </c>
      <c r="C19" s="831">
        <f>SUM(F19,L19,O19,R19,U19,X19,AA19,AD19,AG19,AJ19,AM19,I19)</f>
        <v>97900</v>
      </c>
      <c r="D19" s="831"/>
      <c r="E19" s="831">
        <f>SUM(H19,N19,Q19,T19,W19,Z19,AC19,AF19,AI19,AL19,AO19,K19)</f>
        <v>97900</v>
      </c>
      <c r="F19" s="831">
        <f>'Thu NSH'!U23</f>
        <v>6200</v>
      </c>
      <c r="G19" s="831">
        <v>100</v>
      </c>
      <c r="H19" s="830">
        <f t="shared" si="2"/>
        <v>6200</v>
      </c>
      <c r="I19" s="831">
        <f>'Thu NSH'!AG23</f>
        <v>3500</v>
      </c>
      <c r="J19" s="831">
        <v>100</v>
      </c>
      <c r="K19" s="830">
        <f>I19*J19/100</f>
        <v>3500</v>
      </c>
      <c r="L19" s="830">
        <f>'Thu NSH'!AS23</f>
        <v>3900</v>
      </c>
      <c r="M19" s="831">
        <v>100</v>
      </c>
      <c r="N19" s="830">
        <f>L19*M19/100</f>
        <v>3900</v>
      </c>
      <c r="O19" s="830">
        <f>'Thu NSH'!BE23</f>
        <v>3500</v>
      </c>
      <c r="P19" s="831">
        <v>100</v>
      </c>
      <c r="Q19" s="830">
        <f>O19*P19/100</f>
        <v>3500</v>
      </c>
      <c r="R19" s="830">
        <f>'Thu NSH'!BQ23</f>
        <v>8600</v>
      </c>
      <c r="S19" s="831">
        <v>100</v>
      </c>
      <c r="T19" s="830">
        <f>R19*S19/100</f>
        <v>8600</v>
      </c>
      <c r="U19" s="830">
        <f>'Thu NSH'!CC23</f>
        <v>16000</v>
      </c>
      <c r="V19" s="831">
        <v>100</v>
      </c>
      <c r="W19" s="830">
        <f>U19*V19/100</f>
        <v>16000</v>
      </c>
      <c r="X19" s="830">
        <f>'Thu NSH'!CO23</f>
        <v>11000</v>
      </c>
      <c r="Y19" s="831">
        <v>100</v>
      </c>
      <c r="Z19" s="830">
        <f>X19*Y19/100</f>
        <v>11000</v>
      </c>
      <c r="AA19" s="830">
        <f>'Thu NSH'!DA23</f>
        <v>14000</v>
      </c>
      <c r="AB19" s="831">
        <v>100</v>
      </c>
      <c r="AC19" s="830">
        <f>AA19*AB19/100</f>
        <v>14000</v>
      </c>
      <c r="AD19" s="830">
        <f>'Thu NSH'!DM23</f>
        <v>10000</v>
      </c>
      <c r="AE19" s="831">
        <v>100</v>
      </c>
      <c r="AF19" s="830">
        <f>AD19*AE19/100</f>
        <v>10000</v>
      </c>
      <c r="AG19" s="830">
        <f>'Thu NSH'!DY23</f>
        <v>8000</v>
      </c>
      <c r="AH19" s="831">
        <v>100</v>
      </c>
      <c r="AI19" s="830">
        <f>AG19*AH19/100</f>
        <v>8000</v>
      </c>
      <c r="AJ19" s="830">
        <f>'Thu NSH'!EK23</f>
        <v>7500</v>
      </c>
      <c r="AK19" s="831">
        <v>100</v>
      </c>
      <c r="AL19" s="830">
        <f>AJ19*AK19/100</f>
        <v>7500</v>
      </c>
      <c r="AM19" s="830">
        <f>'Thu NSH'!EW23</f>
        <v>5700</v>
      </c>
      <c r="AN19" s="831">
        <v>100</v>
      </c>
      <c r="AO19" s="830">
        <f>AM19*AN19/100</f>
        <v>5700</v>
      </c>
    </row>
    <row r="20" spans="1:41" s="74" customFormat="1" ht="20.100000000000001" customHeight="1" x14ac:dyDescent="0.25">
      <c r="A20" s="64">
        <v>6</v>
      </c>
      <c r="B20" s="62" t="s">
        <v>407</v>
      </c>
      <c r="C20" s="829">
        <f>SUM(C21:C22)</f>
        <v>70000</v>
      </c>
      <c r="D20" s="829"/>
      <c r="E20" s="829">
        <f>SUM(E21:E22)</f>
        <v>70000</v>
      </c>
      <c r="F20" s="829">
        <f>SUM(F21:F22)</f>
        <v>2000</v>
      </c>
      <c r="G20" s="829"/>
      <c r="H20" s="829">
        <f>SUM(H21:H22)</f>
        <v>2000</v>
      </c>
      <c r="I20" s="829">
        <f>SUM(I21:I22)</f>
        <v>3000</v>
      </c>
      <c r="J20" s="829"/>
      <c r="K20" s="829">
        <f>SUM(K21:K22)</f>
        <v>3000</v>
      </c>
      <c r="L20" s="829">
        <f>SUM(L21:L22)</f>
        <v>400</v>
      </c>
      <c r="M20" s="829"/>
      <c r="N20" s="829">
        <f>SUM(N21:N22)</f>
        <v>400</v>
      </c>
      <c r="O20" s="829">
        <f>SUM(O21:O22)</f>
        <v>1000</v>
      </c>
      <c r="P20" s="829"/>
      <c r="Q20" s="829">
        <f>SUM(Q21:Q22)</f>
        <v>1000</v>
      </c>
      <c r="R20" s="829">
        <f>SUM(R21:R22)</f>
        <v>4000</v>
      </c>
      <c r="S20" s="829"/>
      <c r="T20" s="829">
        <f>SUM(T21:T22)</f>
        <v>4000</v>
      </c>
      <c r="U20" s="829">
        <f>SUM(U21:U22)</f>
        <v>30000</v>
      </c>
      <c r="V20" s="829"/>
      <c r="W20" s="829">
        <f>SUM(W21:W22)</f>
        <v>30000</v>
      </c>
      <c r="X20" s="829">
        <f>SUM(X21:X22)</f>
        <v>3000</v>
      </c>
      <c r="Y20" s="829"/>
      <c r="Z20" s="829">
        <f>SUM(Z21:Z22)</f>
        <v>3000</v>
      </c>
      <c r="AA20" s="829">
        <f>SUM(AA21:AA22)</f>
        <v>1600</v>
      </c>
      <c r="AB20" s="829"/>
      <c r="AC20" s="829">
        <f>SUM(AC21:AC22)</f>
        <v>1600</v>
      </c>
      <c r="AD20" s="829">
        <f>SUM(AD21:AD22)</f>
        <v>3300</v>
      </c>
      <c r="AE20" s="829"/>
      <c r="AF20" s="829">
        <f>SUM(AF21:AF22)</f>
        <v>3300</v>
      </c>
      <c r="AG20" s="829">
        <f>SUM(AG21:AG22)</f>
        <v>4700</v>
      </c>
      <c r="AH20" s="829"/>
      <c r="AI20" s="829">
        <f>SUM(AI21:AI22)</f>
        <v>4700</v>
      </c>
      <c r="AJ20" s="829">
        <f>SUM(AJ21:AJ22)</f>
        <v>15000</v>
      </c>
      <c r="AK20" s="829"/>
      <c r="AL20" s="829">
        <f>SUM(AL21:AL22)</f>
        <v>15000</v>
      </c>
      <c r="AM20" s="829">
        <f>SUM(AM21:AM22)</f>
        <v>2000</v>
      </c>
      <c r="AN20" s="829"/>
      <c r="AO20" s="829">
        <f>SUM(AO21:AO22)</f>
        <v>2000</v>
      </c>
    </row>
    <row r="21" spans="1:41" s="249" customFormat="1" ht="20.100000000000001" customHeight="1" x14ac:dyDescent="0.25">
      <c r="A21" s="335" t="s">
        <v>449</v>
      </c>
      <c r="B21" s="257" t="s">
        <v>560</v>
      </c>
      <c r="C21" s="831">
        <f>SUM(F21,L21,O21,R21,U21,X21,AA21,AD21,AG21,AJ21,AM21,I21)</f>
        <v>0</v>
      </c>
      <c r="D21" s="831" t="str">
        <f>IF(E21=0,"",E21/C21*100)</f>
        <v/>
      </c>
      <c r="E21" s="831">
        <f>SUM(H21,N21,Q21,T21,W21,Z21,AC21,AF21,AI21,AL21,AO21,K21)</f>
        <v>0</v>
      </c>
      <c r="F21" s="831">
        <f>'Thu NSH'!U26</f>
        <v>0</v>
      </c>
      <c r="G21" s="831">
        <v>0</v>
      </c>
      <c r="H21" s="830">
        <f t="shared" si="2"/>
        <v>0</v>
      </c>
      <c r="I21" s="831">
        <f>'Thu NSH'!AG26</f>
        <v>0</v>
      </c>
      <c r="J21" s="831">
        <v>0</v>
      </c>
      <c r="K21" s="830">
        <f>I21*J21/100</f>
        <v>0</v>
      </c>
      <c r="L21" s="830">
        <f>'Thu NSH'!AS26</f>
        <v>0</v>
      </c>
      <c r="M21" s="831">
        <v>0</v>
      </c>
      <c r="N21" s="830">
        <f>L21*M21/100</f>
        <v>0</v>
      </c>
      <c r="O21" s="830">
        <f>'Thu NSH'!BE26</f>
        <v>0</v>
      </c>
      <c r="P21" s="831">
        <v>0</v>
      </c>
      <c r="Q21" s="830">
        <f>O21*P21/100</f>
        <v>0</v>
      </c>
      <c r="R21" s="830">
        <f>'Thu NSH'!BQ26</f>
        <v>0</v>
      </c>
      <c r="S21" s="831"/>
      <c r="T21" s="830"/>
      <c r="U21" s="830">
        <f>'Thu NSH'!CC26</f>
        <v>0</v>
      </c>
      <c r="V21" s="831"/>
      <c r="W21" s="830"/>
      <c r="X21" s="830">
        <f>'Thu NSH'!CO26</f>
        <v>0</v>
      </c>
      <c r="Y21" s="831"/>
      <c r="Z21" s="830"/>
      <c r="AA21" s="830">
        <f>'Thu NSH'!DA26</f>
        <v>0</v>
      </c>
      <c r="AB21" s="831"/>
      <c r="AC21" s="830"/>
      <c r="AD21" s="830">
        <f>'Thu NSH'!DM26</f>
        <v>0</v>
      </c>
      <c r="AE21" s="831">
        <v>0</v>
      </c>
      <c r="AF21" s="830">
        <f>AD21*AE21/100</f>
        <v>0</v>
      </c>
      <c r="AG21" s="830">
        <f>'Thu NSH'!DY26</f>
        <v>0</v>
      </c>
      <c r="AH21" s="831">
        <v>0</v>
      </c>
      <c r="AI21" s="830">
        <f>AG21*AH21/100</f>
        <v>0</v>
      </c>
      <c r="AJ21" s="830">
        <f>'Thu NSH'!EK26</f>
        <v>0</v>
      </c>
      <c r="AK21" s="831">
        <v>0</v>
      </c>
      <c r="AL21" s="830">
        <f>AJ21*AK21/100</f>
        <v>0</v>
      </c>
      <c r="AM21" s="830">
        <f>'Thu NSH'!EW26</f>
        <v>0</v>
      </c>
      <c r="AN21" s="831">
        <v>0</v>
      </c>
      <c r="AO21" s="830">
        <f>AM21*AN21/100</f>
        <v>0</v>
      </c>
    </row>
    <row r="22" spans="1:41" s="249" customFormat="1" ht="20.100000000000001" customHeight="1" x14ac:dyDescent="0.25">
      <c r="A22" s="335" t="s">
        <v>449</v>
      </c>
      <c r="B22" s="257" t="s">
        <v>561</v>
      </c>
      <c r="C22" s="831">
        <f>SUM(F22,L22,O22,R22,U22,X22,AA22,AD22,AG22,AJ22,AM22,I22)</f>
        <v>70000</v>
      </c>
      <c r="D22" s="831">
        <f>IF(E22=0,"",E22/C22*100)</f>
        <v>100</v>
      </c>
      <c r="E22" s="831">
        <f>SUM(H22,N22,Q22,T22,W22,Z22,AC22,AF22,AI22,AL22,AO22,K22)</f>
        <v>70000</v>
      </c>
      <c r="F22" s="831">
        <f>'Thu NSH'!U27</f>
        <v>2000</v>
      </c>
      <c r="G22" s="831">
        <v>100</v>
      </c>
      <c r="H22" s="830">
        <f t="shared" si="2"/>
        <v>2000</v>
      </c>
      <c r="I22" s="831">
        <f>'Thu NSH'!AG27</f>
        <v>3000</v>
      </c>
      <c r="J22" s="831">
        <v>100</v>
      </c>
      <c r="K22" s="830">
        <f>I22*J22/100</f>
        <v>3000</v>
      </c>
      <c r="L22" s="830">
        <f>'Thu NSH'!AS27</f>
        <v>400</v>
      </c>
      <c r="M22" s="831">
        <v>100</v>
      </c>
      <c r="N22" s="830">
        <f>L22*M22/100</f>
        <v>400</v>
      </c>
      <c r="O22" s="830">
        <f>'Thu NSH'!BE27</f>
        <v>1000</v>
      </c>
      <c r="P22" s="831">
        <v>100</v>
      </c>
      <c r="Q22" s="830">
        <f>O22*P22/100</f>
        <v>1000</v>
      </c>
      <c r="R22" s="830">
        <f>'Thu NSH'!BQ27</f>
        <v>4000</v>
      </c>
      <c r="S22" s="831">
        <v>100</v>
      </c>
      <c r="T22" s="830">
        <f>R22*S22/100</f>
        <v>4000</v>
      </c>
      <c r="U22" s="830">
        <f>'Thu NSH'!CC27</f>
        <v>30000</v>
      </c>
      <c r="V22" s="831">
        <v>100</v>
      </c>
      <c r="W22" s="830">
        <f>U22*V22/100</f>
        <v>30000</v>
      </c>
      <c r="X22" s="830">
        <f>'Thu NSH'!CO27</f>
        <v>3000</v>
      </c>
      <c r="Y22" s="831">
        <v>100</v>
      </c>
      <c r="Z22" s="830">
        <f>X22*Y22/100</f>
        <v>3000</v>
      </c>
      <c r="AA22" s="830">
        <f>'Thu NSH'!DA27</f>
        <v>1600</v>
      </c>
      <c r="AB22" s="831">
        <v>100</v>
      </c>
      <c r="AC22" s="830">
        <f>AA22*AB22/100</f>
        <v>1600</v>
      </c>
      <c r="AD22" s="830">
        <f>'Thu NSH'!DM27</f>
        <v>3300</v>
      </c>
      <c r="AE22" s="831">
        <v>100</v>
      </c>
      <c r="AF22" s="830">
        <f>AD22*AE22/100</f>
        <v>3300</v>
      </c>
      <c r="AG22" s="830">
        <f>'Thu NSH'!DY27</f>
        <v>4700</v>
      </c>
      <c r="AH22" s="831">
        <v>100</v>
      </c>
      <c r="AI22" s="830">
        <f>AG22*AH22/100</f>
        <v>4700</v>
      </c>
      <c r="AJ22" s="830">
        <f>'Thu NSH'!EK27</f>
        <v>15000</v>
      </c>
      <c r="AK22" s="831">
        <v>100</v>
      </c>
      <c r="AL22" s="830">
        <f>AJ22*AK22/100</f>
        <v>15000</v>
      </c>
      <c r="AM22" s="830">
        <f>'Thu NSH'!EW27</f>
        <v>2000</v>
      </c>
      <c r="AN22" s="831">
        <v>100</v>
      </c>
      <c r="AO22" s="830">
        <f>AM22*AN22/100</f>
        <v>2000</v>
      </c>
    </row>
    <row r="23" spans="1:41" s="74" customFormat="1" ht="20.100000000000001" customHeight="1" x14ac:dyDescent="0.25">
      <c r="A23" s="64">
        <v>7</v>
      </c>
      <c r="B23" s="62" t="s">
        <v>456</v>
      </c>
      <c r="C23" s="829">
        <f>SUM(C24:C25)</f>
        <v>450000</v>
      </c>
      <c r="D23" s="829"/>
      <c r="E23" s="829">
        <f>SUM(E24:E25)</f>
        <v>380000</v>
      </c>
      <c r="F23" s="829">
        <f>SUM(F24:F25)</f>
        <v>10000</v>
      </c>
      <c r="G23" s="829"/>
      <c r="H23" s="829">
        <f>SUM(H24:H25)</f>
        <v>10000</v>
      </c>
      <c r="I23" s="829">
        <f>SUM(I24:I25)</f>
        <v>90000</v>
      </c>
      <c r="J23" s="829"/>
      <c r="K23" s="829">
        <f>SUM(K24:K25)</f>
        <v>90000</v>
      </c>
      <c r="L23" s="829">
        <f>SUM(L24:L25)</f>
        <v>10000</v>
      </c>
      <c r="M23" s="829"/>
      <c r="N23" s="829">
        <f>SUM(N24:N25)</f>
        <v>10000</v>
      </c>
      <c r="O23" s="829">
        <f>SUM(O24:O25)</f>
        <v>20000</v>
      </c>
      <c r="P23" s="829"/>
      <c r="Q23" s="829">
        <f>SUM(Q24:Q25)</f>
        <v>20000</v>
      </c>
      <c r="R23" s="829">
        <f>SUM(R24:R25)</f>
        <v>20000</v>
      </c>
      <c r="S23" s="829"/>
      <c r="T23" s="829">
        <f>SUM(T24:T25)</f>
        <v>20000</v>
      </c>
      <c r="U23" s="829">
        <f>SUM(U24:U25)</f>
        <v>107000</v>
      </c>
      <c r="V23" s="829"/>
      <c r="W23" s="829">
        <f>SUM(W24:W25)</f>
        <v>50000</v>
      </c>
      <c r="X23" s="829">
        <f>SUM(X24:X25)</f>
        <v>35000</v>
      </c>
      <c r="Y23" s="829"/>
      <c r="Z23" s="829">
        <f>SUM(Z24:Z25)</f>
        <v>35000</v>
      </c>
      <c r="AA23" s="829">
        <f>SUM(AA24:AA25)</f>
        <v>45000</v>
      </c>
      <c r="AB23" s="829"/>
      <c r="AC23" s="829">
        <f>SUM(AC24:AC25)</f>
        <v>40000</v>
      </c>
      <c r="AD23" s="829">
        <f>SUM(AD24:AD25)</f>
        <v>23000</v>
      </c>
      <c r="AE23" s="829"/>
      <c r="AF23" s="829">
        <f>SUM(AF24:AF25)</f>
        <v>15000</v>
      </c>
      <c r="AG23" s="829">
        <f>SUM(AG24:AG25)</f>
        <v>10000</v>
      </c>
      <c r="AH23" s="829"/>
      <c r="AI23" s="829">
        <f>SUM(AI24:AI25)</f>
        <v>10000</v>
      </c>
      <c r="AJ23" s="829">
        <f>SUM(AJ24:AJ25)</f>
        <v>60000</v>
      </c>
      <c r="AK23" s="829"/>
      <c r="AL23" s="829">
        <f>SUM(AL24:AL25)</f>
        <v>60000</v>
      </c>
      <c r="AM23" s="829">
        <f>SUM(AM24:AM25)</f>
        <v>20000</v>
      </c>
      <c r="AN23" s="829"/>
      <c r="AO23" s="829">
        <f>SUM(AO24:AO25)</f>
        <v>20000</v>
      </c>
    </row>
    <row r="24" spans="1:41" s="249" customFormat="1" ht="20.100000000000001" customHeight="1" x14ac:dyDescent="0.25">
      <c r="A24" s="335" t="s">
        <v>449</v>
      </c>
      <c r="B24" s="257" t="s">
        <v>560</v>
      </c>
      <c r="C24" s="831">
        <f>SUM(F24,L24,O24,R24,U24,X24,AA24,AD24,AG24,AJ24,AM24,I24)</f>
        <v>70000</v>
      </c>
      <c r="D24" s="831" t="str">
        <f t="shared" ref="D24:D29" si="15">IF(E24=0,"",E24/C24*100)</f>
        <v/>
      </c>
      <c r="E24" s="831">
        <f>SUM(H24,N24,Q24,T24,W24,Z24,AC24,AF24,AI24,AL24,AO24,K24)</f>
        <v>0</v>
      </c>
      <c r="F24" s="831">
        <f>'Thu NSH'!U29</f>
        <v>0</v>
      </c>
      <c r="G24" s="831">
        <v>0</v>
      </c>
      <c r="H24" s="830">
        <f t="shared" si="2"/>
        <v>0</v>
      </c>
      <c r="I24" s="831">
        <f>'Thu NSH'!AG29</f>
        <v>0</v>
      </c>
      <c r="J24" s="831">
        <v>0</v>
      </c>
      <c r="K24" s="830">
        <f>I24*J24/100</f>
        <v>0</v>
      </c>
      <c r="L24" s="830">
        <f>'Thu NSH'!AS29</f>
        <v>0</v>
      </c>
      <c r="M24" s="831">
        <v>0</v>
      </c>
      <c r="N24" s="830">
        <f>L24*M24/100</f>
        <v>0</v>
      </c>
      <c r="O24" s="830">
        <f>'Thu NSH'!BE29</f>
        <v>0</v>
      </c>
      <c r="P24" s="831">
        <v>0</v>
      </c>
      <c r="Q24" s="830">
        <f>O24*P24/100</f>
        <v>0</v>
      </c>
      <c r="R24" s="830">
        <f>'Thu NSH'!BQ29</f>
        <v>0</v>
      </c>
      <c r="S24" s="831">
        <v>0</v>
      </c>
      <c r="T24" s="830">
        <f>R24*S24/100</f>
        <v>0</v>
      </c>
      <c r="U24" s="830">
        <f>'Thu NSH'!CC29</f>
        <v>57000</v>
      </c>
      <c r="V24" s="831">
        <v>0</v>
      </c>
      <c r="W24" s="830">
        <f>U24*V24/100</f>
        <v>0</v>
      </c>
      <c r="X24" s="830">
        <f>'Thu NSH'!CO29</f>
        <v>0</v>
      </c>
      <c r="Y24" s="831">
        <v>0</v>
      </c>
      <c r="Z24" s="830">
        <f>X24*Y24/100</f>
        <v>0</v>
      </c>
      <c r="AA24" s="830">
        <f>'Thu NSH'!DA29</f>
        <v>5000</v>
      </c>
      <c r="AB24" s="831">
        <v>0</v>
      </c>
      <c r="AC24" s="830">
        <f>AA24*AB24/100</f>
        <v>0</v>
      </c>
      <c r="AD24" s="830">
        <f>'Thu NSH'!DM29</f>
        <v>8000</v>
      </c>
      <c r="AE24" s="831">
        <v>0</v>
      </c>
      <c r="AF24" s="830">
        <f>AD24*AE24/100</f>
        <v>0</v>
      </c>
      <c r="AG24" s="830">
        <f>'Thu NSH'!DY29</f>
        <v>0</v>
      </c>
      <c r="AH24" s="831">
        <v>0</v>
      </c>
      <c r="AI24" s="830">
        <f>AG24*AH24/100</f>
        <v>0</v>
      </c>
      <c r="AJ24" s="830">
        <f>'Thu NSH'!EK29</f>
        <v>0</v>
      </c>
      <c r="AK24" s="831">
        <v>0</v>
      </c>
      <c r="AL24" s="830">
        <f>AJ24*AK24/100</f>
        <v>0</v>
      </c>
      <c r="AM24" s="830">
        <f>'Thu NSH'!EW29</f>
        <v>0</v>
      </c>
      <c r="AN24" s="831">
        <v>0</v>
      </c>
      <c r="AO24" s="830">
        <f>AM24*AN24/100</f>
        <v>0</v>
      </c>
    </row>
    <row r="25" spans="1:41" s="249" customFormat="1" ht="20.100000000000001" customHeight="1" x14ac:dyDescent="0.25">
      <c r="A25" s="335" t="s">
        <v>449</v>
      </c>
      <c r="B25" s="257" t="s">
        <v>561</v>
      </c>
      <c r="C25" s="831">
        <f>SUM(F25,L25,O25,R25,U25,X25,AA25,AD25,AG25,AJ25,AM25,I25)</f>
        <v>380000</v>
      </c>
      <c r="D25" s="831">
        <f t="shared" si="15"/>
        <v>100</v>
      </c>
      <c r="E25" s="831">
        <f>SUM(H25,N25,Q25,T25,W25,Z25,AC25,AF25,AI25,AL25,AO25,K25)</f>
        <v>380000</v>
      </c>
      <c r="F25" s="831">
        <f>'Thu NSH'!U30</f>
        <v>10000</v>
      </c>
      <c r="G25" s="831">
        <v>100</v>
      </c>
      <c r="H25" s="830">
        <f t="shared" si="2"/>
        <v>10000</v>
      </c>
      <c r="I25" s="831">
        <f>'Thu NSH'!AG30</f>
        <v>90000</v>
      </c>
      <c r="J25" s="831">
        <v>100</v>
      </c>
      <c r="K25" s="830">
        <f>I25*J25/100</f>
        <v>90000</v>
      </c>
      <c r="L25" s="830">
        <f>'Thu NSH'!AS30</f>
        <v>10000</v>
      </c>
      <c r="M25" s="831">
        <v>100</v>
      </c>
      <c r="N25" s="830">
        <f>L25*M25/100</f>
        <v>10000</v>
      </c>
      <c r="O25" s="830">
        <f>'Thu NSH'!BE30</f>
        <v>20000</v>
      </c>
      <c r="P25" s="831">
        <v>100</v>
      </c>
      <c r="Q25" s="830">
        <f>O25*P25/100</f>
        <v>20000</v>
      </c>
      <c r="R25" s="830">
        <f>'Thu NSH'!BQ30</f>
        <v>20000</v>
      </c>
      <c r="S25" s="831">
        <v>100</v>
      </c>
      <c r="T25" s="830">
        <f>R25*S25/100</f>
        <v>20000</v>
      </c>
      <c r="U25" s="830">
        <f>'Thu NSH'!CC30</f>
        <v>50000</v>
      </c>
      <c r="V25" s="831">
        <v>100</v>
      </c>
      <c r="W25" s="830">
        <f>U25*V25/100</f>
        <v>50000</v>
      </c>
      <c r="X25" s="830">
        <f>'Thu NSH'!CO30</f>
        <v>35000</v>
      </c>
      <c r="Y25" s="831">
        <v>100</v>
      </c>
      <c r="Z25" s="830">
        <f>X25*Y25/100</f>
        <v>35000</v>
      </c>
      <c r="AA25" s="830">
        <f>'Thu NSH'!DA30</f>
        <v>40000</v>
      </c>
      <c r="AB25" s="831">
        <v>100</v>
      </c>
      <c r="AC25" s="830">
        <f>AA25*AB25/100</f>
        <v>40000</v>
      </c>
      <c r="AD25" s="830">
        <f>'Thu NSH'!DM30</f>
        <v>15000</v>
      </c>
      <c r="AE25" s="831">
        <v>100</v>
      </c>
      <c r="AF25" s="830">
        <f>AD25*AE25/100</f>
        <v>15000</v>
      </c>
      <c r="AG25" s="830">
        <f>'Thu NSH'!DY30</f>
        <v>10000</v>
      </c>
      <c r="AH25" s="831">
        <v>100</v>
      </c>
      <c r="AI25" s="830">
        <f>AG25*AH25/100</f>
        <v>10000</v>
      </c>
      <c r="AJ25" s="830">
        <f>'Thu NSH'!EK30</f>
        <v>60000</v>
      </c>
      <c r="AK25" s="831">
        <v>100</v>
      </c>
      <c r="AL25" s="830">
        <f>AJ25*AK25/100</f>
        <v>60000</v>
      </c>
      <c r="AM25" s="830">
        <f>'Thu NSH'!EW30</f>
        <v>20000</v>
      </c>
      <c r="AN25" s="831">
        <v>100</v>
      </c>
      <c r="AO25" s="830">
        <f>AM25*AN25/100</f>
        <v>20000</v>
      </c>
    </row>
    <row r="26" spans="1:41" s="74" customFormat="1" ht="20.100000000000001" customHeight="1" x14ac:dyDescent="0.25">
      <c r="A26" s="64">
        <v>8</v>
      </c>
      <c r="B26" s="62" t="s">
        <v>292</v>
      </c>
      <c r="C26" s="829">
        <f>SUM(C27:C29)</f>
        <v>202000</v>
      </c>
      <c r="D26" s="829"/>
      <c r="E26" s="829">
        <f>SUM(E27:E29)</f>
        <v>104380</v>
      </c>
      <c r="F26" s="829">
        <f>SUM(F27:F29)</f>
        <v>20000</v>
      </c>
      <c r="G26" s="829"/>
      <c r="H26" s="829">
        <f>SUM(H27:H29)</f>
        <v>14000</v>
      </c>
      <c r="I26" s="829">
        <f>SUM(I27:I29)</f>
        <v>12000</v>
      </c>
      <c r="J26" s="829"/>
      <c r="K26" s="829">
        <f>SUM(K27:K29)</f>
        <v>6000</v>
      </c>
      <c r="L26" s="829">
        <f>SUM(L27:L29)</f>
        <v>6000</v>
      </c>
      <c r="M26" s="829"/>
      <c r="N26" s="829">
        <f>SUM(N27:N29)</f>
        <v>4000</v>
      </c>
      <c r="O26" s="829">
        <f>SUM(O27:O29)</f>
        <v>14700</v>
      </c>
      <c r="P26" s="829"/>
      <c r="Q26" s="829">
        <f>SUM(Q27:Q29)</f>
        <v>9700</v>
      </c>
      <c r="R26" s="829">
        <f>SUM(R27:R29)</f>
        <v>19500</v>
      </c>
      <c r="S26" s="829"/>
      <c r="T26" s="829">
        <f>SUM(T27:T29)</f>
        <v>14000</v>
      </c>
      <c r="U26" s="829">
        <f>SUM(U27:U29)</f>
        <v>52000</v>
      </c>
      <c r="V26" s="829"/>
      <c r="W26" s="829">
        <f>SUM(W27:W29)</f>
        <v>7880</v>
      </c>
      <c r="X26" s="829">
        <f>SUM(X27:X29)</f>
        <v>19000</v>
      </c>
      <c r="Y26" s="829"/>
      <c r="Z26" s="829">
        <f>SUM(Z27:Z29)</f>
        <v>12000</v>
      </c>
      <c r="AA26" s="829">
        <f>SUM(AA27:AA29)</f>
        <v>9300</v>
      </c>
      <c r="AB26" s="829"/>
      <c r="AC26" s="829">
        <f>SUM(AC27:AC29)</f>
        <v>6300</v>
      </c>
      <c r="AD26" s="829">
        <f>SUM(AD27:AD29)</f>
        <v>15000</v>
      </c>
      <c r="AE26" s="829"/>
      <c r="AF26" s="829">
        <f>SUM(AF27:AF29)</f>
        <v>9000</v>
      </c>
      <c r="AG26" s="829">
        <f>SUM(AG27:AG29)</f>
        <v>12000</v>
      </c>
      <c r="AH26" s="829"/>
      <c r="AI26" s="829">
        <f>SUM(AI27:AI29)</f>
        <v>6000</v>
      </c>
      <c r="AJ26" s="829">
        <f>SUM(AJ27:AJ29)</f>
        <v>11000</v>
      </c>
      <c r="AK26" s="829"/>
      <c r="AL26" s="829">
        <f>SUM(AL27:AL29)</f>
        <v>7000</v>
      </c>
      <c r="AM26" s="829">
        <f>SUM(AM27:AM29)</f>
        <v>11500</v>
      </c>
      <c r="AN26" s="829"/>
      <c r="AO26" s="829">
        <f>SUM(AO27:AO29)</f>
        <v>8500</v>
      </c>
    </row>
    <row r="27" spans="1:41" s="249" customFormat="1" ht="20.100000000000001" customHeight="1" x14ac:dyDescent="0.25">
      <c r="A27" s="335" t="s">
        <v>449</v>
      </c>
      <c r="B27" s="257" t="s">
        <v>557</v>
      </c>
      <c r="C27" s="831">
        <f t="shared" ref="C27:C37" si="16">SUM(F27,L27,O27,R27,U27,X27,AA27,AD27,AG27,AJ27,AM27,I27)</f>
        <v>73420</v>
      </c>
      <c r="D27" s="831" t="str">
        <f t="shared" si="15"/>
        <v/>
      </c>
      <c r="E27" s="831">
        <f>SUM(H27,N27,Q27,T27,W27,Z27,AC27,AF27,AI27,AL27,AO27,K27)</f>
        <v>0</v>
      </c>
      <c r="F27" s="831">
        <f>'Thu NSH'!U32</f>
        <v>4800</v>
      </c>
      <c r="G27" s="831">
        <v>0</v>
      </c>
      <c r="H27" s="830">
        <f t="shared" si="2"/>
        <v>0</v>
      </c>
      <c r="I27" s="831">
        <f>'Thu NSH'!AG32</f>
        <v>4000</v>
      </c>
      <c r="J27" s="831">
        <v>0</v>
      </c>
      <c r="K27" s="830">
        <f>I27*J27/100</f>
        <v>0</v>
      </c>
      <c r="L27" s="830">
        <f>'Thu NSH'!AS32</f>
        <v>1000</v>
      </c>
      <c r="M27" s="831">
        <v>0</v>
      </c>
      <c r="N27" s="830">
        <f>L27*M27/100</f>
        <v>0</v>
      </c>
      <c r="O27" s="830">
        <f>'Thu NSH'!BE32</f>
        <v>3000</v>
      </c>
      <c r="P27" s="831">
        <v>0</v>
      </c>
      <c r="Q27" s="830">
        <f>O27*P27/100</f>
        <v>0</v>
      </c>
      <c r="R27" s="830">
        <f>'Thu NSH'!BQ32</f>
        <v>3500</v>
      </c>
      <c r="S27" s="831">
        <v>0</v>
      </c>
      <c r="T27" s="830">
        <f>R27*S27/100</f>
        <v>0</v>
      </c>
      <c r="U27" s="830">
        <f>'Thu NSH'!CC32</f>
        <v>39120</v>
      </c>
      <c r="V27" s="831">
        <v>0</v>
      </c>
      <c r="W27" s="830">
        <f>U27*V27/100</f>
        <v>0</v>
      </c>
      <c r="X27" s="830">
        <f>'Thu NSH'!CO32</f>
        <v>5000</v>
      </c>
      <c r="Y27" s="831">
        <v>0</v>
      </c>
      <c r="Z27" s="830">
        <f>X27*Y27/100</f>
        <v>0</v>
      </c>
      <c r="AA27" s="830">
        <f>'Thu NSH'!DA32</f>
        <v>2000</v>
      </c>
      <c r="AB27" s="831">
        <v>0</v>
      </c>
      <c r="AC27" s="830">
        <f>AA27*AB27/100</f>
        <v>0</v>
      </c>
      <c r="AD27" s="830">
        <f>'Thu NSH'!DM32</f>
        <v>3000</v>
      </c>
      <c r="AE27" s="831">
        <v>0</v>
      </c>
      <c r="AF27" s="830">
        <f>AD27*AE27/100</f>
        <v>0</v>
      </c>
      <c r="AG27" s="830">
        <f>'Thu NSH'!DY32</f>
        <v>3000</v>
      </c>
      <c r="AH27" s="831">
        <v>0</v>
      </c>
      <c r="AI27" s="830">
        <f>AG27*AH27/100</f>
        <v>0</v>
      </c>
      <c r="AJ27" s="830">
        <f>'Thu NSH'!EK32</f>
        <v>3000</v>
      </c>
      <c r="AK27" s="831">
        <v>0</v>
      </c>
      <c r="AL27" s="830">
        <f>AJ27*AK27/100</f>
        <v>0</v>
      </c>
      <c r="AM27" s="830">
        <f>'Thu NSH'!EW32</f>
        <v>2000</v>
      </c>
      <c r="AN27" s="831">
        <v>0</v>
      </c>
      <c r="AO27" s="830">
        <f>AM27*AN27/100</f>
        <v>0</v>
      </c>
    </row>
    <row r="28" spans="1:41" s="249" customFormat="1" ht="20.100000000000001" customHeight="1" x14ac:dyDescent="0.25">
      <c r="A28" s="335" t="s">
        <v>449</v>
      </c>
      <c r="B28" s="257" t="s">
        <v>558</v>
      </c>
      <c r="C28" s="831">
        <f t="shared" si="16"/>
        <v>24200</v>
      </c>
      <c r="D28" s="831" t="str">
        <f t="shared" si="15"/>
        <v/>
      </c>
      <c r="E28" s="831">
        <f>SUM(H28,N28,Q28,T28,W28,Z28,AC28,AF28,AI28,AL28,AO28,K28)</f>
        <v>0</v>
      </c>
      <c r="F28" s="831">
        <f>'Thu NSH'!U33</f>
        <v>1200</v>
      </c>
      <c r="G28" s="831">
        <v>0</v>
      </c>
      <c r="H28" s="830">
        <f t="shared" si="2"/>
        <v>0</v>
      </c>
      <c r="I28" s="831">
        <f>'Thu NSH'!AG33</f>
        <v>2000</v>
      </c>
      <c r="J28" s="831">
        <v>0</v>
      </c>
      <c r="K28" s="830">
        <f>I28*J28/100</f>
        <v>0</v>
      </c>
      <c r="L28" s="830">
        <f>'Thu NSH'!AS33</f>
        <v>1000</v>
      </c>
      <c r="M28" s="831">
        <v>0</v>
      </c>
      <c r="N28" s="830">
        <f>L28*M28/100</f>
        <v>0</v>
      </c>
      <c r="O28" s="830">
        <f>'Thu NSH'!BE33</f>
        <v>2000</v>
      </c>
      <c r="P28" s="831">
        <v>0</v>
      </c>
      <c r="Q28" s="830">
        <f>O28*P28/100</f>
        <v>0</v>
      </c>
      <c r="R28" s="830">
        <f>'Thu NSH'!BQ33</f>
        <v>2000</v>
      </c>
      <c r="S28" s="831">
        <v>0</v>
      </c>
      <c r="T28" s="830">
        <f>R28*S28/100</f>
        <v>0</v>
      </c>
      <c r="U28" s="830">
        <f>'Thu NSH'!CC33</f>
        <v>5000</v>
      </c>
      <c r="V28" s="831">
        <v>0</v>
      </c>
      <c r="W28" s="830">
        <f>U28*V28/100</f>
        <v>0</v>
      </c>
      <c r="X28" s="830">
        <f>'Thu NSH'!CO33</f>
        <v>2000</v>
      </c>
      <c r="Y28" s="831">
        <v>0</v>
      </c>
      <c r="Z28" s="830">
        <f>X28*Y28/100</f>
        <v>0</v>
      </c>
      <c r="AA28" s="830">
        <f>'Thu NSH'!DA33</f>
        <v>1000</v>
      </c>
      <c r="AB28" s="831">
        <v>0</v>
      </c>
      <c r="AC28" s="830">
        <f>AA28*AB28/100</f>
        <v>0</v>
      </c>
      <c r="AD28" s="830">
        <f>'Thu NSH'!DM33</f>
        <v>3000</v>
      </c>
      <c r="AE28" s="831">
        <v>0</v>
      </c>
      <c r="AF28" s="830">
        <f>AD28*AE28/100</f>
        <v>0</v>
      </c>
      <c r="AG28" s="830">
        <f>'Thu NSH'!DY33</f>
        <v>3000</v>
      </c>
      <c r="AH28" s="831">
        <v>0</v>
      </c>
      <c r="AI28" s="830">
        <f>AG28*AH28/100</f>
        <v>0</v>
      </c>
      <c r="AJ28" s="830">
        <f>'Thu NSH'!EK33</f>
        <v>1000</v>
      </c>
      <c r="AK28" s="831">
        <v>0</v>
      </c>
      <c r="AL28" s="830">
        <f>AJ28*AK28/100</f>
        <v>0</v>
      </c>
      <c r="AM28" s="830">
        <f>'Thu NSH'!EW33</f>
        <v>1000</v>
      </c>
      <c r="AN28" s="831">
        <v>0</v>
      </c>
      <c r="AO28" s="830">
        <f>AM28*AN28/100</f>
        <v>0</v>
      </c>
    </row>
    <row r="29" spans="1:41" s="249" customFormat="1" ht="20.100000000000001" customHeight="1" x14ac:dyDescent="0.25">
      <c r="A29" s="335" t="s">
        <v>449</v>
      </c>
      <c r="B29" s="257" t="s">
        <v>559</v>
      </c>
      <c r="C29" s="831">
        <f t="shared" si="16"/>
        <v>104380</v>
      </c>
      <c r="D29" s="831">
        <f t="shared" si="15"/>
        <v>100</v>
      </c>
      <c r="E29" s="831">
        <f>SUM(H29,N29,Q29,T29,W29,Z29,AC29,AF29,AI29,AL29,AO29,K29)</f>
        <v>104380</v>
      </c>
      <c r="F29" s="831">
        <f>'Thu NSH'!U34</f>
        <v>14000</v>
      </c>
      <c r="G29" s="831">
        <v>100</v>
      </c>
      <c r="H29" s="830">
        <f t="shared" si="2"/>
        <v>14000</v>
      </c>
      <c r="I29" s="831">
        <f>'Thu NSH'!AG34</f>
        <v>6000</v>
      </c>
      <c r="J29" s="831">
        <v>100</v>
      </c>
      <c r="K29" s="830">
        <f>I29*J29/100</f>
        <v>6000</v>
      </c>
      <c r="L29" s="830">
        <f>'Thu NSH'!AS34</f>
        <v>4000</v>
      </c>
      <c r="M29" s="831">
        <v>100</v>
      </c>
      <c r="N29" s="830">
        <f>L29*M29/100</f>
        <v>4000</v>
      </c>
      <c r="O29" s="830">
        <f>'Thu NSH'!BE34</f>
        <v>9700</v>
      </c>
      <c r="P29" s="831">
        <v>100</v>
      </c>
      <c r="Q29" s="830">
        <f>O29*P29/100</f>
        <v>9700</v>
      </c>
      <c r="R29" s="830">
        <f>'Thu NSH'!BQ34</f>
        <v>14000</v>
      </c>
      <c r="S29" s="831">
        <v>100</v>
      </c>
      <c r="T29" s="830">
        <f>R29*S29/100</f>
        <v>14000</v>
      </c>
      <c r="U29" s="830">
        <f>'Thu NSH'!CC34</f>
        <v>7880</v>
      </c>
      <c r="V29" s="831">
        <v>100</v>
      </c>
      <c r="W29" s="830">
        <f>U29*V29/100</f>
        <v>7880</v>
      </c>
      <c r="X29" s="830">
        <f>'Thu NSH'!CO34</f>
        <v>12000</v>
      </c>
      <c r="Y29" s="831">
        <v>100</v>
      </c>
      <c r="Z29" s="830">
        <f>X29*Y29/100</f>
        <v>12000</v>
      </c>
      <c r="AA29" s="830">
        <f>'Thu NSH'!DA34</f>
        <v>6300</v>
      </c>
      <c r="AB29" s="831">
        <v>100</v>
      </c>
      <c r="AC29" s="830">
        <f>AA29*AB29/100</f>
        <v>6300</v>
      </c>
      <c r="AD29" s="830">
        <f>'Thu NSH'!DM34</f>
        <v>9000</v>
      </c>
      <c r="AE29" s="831">
        <v>100</v>
      </c>
      <c r="AF29" s="830">
        <f>AD29*AE29/100</f>
        <v>9000</v>
      </c>
      <c r="AG29" s="830">
        <f>'Thu NSH'!DY34</f>
        <v>6000</v>
      </c>
      <c r="AH29" s="831">
        <v>100</v>
      </c>
      <c r="AI29" s="830">
        <f>AG29*AH29/100</f>
        <v>6000</v>
      </c>
      <c r="AJ29" s="830">
        <f>'Thu NSH'!EK34</f>
        <v>7000</v>
      </c>
      <c r="AK29" s="831">
        <v>100</v>
      </c>
      <c r="AL29" s="830">
        <f>AJ29*AK29/100</f>
        <v>7000</v>
      </c>
      <c r="AM29" s="830">
        <f>'Thu NSH'!EW34</f>
        <v>8500</v>
      </c>
      <c r="AN29" s="831">
        <v>100</v>
      </c>
      <c r="AO29" s="830">
        <f>AM29*AN29/100</f>
        <v>8500</v>
      </c>
    </row>
    <row r="30" spans="1:41" s="76" customFormat="1" ht="20.100000000000001" customHeight="1" x14ac:dyDescent="0.25">
      <c r="A30" s="64">
        <v>9</v>
      </c>
      <c r="B30" s="62" t="s">
        <v>293</v>
      </c>
      <c r="C30" s="829">
        <f t="shared" si="16"/>
        <v>3500</v>
      </c>
      <c r="D30" s="830">
        <f>IF(E30=0,"",E30/C30*100)</f>
        <v>100</v>
      </c>
      <c r="E30" s="829">
        <f t="shared" ref="E30:E43" si="17">SUM(H30,N30,Q30,T30,W30,Z30,AC30,AF30,AI30,AL30,AO30,K30)</f>
        <v>3500</v>
      </c>
      <c r="F30" s="829">
        <f>'Thu NSH'!U35</f>
        <v>600</v>
      </c>
      <c r="G30" s="829">
        <v>100</v>
      </c>
      <c r="H30" s="829">
        <f>F30*G30/100</f>
        <v>600</v>
      </c>
      <c r="I30" s="829">
        <f>'Thu NSH'!AG35</f>
        <v>280</v>
      </c>
      <c r="J30" s="829">
        <v>100</v>
      </c>
      <c r="K30" s="829">
        <f>I30*J30/100</f>
        <v>280</v>
      </c>
      <c r="L30" s="829">
        <f>'Thu NSH'!AS35</f>
        <v>320</v>
      </c>
      <c r="M30" s="829">
        <v>100</v>
      </c>
      <c r="N30" s="829">
        <f>L30*M30/100</f>
        <v>320</v>
      </c>
      <c r="O30" s="829">
        <f>'Thu NSH'!BE35</f>
        <v>200</v>
      </c>
      <c r="P30" s="829">
        <v>100</v>
      </c>
      <c r="Q30" s="829">
        <f>O30*P30/100</f>
        <v>200</v>
      </c>
      <c r="R30" s="829">
        <f>'Thu NSH'!BQ35</f>
        <v>280</v>
      </c>
      <c r="S30" s="829">
        <v>100</v>
      </c>
      <c r="T30" s="829">
        <f>R30*S30/100</f>
        <v>280</v>
      </c>
      <c r="U30" s="829">
        <f>'Thu NSH'!CC35</f>
        <v>220</v>
      </c>
      <c r="V30" s="829">
        <v>100</v>
      </c>
      <c r="W30" s="829">
        <f>U30*V30/100</f>
        <v>220</v>
      </c>
      <c r="X30" s="829">
        <f>'Thu NSH'!CO35</f>
        <v>300</v>
      </c>
      <c r="Y30" s="829">
        <v>100</v>
      </c>
      <c r="Z30" s="829">
        <f>X30*Y30/100</f>
        <v>300</v>
      </c>
      <c r="AA30" s="829">
        <f>'Thu NSH'!DA35</f>
        <v>300</v>
      </c>
      <c r="AB30" s="829">
        <v>100</v>
      </c>
      <c r="AC30" s="829">
        <f>AA30*AB30/100</f>
        <v>300</v>
      </c>
      <c r="AD30" s="829">
        <f>'Thu NSH'!DM35</f>
        <v>330</v>
      </c>
      <c r="AE30" s="829">
        <v>100</v>
      </c>
      <c r="AF30" s="829">
        <f>AD30*AE30/100</f>
        <v>330</v>
      </c>
      <c r="AG30" s="829">
        <f>'Thu NSH'!DY35</f>
        <v>250</v>
      </c>
      <c r="AH30" s="829">
        <v>100</v>
      </c>
      <c r="AI30" s="829">
        <f>AG30*AH30/100</f>
        <v>250</v>
      </c>
      <c r="AJ30" s="829">
        <f>'Thu NSH'!EK35</f>
        <v>260</v>
      </c>
      <c r="AK30" s="829">
        <v>100</v>
      </c>
      <c r="AL30" s="829">
        <f>AJ30*AK30/100</f>
        <v>260</v>
      </c>
      <c r="AM30" s="829">
        <f>'Thu NSH'!EW35</f>
        <v>160</v>
      </c>
      <c r="AN30" s="829">
        <v>100</v>
      </c>
      <c r="AO30" s="829">
        <f>AM30*AN30/100</f>
        <v>160</v>
      </c>
    </row>
    <row r="31" spans="1:41" s="74" customFormat="1" ht="20.100000000000001" customHeight="1" x14ac:dyDescent="0.25">
      <c r="A31" s="64" t="s">
        <v>294</v>
      </c>
      <c r="B31" s="62" t="s">
        <v>457</v>
      </c>
      <c r="C31" s="829">
        <f t="shared" si="16"/>
        <v>4119360</v>
      </c>
      <c r="D31" s="830"/>
      <c r="E31" s="829">
        <f t="shared" si="17"/>
        <v>4119360</v>
      </c>
      <c r="F31" s="829">
        <f>F32+F33</f>
        <v>396400</v>
      </c>
      <c r="G31" s="829"/>
      <c r="H31" s="829">
        <f t="shared" ref="H31:H39" si="18">F31</f>
        <v>396400</v>
      </c>
      <c r="I31" s="829">
        <f>I32+I33</f>
        <v>218637</v>
      </c>
      <c r="J31" s="829"/>
      <c r="K31" s="829">
        <f t="shared" ref="K31:K39" si="19">I31</f>
        <v>218637</v>
      </c>
      <c r="L31" s="829">
        <f>L32+L33</f>
        <v>362476</v>
      </c>
      <c r="M31" s="829"/>
      <c r="N31" s="829">
        <f t="shared" ref="N31:N39" si="20">L31</f>
        <v>362476</v>
      </c>
      <c r="O31" s="829">
        <f>O32+O33</f>
        <v>338617</v>
      </c>
      <c r="P31" s="829"/>
      <c r="Q31" s="829">
        <f t="shared" ref="Q31:Q39" si="21">O31</f>
        <v>338617</v>
      </c>
      <c r="R31" s="829">
        <f>R32+R33</f>
        <v>406451</v>
      </c>
      <c r="S31" s="829"/>
      <c r="T31" s="829">
        <f t="shared" ref="T31:T39" si="22">R31</f>
        <v>406451</v>
      </c>
      <c r="U31" s="829">
        <f>U32+U33</f>
        <v>124197</v>
      </c>
      <c r="V31" s="829"/>
      <c r="W31" s="829">
        <f t="shared" ref="W31:W39" si="23">U31</f>
        <v>124197</v>
      </c>
      <c r="X31" s="829">
        <f>X32+X33</f>
        <v>514061</v>
      </c>
      <c r="Y31" s="829"/>
      <c r="Z31" s="829">
        <f t="shared" ref="Z31:Z39" si="24">X31</f>
        <v>514061</v>
      </c>
      <c r="AA31" s="829">
        <f>AA32+AA33</f>
        <v>448191</v>
      </c>
      <c r="AB31" s="829"/>
      <c r="AC31" s="829">
        <f t="shared" ref="AC31:AC39" si="25">AA31</f>
        <v>448191</v>
      </c>
      <c r="AD31" s="829">
        <f>AD32+AD33</f>
        <v>359439</v>
      </c>
      <c r="AE31" s="829"/>
      <c r="AF31" s="829">
        <f t="shared" ref="AF31:AF39" si="26">AD31</f>
        <v>359439</v>
      </c>
      <c r="AG31" s="829">
        <f>AG32+AG33</f>
        <v>372155</v>
      </c>
      <c r="AH31" s="829"/>
      <c r="AI31" s="829">
        <f t="shared" ref="AI31:AI39" si="27">AG31</f>
        <v>372155</v>
      </c>
      <c r="AJ31" s="829">
        <f>AJ32+AJ33</f>
        <v>230085</v>
      </c>
      <c r="AK31" s="829"/>
      <c r="AL31" s="829">
        <f t="shared" ref="AL31:AL39" si="28">AJ31</f>
        <v>230085</v>
      </c>
      <c r="AM31" s="829">
        <f>AM32+AM33</f>
        <v>348651</v>
      </c>
      <c r="AN31" s="829"/>
      <c r="AO31" s="829">
        <f t="shared" ref="AO31:AO39" si="29">AM31</f>
        <v>348651</v>
      </c>
    </row>
    <row r="32" spans="1:41" s="76" customFormat="1" ht="20.100000000000001" customHeight="1" x14ac:dyDescent="0.25">
      <c r="A32" s="64">
        <v>1</v>
      </c>
      <c r="B32" s="62" t="s">
        <v>458</v>
      </c>
      <c r="C32" s="829">
        <f t="shared" si="16"/>
        <v>3464851</v>
      </c>
      <c r="D32" s="829"/>
      <c r="E32" s="829">
        <f t="shared" si="17"/>
        <v>3464851</v>
      </c>
      <c r="F32" s="829">
        <f>'Chi NSH'!P9</f>
        <v>344881</v>
      </c>
      <c r="G32" s="829"/>
      <c r="H32" s="829">
        <f t="shared" si="18"/>
        <v>344881</v>
      </c>
      <c r="I32" s="829">
        <f>'Chi NSH'!X9</f>
        <v>191415</v>
      </c>
      <c r="J32" s="829"/>
      <c r="K32" s="829">
        <f t="shared" si="19"/>
        <v>191415</v>
      </c>
      <c r="L32" s="829">
        <f>'Chi NSH'!AF9</f>
        <v>305519</v>
      </c>
      <c r="M32" s="829"/>
      <c r="N32" s="829">
        <f t="shared" si="20"/>
        <v>305519</v>
      </c>
      <c r="O32" s="829">
        <f>'Chi NSH'!AN9</f>
        <v>260487</v>
      </c>
      <c r="P32" s="829"/>
      <c r="Q32" s="829">
        <f t="shared" si="21"/>
        <v>260487</v>
      </c>
      <c r="R32" s="829">
        <f>'Chi NSH'!AV9</f>
        <v>334903</v>
      </c>
      <c r="S32" s="829"/>
      <c r="T32" s="829">
        <f t="shared" si="22"/>
        <v>334903</v>
      </c>
      <c r="U32" s="829">
        <f>'Chi NSH'!BD9</f>
        <v>116197</v>
      </c>
      <c r="V32" s="829"/>
      <c r="W32" s="829">
        <f t="shared" si="23"/>
        <v>116197</v>
      </c>
      <c r="X32" s="829">
        <f>'Chi NSH'!BL9</f>
        <v>425722</v>
      </c>
      <c r="Y32" s="829"/>
      <c r="Z32" s="829">
        <f t="shared" si="24"/>
        <v>425722</v>
      </c>
      <c r="AA32" s="829">
        <f>'Chi NSH'!BT9</f>
        <v>363769</v>
      </c>
      <c r="AB32" s="829"/>
      <c r="AC32" s="829">
        <f t="shared" si="25"/>
        <v>363769</v>
      </c>
      <c r="AD32" s="829">
        <f>'Chi NSH'!CB9</f>
        <v>343539</v>
      </c>
      <c r="AE32" s="829"/>
      <c r="AF32" s="829">
        <f t="shared" si="26"/>
        <v>343539</v>
      </c>
      <c r="AG32" s="829">
        <f>'Chi NSH'!CJ9</f>
        <v>323859</v>
      </c>
      <c r="AH32" s="829"/>
      <c r="AI32" s="829">
        <f t="shared" si="27"/>
        <v>323859</v>
      </c>
      <c r="AJ32" s="829">
        <f>'Chi NSH'!CR9</f>
        <v>159099</v>
      </c>
      <c r="AK32" s="829"/>
      <c r="AL32" s="829">
        <f t="shared" si="28"/>
        <v>159099</v>
      </c>
      <c r="AM32" s="829">
        <f>'Chi NSH'!CZ9</f>
        <v>295461</v>
      </c>
      <c r="AN32" s="829"/>
      <c r="AO32" s="829">
        <f t="shared" si="29"/>
        <v>295461</v>
      </c>
    </row>
    <row r="33" spans="1:41" s="76" customFormat="1" ht="20.100000000000001" customHeight="1" x14ac:dyDescent="0.25">
      <c r="A33" s="64">
        <v>2</v>
      </c>
      <c r="B33" s="62" t="s">
        <v>459</v>
      </c>
      <c r="C33" s="829">
        <f>SUM(F33,L33,O33,R33,U33,X33,AA33,AD33,AG33,AJ33,AM33,I33)</f>
        <v>654509</v>
      </c>
      <c r="D33" s="829"/>
      <c r="E33" s="829">
        <f t="shared" si="17"/>
        <v>654509</v>
      </c>
      <c r="F33" s="829">
        <f>SUM(F34:F41)</f>
        <v>51519</v>
      </c>
      <c r="G33" s="829"/>
      <c r="H33" s="829">
        <f t="shared" si="18"/>
        <v>51519</v>
      </c>
      <c r="I33" s="829">
        <f>SUM(I34:I41)</f>
        <v>27222</v>
      </c>
      <c r="J33" s="829"/>
      <c r="K33" s="829">
        <f t="shared" si="19"/>
        <v>27222</v>
      </c>
      <c r="L33" s="829">
        <f>SUM(L34:L41)</f>
        <v>56957</v>
      </c>
      <c r="M33" s="829"/>
      <c r="N33" s="829">
        <f t="shared" si="20"/>
        <v>56957</v>
      </c>
      <c r="O33" s="829">
        <f>SUM(O34:O41)</f>
        <v>78130</v>
      </c>
      <c r="P33" s="829"/>
      <c r="Q33" s="829">
        <f t="shared" si="21"/>
        <v>78130</v>
      </c>
      <c r="R33" s="829">
        <f>SUM(R34:R41)</f>
        <v>71548</v>
      </c>
      <c r="S33" s="829"/>
      <c r="T33" s="829">
        <f t="shared" si="22"/>
        <v>71548</v>
      </c>
      <c r="U33" s="829">
        <f>SUM(U34:U41)</f>
        <v>8000</v>
      </c>
      <c r="V33" s="829"/>
      <c r="W33" s="829">
        <f t="shared" si="23"/>
        <v>8000</v>
      </c>
      <c r="X33" s="829">
        <f>SUM(X34:X41)</f>
        <v>88339</v>
      </c>
      <c r="Y33" s="829"/>
      <c r="Z33" s="829">
        <f t="shared" si="24"/>
        <v>88339</v>
      </c>
      <c r="AA33" s="829">
        <f>SUM(AA34:AA41)</f>
        <v>84422</v>
      </c>
      <c r="AB33" s="829"/>
      <c r="AC33" s="829">
        <f t="shared" si="25"/>
        <v>84422</v>
      </c>
      <c r="AD33" s="829">
        <f>SUM(AD34:AD41)</f>
        <v>15900</v>
      </c>
      <c r="AE33" s="829"/>
      <c r="AF33" s="829">
        <f t="shared" si="26"/>
        <v>15900</v>
      </c>
      <c r="AG33" s="829">
        <f>SUM(AG34:AG41)</f>
        <v>48296</v>
      </c>
      <c r="AH33" s="829"/>
      <c r="AI33" s="829">
        <f t="shared" si="27"/>
        <v>48296</v>
      </c>
      <c r="AJ33" s="829">
        <f>SUM(AJ34:AJ41)</f>
        <v>70986</v>
      </c>
      <c r="AK33" s="829"/>
      <c r="AL33" s="829">
        <f t="shared" si="28"/>
        <v>70986</v>
      </c>
      <c r="AM33" s="829">
        <f>SUM(AM34:AM41)</f>
        <v>53190</v>
      </c>
      <c r="AN33" s="829"/>
      <c r="AO33" s="829">
        <f t="shared" si="29"/>
        <v>53190</v>
      </c>
    </row>
    <row r="34" spans="1:41" ht="20.100000000000001" customHeight="1" x14ac:dyDescent="0.25">
      <c r="A34" s="75" t="s">
        <v>449</v>
      </c>
      <c r="B34" s="272" t="s">
        <v>506</v>
      </c>
      <c r="C34" s="830">
        <f t="shared" si="16"/>
        <v>317798</v>
      </c>
      <c r="D34" s="830"/>
      <c r="E34" s="830">
        <f t="shared" si="17"/>
        <v>317798</v>
      </c>
      <c r="F34" s="830">
        <f>'Chi NSH'!P11</f>
        <v>18800</v>
      </c>
      <c r="G34" s="830"/>
      <c r="H34" s="830">
        <f t="shared" si="18"/>
        <v>18800</v>
      </c>
      <c r="I34" s="830">
        <f>'Chi NSH'!X11</f>
        <v>13300</v>
      </c>
      <c r="J34" s="830"/>
      <c r="K34" s="830">
        <f t="shared" si="19"/>
        <v>13300</v>
      </c>
      <c r="L34" s="830">
        <f>'Chi NSH'!AF11</f>
        <v>34100</v>
      </c>
      <c r="M34" s="830"/>
      <c r="N34" s="830">
        <f t="shared" si="20"/>
        <v>34100</v>
      </c>
      <c r="O34" s="830">
        <f>'Chi NSH'!AN11</f>
        <v>45900</v>
      </c>
      <c r="P34" s="830"/>
      <c r="Q34" s="830">
        <f t="shared" si="21"/>
        <v>45900</v>
      </c>
      <c r="R34" s="830">
        <f>'Chi NSH'!AV11</f>
        <v>32298</v>
      </c>
      <c r="S34" s="830"/>
      <c r="T34" s="830">
        <f t="shared" si="22"/>
        <v>32298</v>
      </c>
      <c r="U34" s="830">
        <f>'Chi NSH'!BD11</f>
        <v>8000</v>
      </c>
      <c r="V34" s="830"/>
      <c r="W34" s="830">
        <f t="shared" si="23"/>
        <v>8000</v>
      </c>
      <c r="X34" s="830">
        <f>'Chi NSH'!BL11</f>
        <v>47400</v>
      </c>
      <c r="Y34" s="830"/>
      <c r="Z34" s="830">
        <f t="shared" si="24"/>
        <v>47400</v>
      </c>
      <c r="AA34" s="830">
        <f>'Chi NSH'!BT11</f>
        <v>61600</v>
      </c>
      <c r="AB34" s="830"/>
      <c r="AC34" s="830">
        <f t="shared" si="25"/>
        <v>61600</v>
      </c>
      <c r="AD34" s="830">
        <f>'Chi NSH'!CB11</f>
        <v>15900</v>
      </c>
      <c r="AE34" s="830"/>
      <c r="AF34" s="830">
        <f t="shared" si="26"/>
        <v>15900</v>
      </c>
      <c r="AG34" s="830">
        <f>'Chi NSH'!CJ11</f>
        <v>18300</v>
      </c>
      <c r="AH34" s="830"/>
      <c r="AI34" s="830">
        <f t="shared" si="27"/>
        <v>18300</v>
      </c>
      <c r="AJ34" s="830">
        <f>'Chi NSH'!CR11</f>
        <v>4500</v>
      </c>
      <c r="AK34" s="830"/>
      <c r="AL34" s="830">
        <f t="shared" si="28"/>
        <v>4500</v>
      </c>
      <c r="AM34" s="830">
        <f>'Chi NSH'!CZ11</f>
        <v>17700</v>
      </c>
      <c r="AN34" s="830"/>
      <c r="AO34" s="830">
        <f t="shared" si="29"/>
        <v>17700</v>
      </c>
    </row>
    <row r="35" spans="1:41" ht="20.100000000000001" customHeight="1" x14ac:dyDescent="0.25">
      <c r="A35" s="75" t="s">
        <v>449</v>
      </c>
      <c r="B35" s="397" t="s">
        <v>1050</v>
      </c>
      <c r="C35" s="830">
        <f t="shared" si="16"/>
        <v>195366</v>
      </c>
      <c r="D35" s="830"/>
      <c r="E35" s="830">
        <f>SUM(H35,N35,Q35,T35,W35,Z35,AC35,AF35,AI35,AL35,AO35,K35)</f>
        <v>195366</v>
      </c>
      <c r="F35" s="830">
        <f>'Chi NSH'!P12</f>
        <v>21590</v>
      </c>
      <c r="G35" s="830"/>
      <c r="H35" s="830">
        <f t="shared" si="18"/>
        <v>21590</v>
      </c>
      <c r="I35" s="830">
        <f>'Chi NSH'!X12</f>
        <v>11581</v>
      </c>
      <c r="J35" s="830"/>
      <c r="K35" s="830">
        <f t="shared" si="19"/>
        <v>11581</v>
      </c>
      <c r="L35" s="830">
        <f>'Chi NSH'!AF12</f>
        <v>18891</v>
      </c>
      <c r="M35" s="830"/>
      <c r="N35" s="830">
        <f t="shared" si="20"/>
        <v>18891</v>
      </c>
      <c r="O35" s="830">
        <f>'Chi NSH'!AN12</f>
        <v>23905</v>
      </c>
      <c r="P35" s="830"/>
      <c r="Q35" s="830">
        <f t="shared" si="21"/>
        <v>23905</v>
      </c>
      <c r="R35" s="830">
        <f>'Chi NSH'!AV12</f>
        <v>24148</v>
      </c>
      <c r="S35" s="830"/>
      <c r="T35" s="830">
        <f t="shared" si="22"/>
        <v>24148</v>
      </c>
      <c r="U35" s="830">
        <f>'Chi NSH'!BD12</f>
        <v>0</v>
      </c>
      <c r="V35" s="830"/>
      <c r="W35" s="830">
        <f t="shared" si="23"/>
        <v>0</v>
      </c>
      <c r="X35" s="830">
        <f>'Chi NSH'!BL12</f>
        <v>28190</v>
      </c>
      <c r="Y35" s="830"/>
      <c r="Z35" s="830">
        <f t="shared" si="24"/>
        <v>28190</v>
      </c>
      <c r="AA35" s="830">
        <f>'Chi NSH'!BT12</f>
        <v>14701</v>
      </c>
      <c r="AB35" s="830"/>
      <c r="AC35" s="830">
        <f t="shared" si="25"/>
        <v>14701</v>
      </c>
      <c r="AD35" s="830">
        <f>'Chi NSH'!CB12</f>
        <v>0</v>
      </c>
      <c r="AE35" s="830"/>
      <c r="AF35" s="830">
        <f t="shared" si="26"/>
        <v>0</v>
      </c>
      <c r="AG35" s="830">
        <f>'Chi NSH'!CJ12</f>
        <v>15164</v>
      </c>
      <c r="AH35" s="830"/>
      <c r="AI35" s="830">
        <f t="shared" si="27"/>
        <v>15164</v>
      </c>
      <c r="AJ35" s="830">
        <f>'Chi NSH'!CR12</f>
        <v>16341</v>
      </c>
      <c r="AK35" s="830"/>
      <c r="AL35" s="830">
        <f t="shared" si="28"/>
        <v>16341</v>
      </c>
      <c r="AM35" s="830">
        <f>'Chi NSH'!CZ12</f>
        <v>20855</v>
      </c>
      <c r="AN35" s="830"/>
      <c r="AO35" s="830">
        <f t="shared" si="29"/>
        <v>20855</v>
      </c>
    </row>
    <row r="36" spans="1:41" x14ac:dyDescent="0.25">
      <c r="A36" s="295" t="s">
        <v>449</v>
      </c>
      <c r="B36" s="397" t="s">
        <v>613</v>
      </c>
      <c r="C36" s="830">
        <f t="shared" si="16"/>
        <v>5840</v>
      </c>
      <c r="D36" s="830"/>
      <c r="E36" s="830">
        <f>SUM(H36,N36,Q36,T36,W36,Z36,AC36,AF36,AI36,AL36,AO36,K36)</f>
        <v>5840</v>
      </c>
      <c r="F36" s="830">
        <f>'Chi NSH'!P17</f>
        <v>0</v>
      </c>
      <c r="G36" s="830"/>
      <c r="H36" s="830">
        <f t="shared" si="18"/>
        <v>0</v>
      </c>
      <c r="I36" s="830">
        <f>'Chi NSH'!X17</f>
        <v>0</v>
      </c>
      <c r="J36" s="830"/>
      <c r="K36" s="830">
        <f t="shared" si="19"/>
        <v>0</v>
      </c>
      <c r="L36" s="830">
        <f>'Chi NSH'!AF17</f>
        <v>0</v>
      </c>
      <c r="M36" s="830"/>
      <c r="N36" s="830">
        <f t="shared" si="20"/>
        <v>0</v>
      </c>
      <c r="O36" s="830">
        <f>'Chi NSH'!AN17</f>
        <v>685</v>
      </c>
      <c r="P36" s="830"/>
      <c r="Q36" s="830">
        <f t="shared" si="21"/>
        <v>685</v>
      </c>
      <c r="R36" s="830">
        <f>'Chi NSH'!AV17</f>
        <v>0</v>
      </c>
      <c r="S36" s="830"/>
      <c r="T36" s="830">
        <f t="shared" si="22"/>
        <v>0</v>
      </c>
      <c r="U36" s="830">
        <f>'Chi NSH'!BD17</f>
        <v>0</v>
      </c>
      <c r="V36" s="830"/>
      <c r="W36" s="830">
        <f t="shared" si="23"/>
        <v>0</v>
      </c>
      <c r="X36" s="830">
        <f>'Chi NSH'!BL17</f>
        <v>0</v>
      </c>
      <c r="Y36" s="830"/>
      <c r="Z36" s="830">
        <f t="shared" si="24"/>
        <v>0</v>
      </c>
      <c r="AA36" s="830">
        <f>'Chi NSH'!BT17</f>
        <v>0</v>
      </c>
      <c r="AB36" s="830"/>
      <c r="AC36" s="830">
        <f t="shared" si="25"/>
        <v>0</v>
      </c>
      <c r="AD36" s="830">
        <f>'Chi NSH'!CB17</f>
        <v>0</v>
      </c>
      <c r="AE36" s="830"/>
      <c r="AF36" s="830">
        <f t="shared" si="26"/>
        <v>0</v>
      </c>
      <c r="AG36" s="830">
        <f>'Chi NSH'!CJ17</f>
        <v>0</v>
      </c>
      <c r="AH36" s="830"/>
      <c r="AI36" s="830">
        <f t="shared" si="27"/>
        <v>0</v>
      </c>
      <c r="AJ36" s="830">
        <f>'Chi NSH'!CR17</f>
        <v>5155</v>
      </c>
      <c r="AK36" s="830"/>
      <c r="AL36" s="830">
        <f t="shared" si="28"/>
        <v>5155</v>
      </c>
      <c r="AM36" s="830">
        <f>'Chi NSH'!CZ17</f>
        <v>0</v>
      </c>
      <c r="AN36" s="830"/>
      <c r="AO36" s="830">
        <f t="shared" si="29"/>
        <v>0</v>
      </c>
    </row>
    <row r="37" spans="1:41" ht="20.100000000000001" customHeight="1" x14ac:dyDescent="0.25">
      <c r="A37" s="295" t="s">
        <v>449</v>
      </c>
      <c r="B37" s="397" t="s">
        <v>615</v>
      </c>
      <c r="C37" s="830">
        <f t="shared" si="16"/>
        <v>91257</v>
      </c>
      <c r="D37" s="830"/>
      <c r="E37" s="830">
        <f>SUM(H37,N37,Q37,T37,W37,Z37,AC37,AF37,AI37,AL37,AO37,K37)</f>
        <v>91257</v>
      </c>
      <c r="F37" s="830">
        <f>'Chi NSH'!P15</f>
        <v>10117</v>
      </c>
      <c r="G37" s="830"/>
      <c r="H37" s="830">
        <f t="shared" si="18"/>
        <v>10117</v>
      </c>
      <c r="I37" s="830">
        <f>'Chi NSH'!X15</f>
        <v>1713</v>
      </c>
      <c r="J37" s="830"/>
      <c r="K37" s="830">
        <f t="shared" si="19"/>
        <v>1713</v>
      </c>
      <c r="L37" s="830">
        <f>'Chi NSH'!AF15</f>
        <v>3160</v>
      </c>
      <c r="M37" s="830"/>
      <c r="N37" s="830">
        <f t="shared" si="20"/>
        <v>3160</v>
      </c>
      <c r="O37" s="830">
        <f>'Chi NSH'!AN15</f>
        <v>6544</v>
      </c>
      <c r="P37" s="830"/>
      <c r="Q37" s="830">
        <f t="shared" si="21"/>
        <v>6544</v>
      </c>
      <c r="R37" s="830">
        <f>'Chi NSH'!AV15</f>
        <v>13928</v>
      </c>
      <c r="S37" s="830"/>
      <c r="T37" s="830">
        <f t="shared" si="22"/>
        <v>13928</v>
      </c>
      <c r="U37" s="830">
        <f>'Chi NSH'!BD15</f>
        <v>0</v>
      </c>
      <c r="V37" s="830"/>
      <c r="W37" s="830">
        <f t="shared" si="23"/>
        <v>0</v>
      </c>
      <c r="X37" s="830">
        <f>'Chi NSH'!BL15</f>
        <v>11105</v>
      </c>
      <c r="Y37" s="830"/>
      <c r="Z37" s="830">
        <f t="shared" si="24"/>
        <v>11105</v>
      </c>
      <c r="AA37" s="830">
        <f>'Chi NSH'!BT15</f>
        <v>6961</v>
      </c>
      <c r="AB37" s="830"/>
      <c r="AC37" s="830">
        <f t="shared" si="25"/>
        <v>6961</v>
      </c>
      <c r="AD37" s="830">
        <f>'Chi NSH'!CB15</f>
        <v>0</v>
      </c>
      <c r="AE37" s="830"/>
      <c r="AF37" s="830">
        <f t="shared" si="26"/>
        <v>0</v>
      </c>
      <c r="AG37" s="830">
        <f>'Chi NSH'!CJ15</f>
        <v>13744</v>
      </c>
      <c r="AH37" s="830"/>
      <c r="AI37" s="830">
        <f t="shared" si="27"/>
        <v>13744</v>
      </c>
      <c r="AJ37" s="830">
        <f>'Chi NSH'!CR15</f>
        <v>10446</v>
      </c>
      <c r="AK37" s="830"/>
      <c r="AL37" s="830">
        <f t="shared" si="28"/>
        <v>10446</v>
      </c>
      <c r="AM37" s="830">
        <f>'Chi NSH'!CZ15</f>
        <v>13539</v>
      </c>
      <c r="AN37" s="830"/>
      <c r="AO37" s="830">
        <f t="shared" si="29"/>
        <v>13539</v>
      </c>
    </row>
    <row r="38" spans="1:41" ht="20.100000000000001" customHeight="1" x14ac:dyDescent="0.25">
      <c r="A38" s="295" t="s">
        <v>449</v>
      </c>
      <c r="B38" s="272" t="s">
        <v>1048</v>
      </c>
      <c r="C38" s="830">
        <f>SUM(F38,L38,O38,R38,U38,X38,AA38,AD38,AG38,AJ38,AM38,I38)</f>
        <v>33750</v>
      </c>
      <c r="D38" s="830"/>
      <c r="E38" s="830">
        <f>SUM(H38,N38,Q38,T38,W38,Z38,AC38,AF38,AI38,AL38,AO38,K38)</f>
        <v>33750</v>
      </c>
      <c r="F38" s="830">
        <f>'Chi NSH'!P10</f>
        <v>0</v>
      </c>
      <c r="G38" s="830"/>
      <c r="H38" s="830">
        <f t="shared" si="18"/>
        <v>0</v>
      </c>
      <c r="I38" s="830">
        <f>'Chi NSH'!X10</f>
        <v>0</v>
      </c>
      <c r="J38" s="830"/>
      <c r="K38" s="830">
        <f t="shared" si="19"/>
        <v>0</v>
      </c>
      <c r="L38" s="830">
        <f>'Chi NSH'!AF10</f>
        <v>0</v>
      </c>
      <c r="M38" s="830"/>
      <c r="N38" s="830">
        <f t="shared" si="20"/>
        <v>0</v>
      </c>
      <c r="O38" s="830">
        <f>'Chi NSH'!AN10</f>
        <v>0</v>
      </c>
      <c r="P38" s="830"/>
      <c r="Q38" s="830">
        <f t="shared" si="21"/>
        <v>0</v>
      </c>
      <c r="R38" s="830">
        <f>'Chi NSH'!AV10</f>
        <v>0</v>
      </c>
      <c r="S38" s="830"/>
      <c r="T38" s="830">
        <f t="shared" si="22"/>
        <v>0</v>
      </c>
      <c r="U38" s="830">
        <f>'Chi NSH'!BD10</f>
        <v>0</v>
      </c>
      <c r="V38" s="830"/>
      <c r="W38" s="830">
        <f t="shared" si="23"/>
        <v>0</v>
      </c>
      <c r="X38" s="830">
        <f>'Chi NSH'!BL10</f>
        <v>0</v>
      </c>
      <c r="Y38" s="830"/>
      <c r="Z38" s="830">
        <f t="shared" si="24"/>
        <v>0</v>
      </c>
      <c r="AA38" s="830">
        <f>'Chi NSH'!BT10</f>
        <v>0</v>
      </c>
      <c r="AB38" s="830"/>
      <c r="AC38" s="830">
        <f t="shared" si="25"/>
        <v>0</v>
      </c>
      <c r="AD38" s="830">
        <f>'Chi NSH'!CB10</f>
        <v>0</v>
      </c>
      <c r="AE38" s="830"/>
      <c r="AF38" s="830">
        <f t="shared" si="26"/>
        <v>0</v>
      </c>
      <c r="AG38" s="830">
        <f>'Chi NSH'!CJ10</f>
        <v>0</v>
      </c>
      <c r="AH38" s="830"/>
      <c r="AI38" s="830">
        <f t="shared" si="27"/>
        <v>0</v>
      </c>
      <c r="AJ38" s="830">
        <f>'Chi NSH'!CR10</f>
        <v>33750</v>
      </c>
      <c r="AK38" s="830"/>
      <c r="AL38" s="830">
        <f t="shared" si="28"/>
        <v>33750</v>
      </c>
      <c r="AM38" s="830">
        <f>'Chi NSH'!CZ10</f>
        <v>0</v>
      </c>
      <c r="AN38" s="830"/>
      <c r="AO38" s="830">
        <f t="shared" si="29"/>
        <v>0</v>
      </c>
    </row>
    <row r="39" spans="1:41" ht="20.100000000000001" customHeight="1" x14ac:dyDescent="0.25">
      <c r="A39" s="295" t="s">
        <v>449</v>
      </c>
      <c r="B39" s="397" t="s">
        <v>1051</v>
      </c>
      <c r="C39" s="830">
        <f>SUM(F39,L39,O39,R39,U39,X39,AA39,AD39,AG39,AJ39,AM39,I39)</f>
        <v>10498</v>
      </c>
      <c r="D39" s="830"/>
      <c r="E39" s="830">
        <f>SUM(H39,N39,Q39,T39,W39,Z39,AC39,AF39,AI39,AL39,AO39,K39)</f>
        <v>10498</v>
      </c>
      <c r="F39" s="830">
        <f>'Chi NSH'!P18</f>
        <v>1012</v>
      </c>
      <c r="G39" s="830"/>
      <c r="H39" s="830">
        <f t="shared" si="18"/>
        <v>1012</v>
      </c>
      <c r="I39" s="830">
        <f>'Chi NSH'!X18</f>
        <v>628</v>
      </c>
      <c r="J39" s="830"/>
      <c r="K39" s="830">
        <f t="shared" si="19"/>
        <v>628</v>
      </c>
      <c r="L39" s="830">
        <f>'Chi NSH'!AF18</f>
        <v>806</v>
      </c>
      <c r="M39" s="830"/>
      <c r="N39" s="830">
        <f t="shared" si="20"/>
        <v>806</v>
      </c>
      <c r="O39" s="830">
        <f>'Chi NSH'!AN18</f>
        <v>1096</v>
      </c>
      <c r="P39" s="830"/>
      <c r="Q39" s="830">
        <f t="shared" si="21"/>
        <v>1096</v>
      </c>
      <c r="R39" s="830">
        <f>'Chi NSH'!AV18</f>
        <v>1174</v>
      </c>
      <c r="S39" s="830"/>
      <c r="T39" s="830">
        <f t="shared" si="22"/>
        <v>1174</v>
      </c>
      <c r="U39" s="830">
        <f>'Chi NSH'!BD18</f>
        <v>0</v>
      </c>
      <c r="V39" s="830"/>
      <c r="W39" s="830">
        <f t="shared" si="23"/>
        <v>0</v>
      </c>
      <c r="X39" s="830">
        <f>'Chi NSH'!BL18</f>
        <v>1644</v>
      </c>
      <c r="Y39" s="830"/>
      <c r="Z39" s="830">
        <f t="shared" si="24"/>
        <v>1644</v>
      </c>
      <c r="AA39" s="830">
        <f>'Chi NSH'!BT18</f>
        <v>1160</v>
      </c>
      <c r="AB39" s="830"/>
      <c r="AC39" s="830">
        <f t="shared" si="25"/>
        <v>1160</v>
      </c>
      <c r="AD39" s="830">
        <f>'Chi NSH'!CB18</f>
        <v>0</v>
      </c>
      <c r="AE39" s="830"/>
      <c r="AF39" s="830">
        <f t="shared" si="26"/>
        <v>0</v>
      </c>
      <c r="AG39" s="830">
        <f>'Chi NSH'!CJ18</f>
        <v>1088</v>
      </c>
      <c r="AH39" s="830"/>
      <c r="AI39" s="830">
        <f t="shared" si="27"/>
        <v>1088</v>
      </c>
      <c r="AJ39" s="830">
        <f>'Chi NSH'!CR18</f>
        <v>794</v>
      </c>
      <c r="AK39" s="830"/>
      <c r="AL39" s="830">
        <f t="shared" si="28"/>
        <v>794</v>
      </c>
      <c r="AM39" s="830">
        <f>'Chi NSH'!CZ18</f>
        <v>1096</v>
      </c>
      <c r="AN39" s="830"/>
      <c r="AO39" s="830">
        <f t="shared" si="29"/>
        <v>1096</v>
      </c>
    </row>
    <row r="40" spans="1:41" ht="20.100000000000001" hidden="1" customHeight="1" x14ac:dyDescent="0.25">
      <c r="A40" s="75"/>
      <c r="B40" s="63"/>
      <c r="C40" s="830"/>
      <c r="D40" s="830"/>
      <c r="E40" s="830"/>
      <c r="F40" s="830"/>
      <c r="G40" s="830"/>
      <c r="H40" s="830"/>
      <c r="I40" s="830"/>
      <c r="J40" s="830"/>
      <c r="K40" s="830"/>
      <c r="L40" s="830"/>
      <c r="M40" s="830"/>
      <c r="N40" s="830"/>
      <c r="O40" s="830"/>
      <c r="P40" s="830"/>
      <c r="Q40" s="830"/>
      <c r="R40" s="830"/>
      <c r="S40" s="830"/>
      <c r="T40" s="830"/>
      <c r="U40" s="830"/>
      <c r="V40" s="830"/>
      <c r="W40" s="830"/>
      <c r="X40" s="830"/>
      <c r="Y40" s="830"/>
      <c r="Z40" s="830"/>
      <c r="AA40" s="830"/>
      <c r="AB40" s="830"/>
      <c r="AC40" s="830"/>
      <c r="AD40" s="830"/>
      <c r="AE40" s="830"/>
      <c r="AF40" s="830"/>
      <c r="AG40" s="830"/>
      <c r="AH40" s="830"/>
      <c r="AI40" s="830"/>
      <c r="AJ40" s="830"/>
      <c r="AK40" s="830"/>
      <c r="AL40" s="830"/>
      <c r="AM40" s="830"/>
      <c r="AN40" s="830"/>
      <c r="AO40" s="830"/>
    </row>
    <row r="41" spans="1:41" s="74" customFormat="1" ht="20.100000000000001" hidden="1" customHeight="1" x14ac:dyDescent="0.25">
      <c r="A41" s="75"/>
      <c r="B41" s="63"/>
      <c r="C41" s="830"/>
      <c r="D41" s="830"/>
      <c r="E41" s="830"/>
      <c r="F41" s="830"/>
      <c r="G41" s="830"/>
      <c r="H41" s="830"/>
      <c r="I41" s="830"/>
      <c r="J41" s="830"/>
      <c r="K41" s="830"/>
      <c r="L41" s="830"/>
      <c r="M41" s="830"/>
      <c r="N41" s="830"/>
      <c r="O41" s="830"/>
      <c r="P41" s="830"/>
      <c r="Q41" s="830"/>
      <c r="R41" s="830"/>
      <c r="S41" s="830"/>
      <c r="T41" s="830"/>
      <c r="U41" s="830"/>
      <c r="V41" s="830"/>
      <c r="W41" s="830"/>
      <c r="X41" s="830"/>
      <c r="Y41" s="830"/>
      <c r="Z41" s="830"/>
      <c r="AA41" s="830"/>
      <c r="AB41" s="830"/>
      <c r="AC41" s="830"/>
      <c r="AD41" s="830"/>
      <c r="AE41" s="830"/>
      <c r="AF41" s="830"/>
      <c r="AG41" s="830"/>
      <c r="AH41" s="830"/>
      <c r="AI41" s="830"/>
      <c r="AJ41" s="830"/>
      <c r="AK41" s="830"/>
      <c r="AL41" s="830"/>
      <c r="AM41" s="830"/>
      <c r="AN41" s="830"/>
      <c r="AO41" s="830"/>
    </row>
    <row r="42" spans="1:41" s="76" customFormat="1" ht="20.100000000000001" customHeight="1" x14ac:dyDescent="0.25">
      <c r="A42" s="64" t="s">
        <v>322</v>
      </c>
      <c r="B42" s="62" t="s">
        <v>244</v>
      </c>
      <c r="C42" s="829">
        <f>SUM(F42,L42,O42,R42,U42,X42,AA42,AD42,AG42,AJ42,AM42,I42)</f>
        <v>159826</v>
      </c>
      <c r="D42" s="829"/>
      <c r="E42" s="829">
        <f t="shared" si="17"/>
        <v>159826</v>
      </c>
      <c r="F42" s="829">
        <f>'Chi NSH'!P19</f>
        <v>0</v>
      </c>
      <c r="G42" s="829"/>
      <c r="H42" s="829">
        <f>F42</f>
        <v>0</v>
      </c>
      <c r="I42" s="829">
        <f>'Chi NSH'!X19</f>
        <v>0</v>
      </c>
      <c r="J42" s="829"/>
      <c r="K42" s="829">
        <f>I42</f>
        <v>0</v>
      </c>
      <c r="L42" s="829">
        <f>'Chi NSH'!AF19</f>
        <v>0</v>
      </c>
      <c r="M42" s="829"/>
      <c r="N42" s="829">
        <f>L42</f>
        <v>0</v>
      </c>
      <c r="O42" s="829">
        <f>'Chi NSH'!AN19</f>
        <v>0</v>
      </c>
      <c r="P42" s="829"/>
      <c r="Q42" s="829">
        <f>O42</f>
        <v>0</v>
      </c>
      <c r="R42" s="829">
        <f>'Chi NSH'!AV19</f>
        <v>0</v>
      </c>
      <c r="S42" s="829"/>
      <c r="T42" s="829">
        <f>R42</f>
        <v>0</v>
      </c>
      <c r="U42" s="829">
        <f>'Chi NSH'!BD19</f>
        <v>131563</v>
      </c>
      <c r="V42" s="829"/>
      <c r="W42" s="829">
        <f>U42</f>
        <v>131563</v>
      </c>
      <c r="X42" s="829">
        <f>'Chi NSH'!BL19</f>
        <v>0</v>
      </c>
      <c r="Y42" s="829"/>
      <c r="Z42" s="829">
        <f>X42</f>
        <v>0</v>
      </c>
      <c r="AA42" s="829">
        <f>'Chi NSH'!BT19</f>
        <v>0</v>
      </c>
      <c r="AB42" s="829"/>
      <c r="AC42" s="829">
        <f>AA42</f>
        <v>0</v>
      </c>
      <c r="AD42" s="829">
        <f>'Chi NSH'!CB19</f>
        <v>26555</v>
      </c>
      <c r="AE42" s="829"/>
      <c r="AF42" s="829">
        <f>AD42</f>
        <v>26555</v>
      </c>
      <c r="AG42" s="829">
        <f>'Chi NSH'!CJ19</f>
        <v>1708</v>
      </c>
      <c r="AH42" s="829"/>
      <c r="AI42" s="829">
        <f>AG42</f>
        <v>1708</v>
      </c>
      <c r="AJ42" s="829">
        <f>'Chi NSH'!CR19</f>
        <v>0</v>
      </c>
      <c r="AK42" s="829"/>
      <c r="AL42" s="829">
        <f>AJ42</f>
        <v>0</v>
      </c>
      <c r="AM42" s="829">
        <f>'Chi NSH'!CZ19</f>
        <v>0</v>
      </c>
      <c r="AN42" s="829"/>
      <c r="AO42" s="829">
        <f>AM42</f>
        <v>0</v>
      </c>
    </row>
    <row r="43" spans="1:41" x14ac:dyDescent="0.25">
      <c r="A43" s="77"/>
      <c r="B43" s="77" t="s">
        <v>614</v>
      </c>
      <c r="C43" s="832"/>
      <c r="D43" s="832"/>
      <c r="E43" s="832">
        <f t="shared" si="17"/>
        <v>6096576</v>
      </c>
      <c r="F43" s="832"/>
      <c r="G43" s="832"/>
      <c r="H43" s="832">
        <f>SUM(H5,H31,H42)</f>
        <v>451600</v>
      </c>
      <c r="I43" s="832"/>
      <c r="J43" s="832"/>
      <c r="K43" s="832">
        <f>SUM(K5,K31,K42)</f>
        <v>367217</v>
      </c>
      <c r="L43" s="832"/>
      <c r="M43" s="832"/>
      <c r="N43" s="832">
        <f>SUM(N5,N31,N42)</f>
        <v>403536</v>
      </c>
      <c r="O43" s="832"/>
      <c r="P43" s="832"/>
      <c r="Q43" s="832">
        <f>SUM(Q5,Q31,Q42)</f>
        <v>408417</v>
      </c>
      <c r="R43" s="832"/>
      <c r="S43" s="832"/>
      <c r="T43" s="832">
        <f>SUM(T5,T31,T42)</f>
        <v>505581</v>
      </c>
      <c r="U43" s="832"/>
      <c r="V43" s="832"/>
      <c r="W43" s="832">
        <f>SUM(W5,W31,W42)</f>
        <v>833710</v>
      </c>
      <c r="X43" s="832"/>
      <c r="Y43" s="832"/>
      <c r="Z43" s="832">
        <f>SUM(Z5,Z31,Z42)</f>
        <v>644011</v>
      </c>
      <c r="AA43" s="832"/>
      <c r="AB43" s="832"/>
      <c r="AC43" s="832">
        <f>SUM(AC5,AC31,AC42)</f>
        <v>572951</v>
      </c>
      <c r="AD43" s="832"/>
      <c r="AE43" s="832"/>
      <c r="AF43" s="832">
        <f>SUM(AF5,AF31,AF42)</f>
        <v>519594</v>
      </c>
      <c r="AG43" s="832"/>
      <c r="AH43" s="832"/>
      <c r="AI43" s="832">
        <f>SUM(AI5,AI31,AI42)</f>
        <v>462013</v>
      </c>
      <c r="AJ43" s="832"/>
      <c r="AK43" s="832"/>
      <c r="AL43" s="832">
        <f>SUM(AL5,AL31,AL42)</f>
        <v>494945</v>
      </c>
      <c r="AM43" s="832"/>
      <c r="AN43" s="832"/>
      <c r="AO43" s="832">
        <f>SUM(AO5,AO31,AO42)</f>
        <v>433001</v>
      </c>
    </row>
    <row r="49" spans="8:21" x14ac:dyDescent="0.25">
      <c r="U49" s="42"/>
    </row>
    <row r="50" spans="8:21" x14ac:dyDescent="0.25">
      <c r="H50" s="942"/>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990" t="s">
        <v>736</v>
      </c>
      <c r="B1" s="990"/>
      <c r="C1" s="990"/>
      <c r="D1" s="990"/>
      <c r="E1" s="990"/>
      <c r="F1" s="990"/>
      <c r="G1" s="990"/>
      <c r="H1" s="990"/>
      <c r="I1" s="990"/>
      <c r="J1" s="990"/>
      <c r="K1" s="990"/>
      <c r="L1" s="990"/>
      <c r="M1" s="990"/>
      <c r="N1" s="990"/>
      <c r="O1" s="990"/>
    </row>
    <row r="2" spans="1:15" ht="18.75" customHeight="1" x14ac:dyDescent="0.25">
      <c r="A2" s="78"/>
      <c r="B2" s="10"/>
      <c r="C2" s="10"/>
      <c r="D2" s="10"/>
      <c r="E2" s="10"/>
      <c r="F2" s="10"/>
      <c r="G2" s="10"/>
      <c r="H2" s="10"/>
      <c r="I2" s="10"/>
      <c r="J2" s="10"/>
      <c r="K2" s="10"/>
      <c r="L2" s="10"/>
      <c r="M2" s="1022" t="s">
        <v>0</v>
      </c>
      <c r="N2" s="1022"/>
      <c r="O2" s="1022"/>
    </row>
    <row r="3" spans="1:15" ht="69" customHeight="1" x14ac:dyDescent="0.25">
      <c r="A3" s="8" t="s">
        <v>1</v>
      </c>
      <c r="B3" s="72" t="s">
        <v>2</v>
      </c>
      <c r="C3" s="8" t="s">
        <v>328</v>
      </c>
      <c r="D3" s="8" t="s">
        <v>3</v>
      </c>
      <c r="E3" s="8" t="s">
        <v>4</v>
      </c>
      <c r="F3" s="8" t="s">
        <v>5</v>
      </c>
      <c r="G3" s="8" t="s">
        <v>6</v>
      </c>
      <c r="H3" s="8" t="s">
        <v>7</v>
      </c>
      <c r="I3" s="8" t="s">
        <v>8</v>
      </c>
      <c r="J3" s="8" t="s">
        <v>9</v>
      </c>
      <c r="K3" s="8" t="s">
        <v>10</v>
      </c>
      <c r="L3" s="8" t="s">
        <v>11</v>
      </c>
      <c r="M3" s="8" t="s">
        <v>12</v>
      </c>
      <c r="N3" s="8" t="s">
        <v>52</v>
      </c>
      <c r="O3" s="8" t="s">
        <v>13</v>
      </c>
    </row>
    <row r="4" spans="1:15" s="76" customFormat="1" ht="18.75" customHeight="1" x14ac:dyDescent="0.25">
      <c r="A4" s="20"/>
      <c r="B4" s="73" t="s">
        <v>1057</v>
      </c>
      <c r="C4" s="822">
        <f t="shared" ref="C4:O4" si="0">SUM(C5,C9,C14,C15,C16)</f>
        <v>6096576</v>
      </c>
      <c r="D4" s="822">
        <f>SUM(D5,D9,D14,D15,D16)</f>
        <v>451600</v>
      </c>
      <c r="E4" s="822">
        <f t="shared" si="0"/>
        <v>367217</v>
      </c>
      <c r="F4" s="822">
        <f t="shared" si="0"/>
        <v>403536</v>
      </c>
      <c r="G4" s="822">
        <f t="shared" si="0"/>
        <v>408417</v>
      </c>
      <c r="H4" s="822">
        <f t="shared" si="0"/>
        <v>505581</v>
      </c>
      <c r="I4" s="822">
        <f t="shared" si="0"/>
        <v>833710</v>
      </c>
      <c r="J4" s="822">
        <f t="shared" si="0"/>
        <v>644011</v>
      </c>
      <c r="K4" s="822">
        <f t="shared" si="0"/>
        <v>572951</v>
      </c>
      <c r="L4" s="822">
        <f t="shared" si="0"/>
        <v>519594</v>
      </c>
      <c r="M4" s="822">
        <f t="shared" si="0"/>
        <v>462013</v>
      </c>
      <c r="N4" s="822">
        <f t="shared" si="0"/>
        <v>494945</v>
      </c>
      <c r="O4" s="822">
        <f t="shared" si="0"/>
        <v>433001</v>
      </c>
    </row>
    <row r="5" spans="1:15" s="76" customFormat="1" ht="18.75" customHeight="1" x14ac:dyDescent="0.25">
      <c r="A5" s="24" t="s">
        <v>281</v>
      </c>
      <c r="B5" s="62" t="s">
        <v>68</v>
      </c>
      <c r="C5" s="823">
        <f t="shared" ref="C5:O5" si="1">SUM(C7:C8)</f>
        <v>856697</v>
      </c>
      <c r="D5" s="823">
        <f t="shared" si="1"/>
        <v>37500</v>
      </c>
      <c r="E5" s="823">
        <f t="shared" si="1"/>
        <v>116400</v>
      </c>
      <c r="F5" s="823">
        <f t="shared" si="1"/>
        <v>36400</v>
      </c>
      <c r="G5" s="823">
        <f t="shared" si="1"/>
        <v>48600</v>
      </c>
      <c r="H5" s="823">
        <f t="shared" si="1"/>
        <v>54100</v>
      </c>
      <c r="I5" s="823">
        <f t="shared" si="1"/>
        <v>156465</v>
      </c>
      <c r="J5" s="823">
        <f t="shared" si="1"/>
        <v>73380</v>
      </c>
      <c r="K5" s="823">
        <f t="shared" si="1"/>
        <v>75255</v>
      </c>
      <c r="L5" s="823">
        <f t="shared" si="1"/>
        <v>46807</v>
      </c>
      <c r="M5" s="823">
        <f t="shared" si="1"/>
        <v>42690</v>
      </c>
      <c r="N5" s="823">
        <f t="shared" si="1"/>
        <v>123800</v>
      </c>
      <c r="O5" s="823">
        <f t="shared" si="1"/>
        <v>45300</v>
      </c>
    </row>
    <row r="6" spans="1:15" s="80" customFormat="1" ht="15.75" x14ac:dyDescent="0.25">
      <c r="A6" s="308"/>
      <c r="B6" s="309"/>
      <c r="C6" s="824">
        <f t="shared" ref="C6:C13" si="2">SUM(D6:O6)</f>
        <v>0</v>
      </c>
      <c r="D6" s="824"/>
      <c r="E6" s="824"/>
      <c r="F6" s="824"/>
      <c r="G6" s="824"/>
      <c r="H6" s="824"/>
      <c r="I6" s="824"/>
      <c r="J6" s="824"/>
      <c r="K6" s="824"/>
      <c r="L6" s="824"/>
      <c r="M6" s="824"/>
      <c r="N6" s="824"/>
      <c r="O6" s="824"/>
    </row>
    <row r="7" spans="1:15" ht="18.75" customHeight="1" x14ac:dyDescent="0.25">
      <c r="A7" s="23">
        <v>1</v>
      </c>
      <c r="B7" s="63" t="s">
        <v>14</v>
      </c>
      <c r="C7" s="825">
        <f t="shared" si="2"/>
        <v>476697</v>
      </c>
      <c r="D7" s="825">
        <f>'Chi NSH'!P22</f>
        <v>27500</v>
      </c>
      <c r="E7" s="825">
        <f>'Chi NSH'!X22</f>
        <v>26400</v>
      </c>
      <c r="F7" s="825">
        <f>'Chi NSH'!AF22</f>
        <v>26400</v>
      </c>
      <c r="G7" s="825">
        <f>'Chi NSH'!AN22</f>
        <v>28600</v>
      </c>
      <c r="H7" s="825">
        <f>'Chi NSH'!AV22</f>
        <v>34100</v>
      </c>
      <c r="I7" s="825">
        <f>'Chi NSH'!BD22</f>
        <v>106465</v>
      </c>
      <c r="J7" s="825">
        <f>'Chi NSH'!BL22</f>
        <v>38380</v>
      </c>
      <c r="K7" s="825">
        <f>'Chi NSH'!BT22</f>
        <v>35255</v>
      </c>
      <c r="L7" s="825">
        <f>'Chi NSH'!CB22</f>
        <v>31807</v>
      </c>
      <c r="M7" s="825">
        <f>'Chi NSH'!CJ22</f>
        <v>32690</v>
      </c>
      <c r="N7" s="825">
        <f>'Chi NSH'!CR22</f>
        <v>63800</v>
      </c>
      <c r="O7" s="825">
        <f>'Chi NSH'!CZ22</f>
        <v>25300</v>
      </c>
    </row>
    <row r="8" spans="1:15" ht="18.75" customHeight="1" x14ac:dyDescent="0.25">
      <c r="A8" s="23">
        <v>2</v>
      </c>
      <c r="B8" s="63" t="s">
        <v>15</v>
      </c>
      <c r="C8" s="825">
        <f t="shared" si="2"/>
        <v>380000</v>
      </c>
      <c r="D8" s="825">
        <f>'Chi NSH'!P23</f>
        <v>10000</v>
      </c>
      <c r="E8" s="825">
        <f>'Chi NSH'!X23</f>
        <v>90000</v>
      </c>
      <c r="F8" s="825">
        <f>'Chi NSH'!AF23</f>
        <v>10000</v>
      </c>
      <c r="G8" s="825">
        <f>'Chi NSH'!AN23</f>
        <v>20000</v>
      </c>
      <c r="H8" s="825">
        <f>'Chi NSH'!AV23</f>
        <v>20000</v>
      </c>
      <c r="I8" s="825">
        <f>'Chi NSH'!BD23</f>
        <v>50000</v>
      </c>
      <c r="J8" s="825">
        <f>'Chi NSH'!BL23</f>
        <v>35000</v>
      </c>
      <c r="K8" s="825">
        <f>'Chi NSH'!BT23</f>
        <v>40000</v>
      </c>
      <c r="L8" s="825">
        <f>'Chi NSH'!CB23</f>
        <v>15000</v>
      </c>
      <c r="M8" s="825">
        <f>'Chi NSH'!CJ23</f>
        <v>10000</v>
      </c>
      <c r="N8" s="825">
        <f>'Chi NSH'!CR23</f>
        <v>60000</v>
      </c>
      <c r="O8" s="825">
        <f>'Chi NSH'!CZ23</f>
        <v>20000</v>
      </c>
    </row>
    <row r="9" spans="1:15" s="76" customFormat="1" ht="18.75" customHeight="1" x14ac:dyDescent="0.25">
      <c r="A9" s="24" t="s">
        <v>294</v>
      </c>
      <c r="B9" s="62" t="s">
        <v>16</v>
      </c>
      <c r="C9" s="823">
        <f>SUM(D9:O9)</f>
        <v>4937033</v>
      </c>
      <c r="D9" s="823">
        <f>'Chi NSH'!P24-D19</f>
        <v>406175</v>
      </c>
      <c r="E9" s="823">
        <f>'Chi NSH'!X24-E19</f>
        <v>245824</v>
      </c>
      <c r="F9" s="823">
        <f>'Chi NSH'!AF24-F19</f>
        <v>360418</v>
      </c>
      <c r="G9" s="823">
        <f>'Chi NSH'!AN24-G19</f>
        <v>353602</v>
      </c>
      <c r="H9" s="823">
        <f>'Chi NSH'!AV24-H19</f>
        <v>443173</v>
      </c>
      <c r="I9" s="823">
        <f>'Chi NSH'!BD24-I19</f>
        <v>462048</v>
      </c>
      <c r="J9" s="823">
        <f>'Chi NSH'!BL24-J19</f>
        <v>560435</v>
      </c>
      <c r="K9" s="823">
        <f>'Chi NSH'!BT24-K19</f>
        <v>488791</v>
      </c>
      <c r="L9" s="823">
        <f>'Chi NSH'!CB24-L19</f>
        <v>460627</v>
      </c>
      <c r="M9" s="823">
        <f>'Chi NSH'!CJ24-M19</f>
        <v>411599</v>
      </c>
      <c r="N9" s="823">
        <f>'Chi NSH'!CR24-N19</f>
        <v>363843</v>
      </c>
      <c r="O9" s="823">
        <f>'Chi NSH'!CZ24-O19</f>
        <v>380498</v>
      </c>
    </row>
    <row r="10" spans="1:15" s="80" customFormat="1" ht="18.75" customHeight="1" x14ac:dyDescent="0.25">
      <c r="A10" s="186"/>
      <c r="B10" s="187" t="s">
        <v>86</v>
      </c>
      <c r="C10" s="826"/>
      <c r="D10" s="826"/>
      <c r="E10" s="826"/>
      <c r="F10" s="826"/>
      <c r="G10" s="826"/>
      <c r="H10" s="826"/>
      <c r="I10" s="826"/>
      <c r="J10" s="826"/>
      <c r="K10" s="826"/>
      <c r="L10" s="826"/>
      <c r="M10" s="826"/>
      <c r="N10" s="826"/>
      <c r="O10" s="826"/>
    </row>
    <row r="11" spans="1:15" s="76" customFormat="1" ht="18.75" customHeight="1" x14ac:dyDescent="0.25">
      <c r="A11" s="23">
        <v>1</v>
      </c>
      <c r="B11" s="63" t="s">
        <v>17</v>
      </c>
      <c r="C11" s="825">
        <f t="shared" si="2"/>
        <v>2630740</v>
      </c>
      <c r="D11" s="825">
        <f>'Chi NSH'!P25</f>
        <v>231954</v>
      </c>
      <c r="E11" s="825">
        <f>'Chi NSH'!X25</f>
        <v>121679</v>
      </c>
      <c r="F11" s="825">
        <f>'Chi NSH'!AF25</f>
        <v>195765</v>
      </c>
      <c r="G11" s="825">
        <f>'Chi NSH'!AN25</f>
        <v>177465</v>
      </c>
      <c r="H11" s="825">
        <f>'Chi NSH'!AV25</f>
        <v>252412</v>
      </c>
      <c r="I11" s="825">
        <f>'Chi NSH'!BD25</f>
        <v>253979</v>
      </c>
      <c r="J11" s="825">
        <f>'Chi NSH'!BL25</f>
        <v>300161</v>
      </c>
      <c r="K11" s="825">
        <f>'Chi NSH'!BT25</f>
        <v>263884</v>
      </c>
      <c r="L11" s="825">
        <f>'Chi NSH'!CB25</f>
        <v>261083</v>
      </c>
      <c r="M11" s="825">
        <f>'Chi NSH'!CJ25</f>
        <v>232331</v>
      </c>
      <c r="N11" s="825">
        <f>'Chi NSH'!CR25</f>
        <v>142984</v>
      </c>
      <c r="O11" s="825">
        <f>'Chi NSH'!CZ25</f>
        <v>197043</v>
      </c>
    </row>
    <row r="12" spans="1:15" s="76" customFormat="1" ht="18.75" customHeight="1" x14ac:dyDescent="0.25">
      <c r="A12" s="23">
        <v>2</v>
      </c>
      <c r="B12" s="63" t="s">
        <v>379</v>
      </c>
      <c r="C12" s="825">
        <f t="shared" si="2"/>
        <v>49921</v>
      </c>
      <c r="D12" s="825">
        <f>'Chi NSH'!P26</f>
        <v>3919</v>
      </c>
      <c r="E12" s="825">
        <f>'Chi NSH'!X26</f>
        <v>3038</v>
      </c>
      <c r="F12" s="825">
        <f>'Chi NSH'!AF26</f>
        <v>3550</v>
      </c>
      <c r="G12" s="825">
        <f>'Chi NSH'!AN26</f>
        <v>3670</v>
      </c>
      <c r="H12" s="825">
        <f>'Chi NSH'!AV26</f>
        <v>4371</v>
      </c>
      <c r="I12" s="825">
        <f>'Chi NSH'!BD26</f>
        <v>5034</v>
      </c>
      <c r="J12" s="825">
        <f>'Chi NSH'!BL26</f>
        <v>5541</v>
      </c>
      <c r="K12" s="825">
        <f>'Chi NSH'!BT26</f>
        <v>5026</v>
      </c>
      <c r="L12" s="825">
        <f>'Chi NSH'!CB26</f>
        <v>4533</v>
      </c>
      <c r="M12" s="825">
        <f>'Chi NSH'!CJ26</f>
        <v>3971</v>
      </c>
      <c r="N12" s="825">
        <f>'Chi NSH'!CR26</f>
        <v>3531</v>
      </c>
      <c r="O12" s="825">
        <f>'Chi NSH'!CZ26</f>
        <v>3737</v>
      </c>
    </row>
    <row r="13" spans="1:15" ht="18.75" customHeight="1" x14ac:dyDescent="0.25">
      <c r="A13" s="23">
        <v>3</v>
      </c>
      <c r="B13" s="63" t="s">
        <v>229</v>
      </c>
      <c r="C13" s="825">
        <f t="shared" si="2"/>
        <v>2256372</v>
      </c>
      <c r="D13" s="825">
        <f t="shared" ref="D13:O13" si="3">D9-D11-D12</f>
        <v>170302</v>
      </c>
      <c r="E13" s="825">
        <f t="shared" si="3"/>
        <v>121107</v>
      </c>
      <c r="F13" s="825">
        <f t="shared" si="3"/>
        <v>161103</v>
      </c>
      <c r="G13" s="825">
        <f t="shared" si="3"/>
        <v>172467</v>
      </c>
      <c r="H13" s="825">
        <f t="shared" si="3"/>
        <v>186390</v>
      </c>
      <c r="I13" s="825">
        <f t="shared" si="3"/>
        <v>203035</v>
      </c>
      <c r="J13" s="825">
        <f t="shared" si="3"/>
        <v>254733</v>
      </c>
      <c r="K13" s="825">
        <f t="shared" si="3"/>
        <v>219881</v>
      </c>
      <c r="L13" s="825">
        <f t="shared" si="3"/>
        <v>195011</v>
      </c>
      <c r="M13" s="825">
        <f t="shared" si="3"/>
        <v>175297</v>
      </c>
      <c r="N13" s="825">
        <f t="shared" si="3"/>
        <v>217328</v>
      </c>
      <c r="O13" s="825">
        <f t="shared" si="3"/>
        <v>179718</v>
      </c>
    </row>
    <row r="14" spans="1:15" s="76" customFormat="1" ht="18.75" customHeight="1" x14ac:dyDescent="0.25">
      <c r="A14" s="307" t="s">
        <v>322</v>
      </c>
      <c r="B14" s="229" t="s">
        <v>361</v>
      </c>
      <c r="C14" s="827">
        <f t="shared" ref="C14:C21" si="4">SUM(D14:O14)</f>
        <v>98651</v>
      </c>
      <c r="D14" s="827">
        <f>'Chi NSH'!P28</f>
        <v>7925</v>
      </c>
      <c r="E14" s="827">
        <f>'Chi NSH'!X28</f>
        <v>4993</v>
      </c>
      <c r="F14" s="827">
        <f>'Chi NSH'!AF28</f>
        <v>6718</v>
      </c>
      <c r="G14" s="827">
        <f>'Chi NSH'!AN28</f>
        <v>6215</v>
      </c>
      <c r="H14" s="827">
        <f>'Chi NSH'!AV28</f>
        <v>8308</v>
      </c>
      <c r="I14" s="827">
        <f>'Chi NSH'!BD28</f>
        <v>13894</v>
      </c>
      <c r="J14" s="827">
        <f>'Chi NSH'!BL28</f>
        <v>10196</v>
      </c>
      <c r="K14" s="827">
        <f>'Chi NSH'!BT28</f>
        <v>8905</v>
      </c>
      <c r="L14" s="827">
        <f>'Chi NSH'!CB28</f>
        <v>9268</v>
      </c>
      <c r="M14" s="827">
        <f>'Chi NSH'!CJ28</f>
        <v>7724</v>
      </c>
      <c r="N14" s="827">
        <f>'Chi NSH'!CR28</f>
        <v>7302</v>
      </c>
      <c r="O14" s="827">
        <f>'Chi NSH'!CZ28</f>
        <v>7203</v>
      </c>
    </row>
    <row r="15" spans="1:15" s="76" customFormat="1" ht="18.75" customHeight="1" x14ac:dyDescent="0.25">
      <c r="A15" s="604" t="s">
        <v>323</v>
      </c>
      <c r="B15" s="602" t="s">
        <v>404</v>
      </c>
      <c r="C15" s="926">
        <f t="shared" si="4"/>
        <v>204195</v>
      </c>
      <c r="D15" s="926">
        <f>'Chi NSH'!P29</f>
        <v>0</v>
      </c>
      <c r="E15" s="926">
        <f>'Chi NSH'!X29</f>
        <v>0</v>
      </c>
      <c r="F15" s="926">
        <f>'Chi NSH'!AF29</f>
        <v>0</v>
      </c>
      <c r="G15" s="926">
        <f>'Chi NSH'!AN29</f>
        <v>0</v>
      </c>
      <c r="H15" s="926">
        <f>'Chi NSH'!AV29</f>
        <v>0</v>
      </c>
      <c r="I15" s="926">
        <f>'Chi NSH'!BD29</f>
        <v>201303</v>
      </c>
      <c r="J15" s="926">
        <f>'Chi NSH'!BL29</f>
        <v>0</v>
      </c>
      <c r="K15" s="926">
        <f>'Chi NSH'!BT29</f>
        <v>0</v>
      </c>
      <c r="L15" s="926">
        <f>'Chi NSH'!CB29</f>
        <v>2892</v>
      </c>
      <c r="M15" s="926">
        <f>'Chi NSH'!CJ29</f>
        <v>0</v>
      </c>
      <c r="N15" s="926">
        <f>'Chi NSH'!CR29</f>
        <v>0</v>
      </c>
      <c r="O15" s="926">
        <f>'Chi NSH'!CZ29</f>
        <v>0</v>
      </c>
    </row>
    <row r="16" spans="1:15" s="76" customFormat="1" ht="18.75" hidden="1" customHeight="1" x14ac:dyDescent="0.25">
      <c r="A16" s="929" t="s">
        <v>346</v>
      </c>
      <c r="B16" s="19" t="s">
        <v>18</v>
      </c>
      <c r="C16" s="930">
        <f t="shared" si="4"/>
        <v>0</v>
      </c>
      <c r="D16" s="930">
        <f>ROUND(SUM(D17:D21),0)</f>
        <v>0</v>
      </c>
      <c r="E16" s="930">
        <f t="shared" ref="E16:O16" si="5">ROUND(SUM(E17:E21),0)</f>
        <v>0</v>
      </c>
      <c r="F16" s="930">
        <f t="shared" si="5"/>
        <v>0</v>
      </c>
      <c r="G16" s="930">
        <f t="shared" si="5"/>
        <v>0</v>
      </c>
      <c r="H16" s="930">
        <f t="shared" si="5"/>
        <v>0</v>
      </c>
      <c r="I16" s="930">
        <f t="shared" si="5"/>
        <v>0</v>
      </c>
      <c r="J16" s="930">
        <f t="shared" si="5"/>
        <v>0</v>
      </c>
      <c r="K16" s="930">
        <f t="shared" si="5"/>
        <v>0</v>
      </c>
      <c r="L16" s="930">
        <f t="shared" si="5"/>
        <v>0</v>
      </c>
      <c r="M16" s="930">
        <f t="shared" si="5"/>
        <v>0</v>
      </c>
      <c r="N16" s="930">
        <f t="shared" si="5"/>
        <v>0</v>
      </c>
      <c r="O16" s="930">
        <f t="shared" si="5"/>
        <v>0</v>
      </c>
    </row>
    <row r="17" spans="1:15" ht="18.75" hidden="1" customHeight="1" x14ac:dyDescent="0.25">
      <c r="A17" s="931" t="s">
        <v>449</v>
      </c>
      <c r="B17" s="63" t="s">
        <v>31</v>
      </c>
      <c r="C17" s="932">
        <f t="shared" si="4"/>
        <v>0</v>
      </c>
      <c r="D17" s="932"/>
      <c r="E17" s="932"/>
      <c r="F17" s="932"/>
      <c r="G17" s="932"/>
      <c r="H17" s="932"/>
      <c r="I17" s="932"/>
      <c r="J17" s="932"/>
      <c r="K17" s="932"/>
      <c r="L17" s="932"/>
      <c r="M17" s="932"/>
      <c r="N17" s="932"/>
      <c r="O17" s="932"/>
    </row>
    <row r="18" spans="1:15" ht="18.75" hidden="1" customHeight="1" x14ac:dyDescent="0.25">
      <c r="A18" s="931" t="s">
        <v>449</v>
      </c>
      <c r="B18" s="63" t="s">
        <v>32</v>
      </c>
      <c r="C18" s="932">
        <f t="shared" si="4"/>
        <v>0</v>
      </c>
      <c r="D18" s="932"/>
      <c r="E18" s="932"/>
      <c r="F18" s="932"/>
      <c r="G18" s="932"/>
      <c r="H18" s="932"/>
      <c r="I18" s="932"/>
      <c r="J18" s="932"/>
      <c r="K18" s="932"/>
      <c r="L18" s="932"/>
      <c r="M18" s="932"/>
      <c r="N18" s="932"/>
      <c r="O18" s="932"/>
    </row>
    <row r="19" spans="1:15" ht="18.75" hidden="1" customHeight="1" x14ac:dyDescent="0.25">
      <c r="A19" s="931" t="s">
        <v>449</v>
      </c>
      <c r="B19" s="63" t="s">
        <v>72</v>
      </c>
      <c r="C19" s="932">
        <f t="shared" si="4"/>
        <v>0</v>
      </c>
      <c r="D19" s="932"/>
      <c r="E19" s="932"/>
      <c r="F19" s="932"/>
      <c r="G19" s="932"/>
      <c r="H19" s="932"/>
      <c r="I19" s="932"/>
      <c r="J19" s="932"/>
      <c r="K19" s="932"/>
      <c r="L19" s="932"/>
      <c r="M19" s="932"/>
      <c r="N19" s="932"/>
      <c r="O19" s="932"/>
    </row>
    <row r="20" spans="1:15" s="210" customFormat="1" ht="18.75" hidden="1" customHeight="1" x14ac:dyDescent="0.25">
      <c r="A20" s="933" t="s">
        <v>449</v>
      </c>
      <c r="B20" s="934" t="s">
        <v>265</v>
      </c>
      <c r="C20" s="224">
        <f t="shared" si="4"/>
        <v>0</v>
      </c>
      <c r="D20" s="224"/>
      <c r="E20" s="224"/>
      <c r="F20" s="224"/>
      <c r="G20" s="224"/>
      <c r="H20" s="224"/>
      <c r="I20" s="224"/>
      <c r="J20" s="224"/>
      <c r="K20" s="224"/>
      <c r="L20" s="224"/>
      <c r="M20" s="224"/>
      <c r="N20" s="224"/>
      <c r="O20" s="224"/>
    </row>
    <row r="21" spans="1:15" s="210" customFormat="1" ht="18.75" hidden="1" customHeight="1" x14ac:dyDescent="0.25">
      <c r="A21" s="211"/>
      <c r="B21" s="212" t="s">
        <v>139</v>
      </c>
      <c r="C21" s="225">
        <f t="shared" si="4"/>
        <v>0</v>
      </c>
      <c r="D21" s="225"/>
      <c r="E21" s="225"/>
      <c r="F21" s="225"/>
      <c r="G21" s="225"/>
      <c r="H21" s="225"/>
      <c r="I21" s="225"/>
      <c r="J21" s="225"/>
      <c r="K21" s="225"/>
      <c r="L21" s="225"/>
      <c r="M21" s="225"/>
      <c r="N21" s="225"/>
      <c r="O21" s="225"/>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17" t="s">
        <v>737</v>
      </c>
      <c r="B1" s="1017"/>
      <c r="C1" s="1017"/>
      <c r="D1" s="1017"/>
      <c r="E1" s="1017"/>
      <c r="F1" s="1017"/>
      <c r="G1" s="1017"/>
      <c r="H1" s="1017"/>
      <c r="I1" s="1017"/>
      <c r="J1" s="1017"/>
      <c r="K1" s="1017"/>
      <c r="L1" s="1017"/>
      <c r="M1" s="1017"/>
      <c r="N1" s="1017"/>
      <c r="O1" s="1017"/>
      <c r="P1" s="1017"/>
      <c r="Q1" s="1017"/>
      <c r="R1" s="1017"/>
      <c r="S1" s="1017"/>
      <c r="T1" s="1017"/>
      <c r="U1" s="1017"/>
      <c r="V1" s="1017"/>
      <c r="W1" s="1017"/>
      <c r="X1" s="1017"/>
      <c r="Y1" s="1017"/>
      <c r="Z1" s="1017"/>
    </row>
    <row r="2" spans="1:27" ht="17.25" customHeight="1" x14ac:dyDescent="0.25">
      <c r="AA2" s="324" t="s">
        <v>430</v>
      </c>
    </row>
    <row r="3" spans="1:27" s="14" customFormat="1" ht="16.5" customHeight="1" x14ac:dyDescent="0.25">
      <c r="A3" s="1024" t="s">
        <v>396</v>
      </c>
      <c r="B3" s="1024" t="s">
        <v>19</v>
      </c>
      <c r="C3" s="1024" t="s">
        <v>738</v>
      </c>
      <c r="D3" s="1032" t="s">
        <v>42</v>
      </c>
      <c r="E3" s="1033"/>
      <c r="F3" s="1033"/>
      <c r="G3" s="1033"/>
      <c r="H3" s="1033"/>
      <c r="I3" s="1033"/>
      <c r="J3" s="1033"/>
      <c r="K3" s="1033"/>
      <c r="L3" s="1033"/>
      <c r="M3" s="1033"/>
      <c r="N3" s="1033"/>
      <c r="O3" s="1033"/>
      <c r="P3" s="1033"/>
      <c r="Q3" s="1034"/>
      <c r="R3" s="1024" t="s">
        <v>760</v>
      </c>
      <c r="S3" s="1035" t="s">
        <v>1041</v>
      </c>
      <c r="T3" s="1036"/>
      <c r="U3" s="1036"/>
      <c r="V3" s="1036"/>
      <c r="W3" s="1036"/>
      <c r="X3" s="1036"/>
      <c r="Y3" s="1036"/>
      <c r="Z3" s="1036"/>
      <c r="AA3" s="1036"/>
    </row>
    <row r="4" spans="1:27" s="14" customFormat="1" ht="15.75" customHeight="1" x14ac:dyDescent="0.25">
      <c r="A4" s="1024"/>
      <c r="B4" s="1024"/>
      <c r="C4" s="1024"/>
      <c r="D4" s="972" t="s">
        <v>20</v>
      </c>
      <c r="E4" s="1024" t="s">
        <v>21</v>
      </c>
      <c r="F4" s="1028" t="s">
        <v>23</v>
      </c>
      <c r="G4" s="1029"/>
      <c r="H4" s="1024" t="s">
        <v>22</v>
      </c>
      <c r="I4" s="1032" t="s">
        <v>23</v>
      </c>
      <c r="J4" s="1033"/>
      <c r="K4" s="1033"/>
      <c r="L4" s="1033"/>
      <c r="M4" s="1033"/>
      <c r="N4" s="1033"/>
      <c r="O4" s="1033"/>
      <c r="P4" s="1034"/>
      <c r="Q4" s="972" t="s">
        <v>616</v>
      </c>
      <c r="R4" s="1024"/>
      <c r="S4" s="1006" t="s">
        <v>68</v>
      </c>
      <c r="T4" s="1006"/>
      <c r="U4" s="1006"/>
      <c r="V4" s="1006" t="s">
        <v>333</v>
      </c>
      <c r="W4" s="1006"/>
      <c r="X4" s="1006"/>
      <c r="Y4" s="1006"/>
      <c r="Z4" s="1024" t="s">
        <v>361</v>
      </c>
      <c r="AA4" s="1024" t="s">
        <v>404</v>
      </c>
    </row>
    <row r="5" spans="1:27" s="14" customFormat="1" ht="15.75" customHeight="1" x14ac:dyDescent="0.25">
      <c r="A5" s="1024"/>
      <c r="B5" s="1024"/>
      <c r="C5" s="1024"/>
      <c r="D5" s="1027"/>
      <c r="E5" s="1024"/>
      <c r="F5" s="1030"/>
      <c r="G5" s="1031"/>
      <c r="H5" s="1024"/>
      <c r="I5" s="1024" t="s">
        <v>411</v>
      </c>
      <c r="J5" s="1024" t="s">
        <v>24</v>
      </c>
      <c r="K5" s="1032" t="s">
        <v>23</v>
      </c>
      <c r="L5" s="1033"/>
      <c r="M5" s="1033"/>
      <c r="N5" s="1033"/>
      <c r="O5" s="1033"/>
      <c r="P5" s="1034"/>
      <c r="Q5" s="1027"/>
      <c r="R5" s="1024"/>
      <c r="S5" s="1024" t="s">
        <v>269</v>
      </c>
      <c r="T5" s="1024" t="s">
        <v>23</v>
      </c>
      <c r="U5" s="1024"/>
      <c r="V5" s="1024" t="s">
        <v>269</v>
      </c>
      <c r="W5" s="1006" t="s">
        <v>23</v>
      </c>
      <c r="X5" s="1006"/>
      <c r="Y5" s="1006"/>
      <c r="Z5" s="1024"/>
      <c r="AA5" s="1024"/>
    </row>
    <row r="6" spans="1:27" s="14" customFormat="1" ht="223.5" customHeight="1" x14ac:dyDescent="0.25">
      <c r="A6" s="1024"/>
      <c r="B6" s="1024"/>
      <c r="C6" s="1024"/>
      <c r="D6" s="973"/>
      <c r="E6" s="1024"/>
      <c r="F6" s="36" t="s">
        <v>168</v>
      </c>
      <c r="G6" s="200" t="s">
        <v>169</v>
      </c>
      <c r="H6" s="1024"/>
      <c r="I6" s="1024"/>
      <c r="J6" s="1024"/>
      <c r="K6" s="36" t="s">
        <v>513</v>
      </c>
      <c r="L6" s="891" t="s">
        <v>1048</v>
      </c>
      <c r="M6" s="36" t="s">
        <v>979</v>
      </c>
      <c r="N6" s="203" t="s">
        <v>613</v>
      </c>
      <c r="O6" s="927" t="s">
        <v>1051</v>
      </c>
      <c r="P6" s="410" t="s">
        <v>239</v>
      </c>
      <c r="Q6" s="973"/>
      <c r="R6" s="1024"/>
      <c r="S6" s="1024"/>
      <c r="T6" s="370" t="s">
        <v>588</v>
      </c>
      <c r="U6" s="370" t="s">
        <v>589</v>
      </c>
      <c r="V6" s="1024"/>
      <c r="W6" s="370" t="s">
        <v>17</v>
      </c>
      <c r="X6" s="370" t="s">
        <v>590</v>
      </c>
      <c r="Y6" s="370" t="s">
        <v>229</v>
      </c>
      <c r="Z6" s="1024"/>
      <c r="AA6" s="1024"/>
    </row>
    <row r="7" spans="1:27" s="14" customFormat="1" x14ac:dyDescent="0.25">
      <c r="A7" s="84">
        <v>1</v>
      </c>
      <c r="B7" s="84">
        <v>2</v>
      </c>
      <c r="C7" s="84">
        <v>3</v>
      </c>
      <c r="D7" s="85" t="s">
        <v>617</v>
      </c>
      <c r="E7" s="84" t="s">
        <v>170</v>
      </c>
      <c r="F7" s="84">
        <v>6</v>
      </c>
      <c r="G7" s="84">
        <v>7</v>
      </c>
      <c r="H7" s="85" t="s">
        <v>509</v>
      </c>
      <c r="I7" s="84">
        <v>9</v>
      </c>
      <c r="J7" s="85" t="s">
        <v>1054</v>
      </c>
      <c r="K7" s="84">
        <v>11</v>
      </c>
      <c r="L7" s="84">
        <v>12</v>
      </c>
      <c r="M7" s="85">
        <v>13</v>
      </c>
      <c r="N7" s="84">
        <v>14</v>
      </c>
      <c r="O7" s="84">
        <v>15</v>
      </c>
      <c r="P7" s="85">
        <v>16</v>
      </c>
      <c r="Q7" s="412">
        <v>17</v>
      </c>
      <c r="R7" s="371" t="s">
        <v>1052</v>
      </c>
      <c r="S7" s="84" t="s">
        <v>535</v>
      </c>
      <c r="T7" s="412">
        <v>20</v>
      </c>
      <c r="U7" s="84">
        <v>21</v>
      </c>
      <c r="V7" s="412" t="s">
        <v>1053</v>
      </c>
      <c r="W7" s="84">
        <v>23</v>
      </c>
      <c r="X7" s="412">
        <v>24</v>
      </c>
      <c r="Y7" s="84">
        <v>25</v>
      </c>
      <c r="Z7" s="412">
        <v>26</v>
      </c>
      <c r="AA7" s="84">
        <v>27</v>
      </c>
    </row>
    <row r="8" spans="1:27" ht="24.95" customHeight="1" x14ac:dyDescent="0.25">
      <c r="A8" s="159">
        <v>1</v>
      </c>
      <c r="B8" s="156" t="s">
        <v>25</v>
      </c>
      <c r="C8" s="482">
        <f>'Phụ lục số 5'!F5</f>
        <v>68100</v>
      </c>
      <c r="D8" s="483">
        <f>SUM(E8,H8,Q8)</f>
        <v>451600</v>
      </c>
      <c r="E8" s="482">
        <f>'Phụ lục số 5'!H5</f>
        <v>55200</v>
      </c>
      <c r="F8" s="482">
        <f>E8-G8</f>
        <v>43520</v>
      </c>
      <c r="G8" s="482">
        <f>'Phụ lục số 5'!H7+'Phụ lục số 5'!H8</f>
        <v>11680</v>
      </c>
      <c r="H8" s="482">
        <f>SUM(I8:J8)</f>
        <v>396400</v>
      </c>
      <c r="I8" s="483">
        <f>'Phụ lục số 5'!H32</f>
        <v>344881</v>
      </c>
      <c r="J8" s="484">
        <f>SUM(K8:P8)</f>
        <v>51519</v>
      </c>
      <c r="K8" s="482">
        <f>'Phụ lục số 5'!F34</f>
        <v>18800</v>
      </c>
      <c r="L8" s="482">
        <f>'Phụ lục số 5'!F38</f>
        <v>0</v>
      </c>
      <c r="M8" s="482">
        <f>'Phụ lục số 5'!F35</f>
        <v>21590</v>
      </c>
      <c r="N8" s="482">
        <f>'Phụ lục số 5'!F36</f>
        <v>0</v>
      </c>
      <c r="O8" s="482">
        <f>'Phụ lục số 5'!F39</f>
        <v>1012</v>
      </c>
      <c r="P8" s="482">
        <f>'Phụ lục số 5'!F37</f>
        <v>10117</v>
      </c>
      <c r="Q8" s="482">
        <f>'Phụ lục số 5'!F42</f>
        <v>0</v>
      </c>
      <c r="R8" s="483">
        <f>'Phụ lục số 6'!D4</f>
        <v>451600</v>
      </c>
      <c r="S8" s="482">
        <f>T8+U8</f>
        <v>37500</v>
      </c>
      <c r="T8" s="482">
        <f>'Phụ lục số 6'!D7</f>
        <v>27500</v>
      </c>
      <c r="U8" s="482">
        <f>'Phụ lục số 6'!D8</f>
        <v>10000</v>
      </c>
      <c r="V8" s="482">
        <f>W8+X8+Y8</f>
        <v>406175</v>
      </c>
      <c r="W8" s="482">
        <f>'Phụ lục số 6'!D11</f>
        <v>231954</v>
      </c>
      <c r="X8" s="482">
        <f>'Phụ lục số 6'!D12</f>
        <v>3919</v>
      </c>
      <c r="Y8" s="482">
        <f>'Phụ lục số 6'!D13</f>
        <v>170302</v>
      </c>
      <c r="Z8" s="482">
        <f>'Phụ lục số 6'!D14</f>
        <v>7925</v>
      </c>
      <c r="AA8" s="482">
        <f>'Phụ lục số 6'!D15</f>
        <v>0</v>
      </c>
    </row>
    <row r="9" spans="1:27" ht="24.95" customHeight="1" x14ac:dyDescent="0.25">
      <c r="A9" s="103">
        <v>2</v>
      </c>
      <c r="B9" s="157" t="s">
        <v>4</v>
      </c>
      <c r="C9" s="475">
        <f>'Phụ lục số 5'!I5</f>
        <v>173430</v>
      </c>
      <c r="D9" s="485">
        <f t="shared" ref="D9:D19" si="0">SUM(E9,H9,Q9)</f>
        <v>367217</v>
      </c>
      <c r="E9" s="475">
        <f>'Phụ lục số 5'!K5</f>
        <v>148580</v>
      </c>
      <c r="F9" s="475">
        <f t="shared" ref="F9:F19" si="1">E9-G9</f>
        <v>119480</v>
      </c>
      <c r="G9" s="475">
        <f>'Phụ lục số 5'!K7+'Phụ lục số 5'!K8</f>
        <v>29100</v>
      </c>
      <c r="H9" s="475">
        <f t="shared" ref="H9:H19" si="2">SUM(I9:J9)</f>
        <v>218637</v>
      </c>
      <c r="I9" s="485">
        <f>'Phụ lục số 5'!K32</f>
        <v>191415</v>
      </c>
      <c r="J9" s="475">
        <f t="shared" ref="J9:J19" si="3">SUM(K9:P9)</f>
        <v>27222</v>
      </c>
      <c r="K9" s="475">
        <f>'Phụ lục số 5'!I34</f>
        <v>13300</v>
      </c>
      <c r="L9" s="475">
        <f>'Phụ lục số 5'!I38</f>
        <v>0</v>
      </c>
      <c r="M9" s="475">
        <f>'Phụ lục số 5'!I35</f>
        <v>11581</v>
      </c>
      <c r="N9" s="475">
        <f>'Phụ lục số 5'!I36</f>
        <v>0</v>
      </c>
      <c r="O9" s="475">
        <f>'Phụ lục số 5'!I39</f>
        <v>628</v>
      </c>
      <c r="P9" s="475">
        <f>'Phụ lục số 5'!I37</f>
        <v>1713</v>
      </c>
      <c r="Q9" s="475">
        <f>'Phụ lục số 5'!I42</f>
        <v>0</v>
      </c>
      <c r="R9" s="485">
        <f>'Phụ lục số 6'!E4</f>
        <v>367217</v>
      </c>
      <c r="S9" s="475">
        <f t="shared" ref="S9:S19" si="4">T9+U9</f>
        <v>116400</v>
      </c>
      <c r="T9" s="475">
        <f>'Phụ lục số 6'!E7</f>
        <v>26400</v>
      </c>
      <c r="U9" s="475">
        <f>'Phụ lục số 6'!E8</f>
        <v>90000</v>
      </c>
      <c r="V9" s="475">
        <f t="shared" ref="V9:V19" si="5">W9+X9+Y9</f>
        <v>245824</v>
      </c>
      <c r="W9" s="475">
        <f>'Phụ lục số 6'!E11</f>
        <v>121679</v>
      </c>
      <c r="X9" s="475">
        <f>'Phụ lục số 6'!E12</f>
        <v>3038</v>
      </c>
      <c r="Y9" s="475">
        <f>'Phụ lục số 6'!E13</f>
        <v>121107</v>
      </c>
      <c r="Z9" s="475">
        <f>'Phụ lục số 6'!E14</f>
        <v>4993</v>
      </c>
      <c r="AA9" s="475">
        <f>'Phụ lục số 6'!E15</f>
        <v>0</v>
      </c>
    </row>
    <row r="10" spans="1:27" ht="24.95" customHeight="1" x14ac:dyDescent="0.25">
      <c r="A10" s="103">
        <v>3</v>
      </c>
      <c r="B10" s="157" t="s">
        <v>26</v>
      </c>
      <c r="C10" s="475">
        <f>'Phụ lục số 5'!L5</f>
        <v>54170</v>
      </c>
      <c r="D10" s="485">
        <f t="shared" si="0"/>
        <v>403536</v>
      </c>
      <c r="E10" s="475">
        <f>'Phụ lục số 5'!N5</f>
        <v>41060</v>
      </c>
      <c r="F10" s="475">
        <f t="shared" si="1"/>
        <v>28880</v>
      </c>
      <c r="G10" s="475">
        <f>'Phụ lục số 5'!N7+'Phụ lục số 5'!N8</f>
        <v>12180</v>
      </c>
      <c r="H10" s="475">
        <f t="shared" si="2"/>
        <v>362476</v>
      </c>
      <c r="I10" s="485">
        <f>'Phụ lục số 5'!N32</f>
        <v>305519</v>
      </c>
      <c r="J10" s="475">
        <f t="shared" si="3"/>
        <v>56957</v>
      </c>
      <c r="K10" s="475">
        <f>'Phụ lục số 5'!L34</f>
        <v>34100</v>
      </c>
      <c r="L10" s="475">
        <f>'Phụ lục số 5'!L38</f>
        <v>0</v>
      </c>
      <c r="M10" s="475">
        <f>'Phụ lục số 5'!L35</f>
        <v>18891</v>
      </c>
      <c r="N10" s="475">
        <f>'Phụ lục số 5'!L36</f>
        <v>0</v>
      </c>
      <c r="O10" s="475">
        <f>'Phụ lục số 5'!L39</f>
        <v>806</v>
      </c>
      <c r="P10" s="475">
        <f>'Phụ lục số 5'!L37</f>
        <v>3160</v>
      </c>
      <c r="Q10" s="475">
        <f>'Phụ lục số 5'!L42</f>
        <v>0</v>
      </c>
      <c r="R10" s="485">
        <f>'Phụ lục số 6'!F4</f>
        <v>403536</v>
      </c>
      <c r="S10" s="475">
        <f t="shared" si="4"/>
        <v>36400</v>
      </c>
      <c r="T10" s="475">
        <f>'Phụ lục số 6'!F7</f>
        <v>26400</v>
      </c>
      <c r="U10" s="475">
        <f>'Phụ lục số 6'!F8</f>
        <v>10000</v>
      </c>
      <c r="V10" s="475">
        <f t="shared" si="5"/>
        <v>360418</v>
      </c>
      <c r="W10" s="475">
        <f>'Phụ lục số 6'!F11</f>
        <v>195765</v>
      </c>
      <c r="X10" s="475">
        <f>'Phụ lục số 6'!F12</f>
        <v>3550</v>
      </c>
      <c r="Y10" s="475">
        <f>'Phụ lục số 6'!F13</f>
        <v>161103</v>
      </c>
      <c r="Z10" s="475">
        <f>'Phụ lục số 6'!F14</f>
        <v>6718</v>
      </c>
      <c r="AA10" s="475">
        <f>'Phụ lục số 6'!F15</f>
        <v>0</v>
      </c>
    </row>
    <row r="11" spans="1:27" ht="24.95" customHeight="1" x14ac:dyDescent="0.25">
      <c r="A11" s="103">
        <v>4</v>
      </c>
      <c r="B11" s="157" t="s">
        <v>6</v>
      </c>
      <c r="C11" s="475">
        <f>'Phụ lục số 5'!O5</f>
        <v>91180</v>
      </c>
      <c r="D11" s="485">
        <f t="shared" si="0"/>
        <v>408417</v>
      </c>
      <c r="E11" s="475">
        <f>'Phụ lục số 5'!Q5</f>
        <v>69800</v>
      </c>
      <c r="F11" s="475">
        <f t="shared" si="1"/>
        <v>47500</v>
      </c>
      <c r="G11" s="475">
        <f>'Phụ lục số 5'!Q7+'Phụ lục số 5'!Q8</f>
        <v>22300</v>
      </c>
      <c r="H11" s="475">
        <f t="shared" si="2"/>
        <v>338617</v>
      </c>
      <c r="I11" s="485">
        <f>'Phụ lục số 5'!Q32</f>
        <v>260487</v>
      </c>
      <c r="J11" s="475">
        <f t="shared" si="3"/>
        <v>78130</v>
      </c>
      <c r="K11" s="475">
        <f>'Phụ lục số 5'!O34</f>
        <v>45900</v>
      </c>
      <c r="L11" s="475">
        <f>'Phụ lục số 5'!O38</f>
        <v>0</v>
      </c>
      <c r="M11" s="475">
        <f>'Phụ lục số 5'!O35</f>
        <v>23905</v>
      </c>
      <c r="N11" s="475">
        <f>'Phụ lục số 5'!O36</f>
        <v>685</v>
      </c>
      <c r="O11" s="475">
        <f>'Phụ lục số 5'!O39</f>
        <v>1096</v>
      </c>
      <c r="P11" s="475">
        <f>'Phụ lục số 5'!O37</f>
        <v>6544</v>
      </c>
      <c r="Q11" s="475">
        <f>'Phụ lục số 5'!O42</f>
        <v>0</v>
      </c>
      <c r="R11" s="485">
        <f>'Phụ lục số 6'!G4</f>
        <v>408417</v>
      </c>
      <c r="S11" s="475">
        <f t="shared" si="4"/>
        <v>48600</v>
      </c>
      <c r="T11" s="475">
        <f>'Phụ lục số 6'!G7</f>
        <v>28600</v>
      </c>
      <c r="U11" s="475">
        <f>'Phụ lục số 6'!G8</f>
        <v>20000</v>
      </c>
      <c r="V11" s="475">
        <f t="shared" si="5"/>
        <v>353602</v>
      </c>
      <c r="W11" s="475">
        <f>'Phụ lục số 6'!G11</f>
        <v>177465</v>
      </c>
      <c r="X11" s="475">
        <f>'Phụ lục số 6'!G12</f>
        <v>3670</v>
      </c>
      <c r="Y11" s="475">
        <f>'Phụ lục số 6'!G13</f>
        <v>172467</v>
      </c>
      <c r="Z11" s="475">
        <f>'Phụ lục số 6'!G14</f>
        <v>6215</v>
      </c>
      <c r="AA11" s="475">
        <f>'Phụ lục số 6'!G15</f>
        <v>0</v>
      </c>
    </row>
    <row r="12" spans="1:27" ht="24.95" customHeight="1" x14ac:dyDescent="0.25">
      <c r="A12" s="103">
        <v>5</v>
      </c>
      <c r="B12" s="157" t="s">
        <v>7</v>
      </c>
      <c r="C12" s="475">
        <f>'Phụ lục số 5'!R5</f>
        <v>116680</v>
      </c>
      <c r="D12" s="485">
        <f t="shared" si="0"/>
        <v>505581</v>
      </c>
      <c r="E12" s="475">
        <f>'Phụ lục số 5'!T5</f>
        <v>99130</v>
      </c>
      <c r="F12" s="475">
        <f t="shared" si="1"/>
        <v>62920</v>
      </c>
      <c r="G12" s="475">
        <f>'Phụ lục số 5'!T7+'Phụ lục số 5'!T8</f>
        <v>36210</v>
      </c>
      <c r="H12" s="475">
        <f t="shared" si="2"/>
        <v>406451</v>
      </c>
      <c r="I12" s="485">
        <f>'Phụ lục số 5'!T32</f>
        <v>334903</v>
      </c>
      <c r="J12" s="475">
        <f t="shared" si="3"/>
        <v>71548</v>
      </c>
      <c r="K12" s="475">
        <f>'Phụ lục số 5'!R34</f>
        <v>32298</v>
      </c>
      <c r="L12" s="475">
        <f>'Phụ lục số 5'!R38</f>
        <v>0</v>
      </c>
      <c r="M12" s="475">
        <f>'Phụ lục số 5'!R35</f>
        <v>24148</v>
      </c>
      <c r="N12" s="475">
        <f>'Phụ lục số 5'!R36</f>
        <v>0</v>
      </c>
      <c r="O12" s="475">
        <f>'Phụ lục số 5'!R39</f>
        <v>1174</v>
      </c>
      <c r="P12" s="475">
        <f>'Phụ lục số 5'!R37</f>
        <v>13928</v>
      </c>
      <c r="Q12" s="475">
        <f>'Phụ lục số 5'!R42</f>
        <v>0</v>
      </c>
      <c r="R12" s="485">
        <f>'Phụ lục số 6'!H4</f>
        <v>505581</v>
      </c>
      <c r="S12" s="475">
        <f t="shared" si="4"/>
        <v>54100</v>
      </c>
      <c r="T12" s="475">
        <f>'Phụ lục số 6'!H7</f>
        <v>34100</v>
      </c>
      <c r="U12" s="475">
        <f>'Phụ lục số 6'!H8</f>
        <v>20000</v>
      </c>
      <c r="V12" s="475">
        <f t="shared" si="5"/>
        <v>443173</v>
      </c>
      <c r="W12" s="475">
        <f>'Phụ lục số 6'!H11</f>
        <v>252412</v>
      </c>
      <c r="X12" s="475">
        <f>'Phụ lục số 6'!H12</f>
        <v>4371</v>
      </c>
      <c r="Y12" s="475">
        <f>'Phụ lục số 6'!H13</f>
        <v>186390</v>
      </c>
      <c r="Z12" s="475">
        <f>'Phụ lục số 6'!H14</f>
        <v>8308</v>
      </c>
      <c r="AA12" s="475">
        <f>'Phụ lục số 6'!H15</f>
        <v>0</v>
      </c>
    </row>
    <row r="13" spans="1:27" ht="24.95" customHeight="1" x14ac:dyDescent="0.25">
      <c r="A13" s="103">
        <v>6</v>
      </c>
      <c r="B13" s="157" t="s">
        <v>8</v>
      </c>
      <c r="C13" s="475">
        <f>'Phụ lục số 5'!U5</f>
        <v>761220</v>
      </c>
      <c r="D13" s="485">
        <f t="shared" si="0"/>
        <v>833710</v>
      </c>
      <c r="E13" s="475">
        <f>'Phụ lục số 5'!W5</f>
        <v>577950</v>
      </c>
      <c r="F13" s="475">
        <f t="shared" si="1"/>
        <v>153350</v>
      </c>
      <c r="G13" s="475">
        <f>'Phụ lục số 5'!W7+'Phụ lục số 5'!W8</f>
        <v>424600</v>
      </c>
      <c r="H13" s="475">
        <f t="shared" si="2"/>
        <v>124197</v>
      </c>
      <c r="I13" s="485">
        <f>'Phụ lục số 5'!W32</f>
        <v>116197</v>
      </c>
      <c r="J13" s="475">
        <f t="shared" si="3"/>
        <v>8000</v>
      </c>
      <c r="K13" s="475">
        <f>'Phụ lục số 5'!U34</f>
        <v>8000</v>
      </c>
      <c r="L13" s="475">
        <f>'Phụ lục số 5'!U38</f>
        <v>0</v>
      </c>
      <c r="M13" s="475">
        <f>'Phụ lục số 5'!U35</f>
        <v>0</v>
      </c>
      <c r="N13" s="475">
        <f>'Phụ lục số 5'!U36</f>
        <v>0</v>
      </c>
      <c r="O13" s="475">
        <f>'Phụ lục số 5'!U39</f>
        <v>0</v>
      </c>
      <c r="P13" s="475">
        <f>'Phụ lục số 5'!U37</f>
        <v>0</v>
      </c>
      <c r="Q13" s="475">
        <f>'Phụ lục số 5'!U42</f>
        <v>131563</v>
      </c>
      <c r="R13" s="485">
        <f>'Phụ lục số 6'!I4</f>
        <v>833710</v>
      </c>
      <c r="S13" s="475">
        <f t="shared" si="4"/>
        <v>156465</v>
      </c>
      <c r="T13" s="475">
        <f>'Phụ lục số 6'!I7</f>
        <v>106465</v>
      </c>
      <c r="U13" s="475">
        <f>'Phụ lục số 6'!I8</f>
        <v>50000</v>
      </c>
      <c r="V13" s="475">
        <f t="shared" si="5"/>
        <v>462048</v>
      </c>
      <c r="W13" s="475">
        <f>'Phụ lục số 6'!I11</f>
        <v>253979</v>
      </c>
      <c r="X13" s="475">
        <f>'Phụ lục số 6'!I12</f>
        <v>5034</v>
      </c>
      <c r="Y13" s="475">
        <f>'Phụ lục số 6'!I13</f>
        <v>203035</v>
      </c>
      <c r="Z13" s="475">
        <f>'Phụ lục số 6'!I14</f>
        <v>13894</v>
      </c>
      <c r="AA13" s="475">
        <f>'Phụ lục số 6'!I15</f>
        <v>201303</v>
      </c>
    </row>
    <row r="14" spans="1:27" ht="24.95" customHeight="1" x14ac:dyDescent="0.25">
      <c r="A14" s="103">
        <v>7</v>
      </c>
      <c r="B14" s="157" t="s">
        <v>9</v>
      </c>
      <c r="C14" s="475">
        <f>'Phụ lục số 5'!X5</f>
        <v>154800</v>
      </c>
      <c r="D14" s="485">
        <f t="shared" si="0"/>
        <v>644011</v>
      </c>
      <c r="E14" s="475">
        <f>'Phụ lục số 5'!Z5</f>
        <v>129950</v>
      </c>
      <c r="F14" s="475">
        <f t="shared" si="1"/>
        <v>84900</v>
      </c>
      <c r="G14" s="475">
        <f>'Phụ lục số 5'!Z7+'Phụ lục số 5'!Z8</f>
        <v>45050</v>
      </c>
      <c r="H14" s="475">
        <f t="shared" si="2"/>
        <v>514061</v>
      </c>
      <c r="I14" s="485">
        <f>'Phụ lục số 5'!Z32</f>
        <v>425722</v>
      </c>
      <c r="J14" s="475">
        <f t="shared" si="3"/>
        <v>88339</v>
      </c>
      <c r="K14" s="475">
        <f>'Phụ lục số 5'!X34</f>
        <v>47400</v>
      </c>
      <c r="L14" s="475">
        <f>'Phụ lục số 5'!X38</f>
        <v>0</v>
      </c>
      <c r="M14" s="475">
        <f>'Phụ lục số 5'!X35</f>
        <v>28190</v>
      </c>
      <c r="N14" s="475">
        <f>'Phụ lục số 5'!X36</f>
        <v>0</v>
      </c>
      <c r="O14" s="475">
        <f>'Phụ lục số 5'!X39</f>
        <v>1644</v>
      </c>
      <c r="P14" s="475">
        <f>'Phụ lục số 5'!X37</f>
        <v>11105</v>
      </c>
      <c r="Q14" s="475">
        <f>'Phụ lục số 5'!X42</f>
        <v>0</v>
      </c>
      <c r="R14" s="485">
        <f>'Phụ lục số 6'!J4</f>
        <v>644011</v>
      </c>
      <c r="S14" s="475">
        <f t="shared" si="4"/>
        <v>73380</v>
      </c>
      <c r="T14" s="475">
        <f>'Phụ lục số 6'!J7</f>
        <v>38380</v>
      </c>
      <c r="U14" s="475">
        <f>'Phụ lục số 6'!J8</f>
        <v>35000</v>
      </c>
      <c r="V14" s="475">
        <f t="shared" si="5"/>
        <v>560435</v>
      </c>
      <c r="W14" s="475">
        <f>'Phụ lục số 6'!J11</f>
        <v>300161</v>
      </c>
      <c r="X14" s="475">
        <f>'Phụ lục số 6'!J12</f>
        <v>5541</v>
      </c>
      <c r="Y14" s="475">
        <f>'Phụ lục số 6'!J13</f>
        <v>254733</v>
      </c>
      <c r="Z14" s="475">
        <f>'Phụ lục số 6'!J14</f>
        <v>10196</v>
      </c>
      <c r="AA14" s="475">
        <f>'Phụ lục số 6'!J15</f>
        <v>0</v>
      </c>
    </row>
    <row r="15" spans="1:27" ht="24.95" customHeight="1" x14ac:dyDescent="0.25">
      <c r="A15" s="103">
        <v>8</v>
      </c>
      <c r="B15" s="157" t="s">
        <v>27</v>
      </c>
      <c r="C15" s="475">
        <f>'Phụ lục số 5'!AA5</f>
        <v>151050</v>
      </c>
      <c r="D15" s="485">
        <f t="shared" si="0"/>
        <v>572951</v>
      </c>
      <c r="E15" s="475">
        <f>'Phụ lục số 5'!AC5</f>
        <v>124760</v>
      </c>
      <c r="F15" s="475">
        <f t="shared" si="1"/>
        <v>80950</v>
      </c>
      <c r="G15" s="475">
        <f>'Phụ lục số 5'!AC7+'Phụ lục số 5'!AC8</f>
        <v>43810</v>
      </c>
      <c r="H15" s="475">
        <f t="shared" si="2"/>
        <v>448191</v>
      </c>
      <c r="I15" s="485">
        <f>'Phụ lục số 5'!AC32</f>
        <v>363769</v>
      </c>
      <c r="J15" s="475">
        <f t="shared" si="3"/>
        <v>84422</v>
      </c>
      <c r="K15" s="475">
        <f>'Phụ lục số 5'!AA34</f>
        <v>61600</v>
      </c>
      <c r="L15" s="475">
        <f>'Phụ lục số 5'!AA38</f>
        <v>0</v>
      </c>
      <c r="M15" s="475">
        <f>'Phụ lục số 5'!AA35</f>
        <v>14701</v>
      </c>
      <c r="N15" s="475">
        <f>'Phụ lục số 5'!AA36</f>
        <v>0</v>
      </c>
      <c r="O15" s="475">
        <f>'Phụ lục số 5'!AA39</f>
        <v>1160</v>
      </c>
      <c r="P15" s="475">
        <f>'Phụ lục số 5'!AA37</f>
        <v>6961</v>
      </c>
      <c r="Q15" s="475">
        <f>'Phụ lục số 5'!AA42</f>
        <v>0</v>
      </c>
      <c r="R15" s="485">
        <f>'Phụ lục số 6'!K4</f>
        <v>572951</v>
      </c>
      <c r="S15" s="475">
        <f t="shared" si="4"/>
        <v>75255</v>
      </c>
      <c r="T15" s="475">
        <f>'Phụ lục số 6'!K7</f>
        <v>35255</v>
      </c>
      <c r="U15" s="475">
        <f>'Phụ lục số 6'!K8</f>
        <v>40000</v>
      </c>
      <c r="V15" s="475">
        <f t="shared" si="5"/>
        <v>488791</v>
      </c>
      <c r="W15" s="475">
        <f>'Phụ lục số 6'!K11</f>
        <v>263884</v>
      </c>
      <c r="X15" s="475">
        <f>'Phụ lục số 6'!K12</f>
        <v>5026</v>
      </c>
      <c r="Y15" s="475">
        <f>'Phụ lục số 6'!K13</f>
        <v>219881</v>
      </c>
      <c r="Z15" s="475">
        <f>'Phụ lục số 6'!K14</f>
        <v>8905</v>
      </c>
      <c r="AA15" s="475">
        <f>'Phụ lục số 6'!K15</f>
        <v>0</v>
      </c>
    </row>
    <row r="16" spans="1:27" ht="24.95" customHeight="1" x14ac:dyDescent="0.25">
      <c r="A16" s="103">
        <v>9</v>
      </c>
      <c r="B16" s="157" t="s">
        <v>28</v>
      </c>
      <c r="C16" s="475">
        <f>'Phụ lục số 5'!AD5</f>
        <v>164030</v>
      </c>
      <c r="D16" s="485">
        <f t="shared" si="0"/>
        <v>519594</v>
      </c>
      <c r="E16" s="475">
        <f>'Phụ lục số 5'!AF5</f>
        <v>133600</v>
      </c>
      <c r="F16" s="475">
        <f t="shared" si="1"/>
        <v>58630</v>
      </c>
      <c r="G16" s="475">
        <f>'Phụ lục số 5'!AF7+'Phụ lục số 5'!AF8</f>
        <v>74970</v>
      </c>
      <c r="H16" s="475">
        <f t="shared" si="2"/>
        <v>359439</v>
      </c>
      <c r="I16" s="485">
        <f>'Phụ lục số 5'!AF32</f>
        <v>343539</v>
      </c>
      <c r="J16" s="475">
        <f t="shared" si="3"/>
        <v>15900</v>
      </c>
      <c r="K16" s="475">
        <f>'Phụ lục số 5'!AD34</f>
        <v>15900</v>
      </c>
      <c r="L16" s="475">
        <f>'Phụ lục số 5'!AD38</f>
        <v>0</v>
      </c>
      <c r="M16" s="475">
        <f>'Phụ lục số 5'!AD35</f>
        <v>0</v>
      </c>
      <c r="N16" s="475">
        <f>'Phụ lục số 5'!AD36</f>
        <v>0</v>
      </c>
      <c r="O16" s="475">
        <f>'Phụ lục số 5'!AD39</f>
        <v>0</v>
      </c>
      <c r="P16" s="475">
        <f>'Phụ lục số 5'!AD37</f>
        <v>0</v>
      </c>
      <c r="Q16" s="475">
        <f>'Phụ lục số 5'!AD42</f>
        <v>26555</v>
      </c>
      <c r="R16" s="485">
        <f>'Phụ lục số 6'!L4</f>
        <v>519594</v>
      </c>
      <c r="S16" s="475">
        <f t="shared" si="4"/>
        <v>46807</v>
      </c>
      <c r="T16" s="475">
        <f>'Phụ lục số 6'!L7</f>
        <v>31807</v>
      </c>
      <c r="U16" s="475">
        <f>'Phụ lục số 6'!L8</f>
        <v>15000</v>
      </c>
      <c r="V16" s="475">
        <f t="shared" si="5"/>
        <v>460627</v>
      </c>
      <c r="W16" s="475">
        <f>'Phụ lục số 6'!L11</f>
        <v>261083</v>
      </c>
      <c r="X16" s="475">
        <f>'Phụ lục số 6'!L12</f>
        <v>4533</v>
      </c>
      <c r="Y16" s="475">
        <f>'Phụ lục số 6'!L13</f>
        <v>195011</v>
      </c>
      <c r="Z16" s="475">
        <f>'Phụ lục số 6'!L14</f>
        <v>9268</v>
      </c>
      <c r="AA16" s="475">
        <f>'Phụ lục số 6'!L15</f>
        <v>2892</v>
      </c>
    </row>
    <row r="17" spans="1:27" ht="24.95" customHeight="1" x14ac:dyDescent="0.25">
      <c r="A17" s="103">
        <v>10</v>
      </c>
      <c r="B17" s="157" t="s">
        <v>29</v>
      </c>
      <c r="C17" s="475">
        <f>'Phụ lục số 5'!AG5</f>
        <v>109970</v>
      </c>
      <c r="D17" s="485">
        <f t="shared" si="0"/>
        <v>462013</v>
      </c>
      <c r="E17" s="475">
        <f>'Phụ lục số 5'!AI5</f>
        <v>88150</v>
      </c>
      <c r="F17" s="475">
        <f t="shared" si="1"/>
        <v>48750</v>
      </c>
      <c r="G17" s="475">
        <f>'Phụ lục số 5'!AI7+'Phụ lục số 5'!AI8</f>
        <v>39400</v>
      </c>
      <c r="H17" s="475">
        <f t="shared" si="2"/>
        <v>372155</v>
      </c>
      <c r="I17" s="485">
        <f>'Phụ lục số 5'!AI32</f>
        <v>323859</v>
      </c>
      <c r="J17" s="475">
        <f t="shared" si="3"/>
        <v>48296</v>
      </c>
      <c r="K17" s="475">
        <f>'Phụ lục số 5'!AG34</f>
        <v>18300</v>
      </c>
      <c r="L17" s="475">
        <f>'Phụ lục số 5'!AG38</f>
        <v>0</v>
      </c>
      <c r="M17" s="475">
        <f>'Phụ lục số 5'!AG35</f>
        <v>15164</v>
      </c>
      <c r="N17" s="475">
        <f>'Phụ lục số 5'!AG36</f>
        <v>0</v>
      </c>
      <c r="O17" s="475">
        <f>'Phụ lục số 5'!AG39</f>
        <v>1088</v>
      </c>
      <c r="P17" s="475">
        <f>'Phụ lục số 5'!AG37</f>
        <v>13744</v>
      </c>
      <c r="Q17" s="475">
        <f>'Phụ lục số 5'!AG42</f>
        <v>1708</v>
      </c>
      <c r="R17" s="485">
        <f>'Phụ lục số 6'!M4</f>
        <v>462013</v>
      </c>
      <c r="S17" s="475">
        <f t="shared" si="4"/>
        <v>42690</v>
      </c>
      <c r="T17" s="475">
        <f>'Phụ lục số 6'!M7</f>
        <v>32690</v>
      </c>
      <c r="U17" s="475">
        <f>'Phụ lục số 6'!M8</f>
        <v>10000</v>
      </c>
      <c r="V17" s="475">
        <f t="shared" si="5"/>
        <v>411599</v>
      </c>
      <c r="W17" s="475">
        <f>'Phụ lục số 6'!M11</f>
        <v>232331</v>
      </c>
      <c r="X17" s="475">
        <f>'Phụ lục số 6'!M12</f>
        <v>3971</v>
      </c>
      <c r="Y17" s="475">
        <f>'Phụ lục số 6'!M13</f>
        <v>175297</v>
      </c>
      <c r="Z17" s="475">
        <f>'Phụ lục số 6'!M14</f>
        <v>7724</v>
      </c>
      <c r="AA17" s="475">
        <f>'Phụ lục số 6'!M15</f>
        <v>0</v>
      </c>
    </row>
    <row r="18" spans="1:27" ht="24.95" customHeight="1" x14ac:dyDescent="0.25">
      <c r="A18" s="103">
        <v>11</v>
      </c>
      <c r="B18" s="157" t="s">
        <v>52</v>
      </c>
      <c r="C18" s="475">
        <f>'Phụ lục số 5'!AJ5</f>
        <v>307760</v>
      </c>
      <c r="D18" s="485">
        <f t="shared" si="0"/>
        <v>494945</v>
      </c>
      <c r="E18" s="475">
        <f>'Phụ lục số 5'!AL5</f>
        <v>264860</v>
      </c>
      <c r="F18" s="475">
        <f t="shared" si="1"/>
        <v>127660</v>
      </c>
      <c r="G18" s="475">
        <f>'Phụ lục số 5'!AL7+'Phụ lục số 5'!AL8</f>
        <v>137200</v>
      </c>
      <c r="H18" s="475">
        <f t="shared" si="2"/>
        <v>230085</v>
      </c>
      <c r="I18" s="485">
        <f>'Phụ lục số 5'!AL32</f>
        <v>159099</v>
      </c>
      <c r="J18" s="475">
        <f t="shared" si="3"/>
        <v>70986</v>
      </c>
      <c r="K18" s="475">
        <f>'Phụ lục số 5'!AJ34</f>
        <v>4500</v>
      </c>
      <c r="L18" s="475">
        <f>'Phụ lục số 5'!AJ38</f>
        <v>33750</v>
      </c>
      <c r="M18" s="475">
        <f>'Phụ lục số 5'!AJ35</f>
        <v>16341</v>
      </c>
      <c r="N18" s="475">
        <f>'Phụ lục số 5'!AJ36</f>
        <v>5155</v>
      </c>
      <c r="O18" s="475">
        <f>'Phụ lục số 5'!AJ39</f>
        <v>794</v>
      </c>
      <c r="P18" s="475">
        <f>'Phụ lục số 5'!AJ37</f>
        <v>10446</v>
      </c>
      <c r="Q18" s="475">
        <f>'Phụ lục số 5'!AJ42</f>
        <v>0</v>
      </c>
      <c r="R18" s="485">
        <f>'Phụ lục số 6'!N4</f>
        <v>494945</v>
      </c>
      <c r="S18" s="475">
        <f t="shared" si="4"/>
        <v>123800</v>
      </c>
      <c r="T18" s="475">
        <f>'Phụ lục số 6'!N7</f>
        <v>63800</v>
      </c>
      <c r="U18" s="475">
        <f>'Phụ lục số 6'!N8</f>
        <v>60000</v>
      </c>
      <c r="V18" s="475">
        <f t="shared" si="5"/>
        <v>363843</v>
      </c>
      <c r="W18" s="475">
        <f>'Phụ lục số 6'!N11</f>
        <v>142984</v>
      </c>
      <c r="X18" s="475">
        <f>'Phụ lục số 6'!N12</f>
        <v>3531</v>
      </c>
      <c r="Y18" s="475">
        <f>'Phụ lục số 6'!N13</f>
        <v>217328</v>
      </c>
      <c r="Z18" s="475">
        <f>'Phụ lục số 6'!N14</f>
        <v>7302</v>
      </c>
      <c r="AA18" s="475">
        <f>'Phụ lục số 6'!N15</f>
        <v>0</v>
      </c>
    </row>
    <row r="19" spans="1:27" ht="24.95" customHeight="1" x14ac:dyDescent="0.25">
      <c r="A19" s="160">
        <v>12</v>
      </c>
      <c r="B19" s="158" t="s">
        <v>13</v>
      </c>
      <c r="C19" s="486">
        <f>'Phụ lục số 5'!AM5</f>
        <v>101210</v>
      </c>
      <c r="D19" s="487">
        <f t="shared" si="0"/>
        <v>433001</v>
      </c>
      <c r="E19" s="486">
        <f>'Phụ lục số 5'!AO5</f>
        <v>84350</v>
      </c>
      <c r="F19" s="486">
        <f t="shared" si="1"/>
        <v>51160</v>
      </c>
      <c r="G19" s="486">
        <f>'Phụ lục số 5'!AO7+'Phụ lục số 5'!AO8</f>
        <v>33190</v>
      </c>
      <c r="H19" s="486">
        <f t="shared" si="2"/>
        <v>348651</v>
      </c>
      <c r="I19" s="487">
        <f>'Phụ lục số 5'!AO32</f>
        <v>295461</v>
      </c>
      <c r="J19" s="486">
        <f t="shared" si="3"/>
        <v>53190</v>
      </c>
      <c r="K19" s="486">
        <f>'Phụ lục số 5'!AM34</f>
        <v>17700</v>
      </c>
      <c r="L19" s="486">
        <f>'Phụ lục số 5'!AM38</f>
        <v>0</v>
      </c>
      <c r="M19" s="486">
        <f>'Phụ lục số 5'!AM35</f>
        <v>20855</v>
      </c>
      <c r="N19" s="486">
        <f>'Phụ lục số 5'!AM36</f>
        <v>0</v>
      </c>
      <c r="O19" s="486">
        <f>'Phụ lục số 5'!AM39</f>
        <v>1096</v>
      </c>
      <c r="P19" s="486">
        <f>'Phụ lục số 5'!AM37</f>
        <v>13539</v>
      </c>
      <c r="Q19" s="486">
        <f>'Phụ lục số 5'!AM42</f>
        <v>0</v>
      </c>
      <c r="R19" s="487">
        <f>'Phụ lục số 6'!O4</f>
        <v>433001</v>
      </c>
      <c r="S19" s="486">
        <f t="shared" si="4"/>
        <v>45300</v>
      </c>
      <c r="T19" s="486">
        <f>'Phụ lục số 6'!O7</f>
        <v>25300</v>
      </c>
      <c r="U19" s="486">
        <f>'Phụ lục số 6'!O8</f>
        <v>20000</v>
      </c>
      <c r="V19" s="486">
        <f t="shared" si="5"/>
        <v>380498</v>
      </c>
      <c r="W19" s="486">
        <f>'Phụ lục số 6'!O11</f>
        <v>197043</v>
      </c>
      <c r="X19" s="486">
        <f>'Phụ lục số 6'!O12</f>
        <v>3737</v>
      </c>
      <c r="Y19" s="486">
        <f>'Phụ lục số 6'!O13</f>
        <v>179718</v>
      </c>
      <c r="Z19" s="486">
        <f>'Phụ lục số 6'!O14</f>
        <v>7203</v>
      </c>
      <c r="AA19" s="486">
        <f>'Phụ lục số 6'!O15</f>
        <v>0</v>
      </c>
    </row>
    <row r="20" spans="1:27" s="14" customFormat="1" ht="24.95" customHeight="1" x14ac:dyDescent="0.25">
      <c r="A20" s="1025" t="s">
        <v>30</v>
      </c>
      <c r="B20" s="1026"/>
      <c r="C20" s="488">
        <f t="shared" ref="C20:P20" si="6">SUM(C8:C19)</f>
        <v>2253600</v>
      </c>
      <c r="D20" s="488">
        <f t="shared" si="6"/>
        <v>6096576</v>
      </c>
      <c r="E20" s="488">
        <f>SUM(E8:E19)</f>
        <v>1817390</v>
      </c>
      <c r="F20" s="488">
        <f>SUM(F8:F19)</f>
        <v>907700</v>
      </c>
      <c r="G20" s="488">
        <f>SUM(G8:G19)</f>
        <v>909690</v>
      </c>
      <c r="H20" s="488">
        <f t="shared" si="6"/>
        <v>4119360</v>
      </c>
      <c r="I20" s="488">
        <f>SUM(I8:I19)</f>
        <v>3464851</v>
      </c>
      <c r="J20" s="488">
        <f>SUM(J8:J19)</f>
        <v>654509</v>
      </c>
      <c r="K20" s="488">
        <f t="shared" si="6"/>
        <v>317798</v>
      </c>
      <c r="L20" s="488">
        <f t="shared" si="6"/>
        <v>33750</v>
      </c>
      <c r="M20" s="488">
        <f t="shared" si="6"/>
        <v>195366</v>
      </c>
      <c r="N20" s="488">
        <f t="shared" si="6"/>
        <v>5840</v>
      </c>
      <c r="O20" s="488">
        <f t="shared" si="6"/>
        <v>10498</v>
      </c>
      <c r="P20" s="488">
        <f t="shared" si="6"/>
        <v>91257</v>
      </c>
      <c r="Q20" s="488">
        <f>SUM(Q8:Q19)</f>
        <v>159826</v>
      </c>
      <c r="R20" s="488">
        <f t="shared" ref="R20:AA20" si="7">SUM(R8:R19)</f>
        <v>6096576</v>
      </c>
      <c r="S20" s="488">
        <f t="shared" si="7"/>
        <v>856697</v>
      </c>
      <c r="T20" s="488">
        <f t="shared" si="7"/>
        <v>476697</v>
      </c>
      <c r="U20" s="488">
        <f t="shared" si="7"/>
        <v>380000</v>
      </c>
      <c r="V20" s="488">
        <f t="shared" si="7"/>
        <v>4937033</v>
      </c>
      <c r="W20" s="488">
        <f t="shared" si="7"/>
        <v>2630740</v>
      </c>
      <c r="X20" s="488">
        <f t="shared" si="7"/>
        <v>49921</v>
      </c>
      <c r="Y20" s="488">
        <f t="shared" si="7"/>
        <v>2256372</v>
      </c>
      <c r="Z20" s="488">
        <f t="shared" si="7"/>
        <v>98651</v>
      </c>
      <c r="AA20" s="488">
        <f t="shared" si="7"/>
        <v>204195</v>
      </c>
    </row>
    <row r="21" spans="1:27" x14ac:dyDescent="0.25">
      <c r="R21" s="928"/>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34" customWidth="1"/>
    <col min="2" max="2" width="80.625" style="534" customWidth="1"/>
    <col min="3" max="3" width="20.625" style="534" customWidth="1"/>
    <col min="4" max="4" width="18.625" style="534" customWidth="1"/>
    <col min="5" max="5" width="17.875" style="534" customWidth="1"/>
    <col min="6" max="16384" width="9" style="534"/>
  </cols>
  <sheetData>
    <row r="1" spans="1:5" ht="69.75" hidden="1" customHeight="1" x14ac:dyDescent="0.2">
      <c r="A1" s="1038" t="s">
        <v>35</v>
      </c>
      <c r="B1" s="1038"/>
      <c r="C1" s="1038"/>
      <c r="D1" s="1038"/>
      <c r="E1" s="1038"/>
    </row>
    <row r="2" spans="1:5" hidden="1" x14ac:dyDescent="0.2"/>
    <row r="3" spans="1:5" ht="36.75" customHeight="1" x14ac:dyDescent="0.2">
      <c r="A3" s="1039" t="s">
        <v>739</v>
      </c>
      <c r="B3" s="1040"/>
      <c r="C3" s="1040"/>
      <c r="D3" s="1040"/>
      <c r="E3" s="1040"/>
    </row>
    <row r="4" spans="1:5" x14ac:dyDescent="0.2">
      <c r="E4" s="535" t="s">
        <v>393</v>
      </c>
    </row>
    <row r="5" spans="1:5" s="536" customFormat="1" ht="31.5" customHeight="1" x14ac:dyDescent="0.25">
      <c r="A5" s="1041" t="s">
        <v>396</v>
      </c>
      <c r="B5" s="1041" t="s">
        <v>36</v>
      </c>
      <c r="C5" s="1041" t="s">
        <v>746</v>
      </c>
      <c r="D5" s="1041" t="s">
        <v>37</v>
      </c>
      <c r="E5" s="1041"/>
    </row>
    <row r="6" spans="1:5" s="536" customFormat="1" ht="39" customHeight="1" x14ac:dyDescent="0.25">
      <c r="A6" s="1041"/>
      <c r="B6" s="1041"/>
      <c r="C6" s="1041"/>
      <c r="D6" s="537" t="s">
        <v>356</v>
      </c>
      <c r="E6" s="537" t="s">
        <v>38</v>
      </c>
    </row>
    <row r="7" spans="1:5" ht="35.1" customHeight="1" x14ac:dyDescent="0.2">
      <c r="A7" s="538" t="s">
        <v>279</v>
      </c>
      <c r="B7" s="539" t="s">
        <v>1075</v>
      </c>
      <c r="C7" s="540">
        <f>237567</f>
        <v>237567</v>
      </c>
      <c r="D7" s="540">
        <f>SUM(D8:D9)</f>
        <v>167012</v>
      </c>
      <c r="E7" s="540">
        <f>SUM(E8:E9)</f>
        <v>70555</v>
      </c>
    </row>
    <row r="8" spans="1:5" ht="35.1" customHeight="1" x14ac:dyDescent="0.2">
      <c r="A8" s="532">
        <v>1</v>
      </c>
      <c r="B8" s="533" t="s">
        <v>255</v>
      </c>
      <c r="C8" s="541">
        <f t="shared" ref="C8:C17" si="0">SUM(D8:E8)</f>
        <v>14167</v>
      </c>
      <c r="D8" s="541">
        <v>6912</v>
      </c>
      <c r="E8" s="541">
        <v>7255</v>
      </c>
    </row>
    <row r="9" spans="1:5" ht="35.1" customHeight="1" x14ac:dyDescent="0.2">
      <c r="A9" s="532">
        <v>2</v>
      </c>
      <c r="B9" s="542" t="s">
        <v>175</v>
      </c>
      <c r="C9" s="531">
        <f t="shared" si="0"/>
        <v>223400</v>
      </c>
      <c r="D9" s="541">
        <v>160100</v>
      </c>
      <c r="E9" s="541">
        <v>63300</v>
      </c>
    </row>
    <row r="10" spans="1:5" ht="35.1" customHeight="1" x14ac:dyDescent="0.2">
      <c r="A10" s="543" t="s">
        <v>295</v>
      </c>
      <c r="B10" s="544" t="s">
        <v>39</v>
      </c>
      <c r="C10" s="545">
        <f>SUM(C11,C18)</f>
        <v>1568030</v>
      </c>
      <c r="D10" s="545">
        <f>SUM(D11,D18)</f>
        <v>849684</v>
      </c>
      <c r="E10" s="545">
        <f>SUM(E11,E18)</f>
        <v>718346</v>
      </c>
    </row>
    <row r="11" spans="1:5" ht="35.1" customHeight="1" x14ac:dyDescent="0.2">
      <c r="A11" s="546" t="s">
        <v>281</v>
      </c>
      <c r="B11" s="547" t="s">
        <v>704</v>
      </c>
      <c r="C11" s="545">
        <f>SUM(C12,C14)</f>
        <v>849684</v>
      </c>
      <c r="D11" s="545">
        <f>SUM(D12,D14)</f>
        <v>849684</v>
      </c>
      <c r="E11" s="545">
        <f>SUM(E12,E14)</f>
        <v>0</v>
      </c>
    </row>
    <row r="12" spans="1:5" s="551" customFormat="1" ht="35.1" customHeight="1" x14ac:dyDescent="0.2">
      <c r="A12" s="546">
        <v>1</v>
      </c>
      <c r="B12" s="552" t="s">
        <v>503</v>
      </c>
      <c r="C12" s="550">
        <f>SUM(D12:E12)</f>
        <v>170444</v>
      </c>
      <c r="D12" s="550">
        <v>170444</v>
      </c>
      <c r="E12" s="550"/>
    </row>
    <row r="13" spans="1:5" s="939" customFormat="1" ht="35.1" customHeight="1" x14ac:dyDescent="0.2">
      <c r="A13" s="936"/>
      <c r="B13" s="937" t="s">
        <v>1076</v>
      </c>
      <c r="C13" s="938">
        <f>SUM(D13:E13)</f>
        <v>120444</v>
      </c>
      <c r="D13" s="938">
        <v>120444</v>
      </c>
      <c r="E13" s="938"/>
    </row>
    <row r="14" spans="1:5" s="551" customFormat="1" ht="48.75" customHeight="1" x14ac:dyDescent="0.2">
      <c r="A14" s="556">
        <v>2</v>
      </c>
      <c r="B14" s="552" t="s">
        <v>1074</v>
      </c>
      <c r="C14" s="550">
        <f>SUM(C15,C17)</f>
        <v>679240</v>
      </c>
      <c r="D14" s="550">
        <f>SUM(D15,D17)</f>
        <v>679240</v>
      </c>
      <c r="E14" s="550">
        <f>SUM(E15,E17)</f>
        <v>0</v>
      </c>
    </row>
    <row r="15" spans="1:5" ht="48.75" customHeight="1" x14ac:dyDescent="0.2">
      <c r="A15" s="548" t="s">
        <v>307</v>
      </c>
      <c r="B15" s="533" t="s">
        <v>703</v>
      </c>
      <c r="C15" s="531">
        <f t="shared" si="0"/>
        <v>350840</v>
      </c>
      <c r="D15" s="531">
        <f>350840</f>
        <v>350840</v>
      </c>
      <c r="E15" s="531">
        <v>0</v>
      </c>
    </row>
    <row r="16" spans="1:5" ht="48.75" customHeight="1" x14ac:dyDescent="0.2">
      <c r="A16" s="936"/>
      <c r="B16" s="937" t="s">
        <v>1077</v>
      </c>
      <c r="C16" s="938">
        <f>SUM(D16:E16)</f>
        <v>49305</v>
      </c>
      <c r="D16" s="938">
        <v>49305</v>
      </c>
      <c r="E16" s="938"/>
    </row>
    <row r="17" spans="1:5" ht="35.1" customHeight="1" x14ac:dyDescent="0.2">
      <c r="A17" s="548" t="s">
        <v>308</v>
      </c>
      <c r="B17" s="533" t="s">
        <v>710</v>
      </c>
      <c r="C17" s="531">
        <f t="shared" si="0"/>
        <v>328400</v>
      </c>
      <c r="D17" s="531">
        <v>328400</v>
      </c>
      <c r="E17" s="531"/>
    </row>
    <row r="18" spans="1:5" ht="35.1" customHeight="1" x14ac:dyDescent="0.2">
      <c r="A18" s="546" t="s">
        <v>294</v>
      </c>
      <c r="B18" s="547" t="s">
        <v>40</v>
      </c>
      <c r="C18" s="545">
        <f t="shared" ref="C18:D18" si="1">SUM(C19,C28)</f>
        <v>718346</v>
      </c>
      <c r="D18" s="545">
        <f t="shared" si="1"/>
        <v>0</v>
      </c>
      <c r="E18" s="545">
        <f>SUM(E19,E28)</f>
        <v>718346</v>
      </c>
    </row>
    <row r="19" spans="1:5" ht="35.1" customHeight="1" x14ac:dyDescent="0.2">
      <c r="A19" s="546" t="s">
        <v>643</v>
      </c>
      <c r="B19" s="547" t="s">
        <v>644</v>
      </c>
      <c r="C19" s="545">
        <f>SUM(C20:C27)</f>
        <v>381607</v>
      </c>
      <c r="D19" s="545">
        <f>SUM(D20:D27)</f>
        <v>0</v>
      </c>
      <c r="E19" s="545">
        <f>SUM(E20:E27)</f>
        <v>381607</v>
      </c>
    </row>
    <row r="20" spans="1:5" ht="35.1" customHeight="1" x14ac:dyDescent="0.2">
      <c r="A20" s="532">
        <v>1</v>
      </c>
      <c r="B20" s="533" t="s">
        <v>1021</v>
      </c>
      <c r="C20" s="531">
        <f t="shared" ref="C20:C48" si="2">SUM(D20:E20)</f>
        <v>25200</v>
      </c>
      <c r="D20" s="531"/>
      <c r="E20" s="531">
        <f>25200</f>
        <v>25200</v>
      </c>
    </row>
    <row r="21" spans="1:5" ht="35.1" customHeight="1" x14ac:dyDescent="0.2">
      <c r="A21" s="532">
        <v>2</v>
      </c>
      <c r="B21" s="533" t="s">
        <v>1020</v>
      </c>
      <c r="C21" s="531">
        <f t="shared" si="2"/>
        <v>21434</v>
      </c>
      <c r="D21" s="531"/>
      <c r="E21" s="531">
        <f>21434</f>
        <v>21434</v>
      </c>
    </row>
    <row r="22" spans="1:5" ht="40.5" x14ac:dyDescent="0.2">
      <c r="A22" s="532">
        <v>3</v>
      </c>
      <c r="B22" s="533" t="s">
        <v>1022</v>
      </c>
      <c r="C22" s="531">
        <f t="shared" si="2"/>
        <v>59529</v>
      </c>
      <c r="D22" s="531"/>
      <c r="E22" s="531">
        <f>59529</f>
        <v>59529</v>
      </c>
    </row>
    <row r="23" spans="1:5" ht="40.5" x14ac:dyDescent="0.2">
      <c r="A23" s="532">
        <v>4</v>
      </c>
      <c r="B23" s="533" t="s">
        <v>1023</v>
      </c>
      <c r="C23" s="531">
        <f t="shared" si="2"/>
        <v>36121</v>
      </c>
      <c r="D23" s="531"/>
      <c r="E23" s="531">
        <f>36121</f>
        <v>36121</v>
      </c>
    </row>
    <row r="24" spans="1:5" ht="40.5" x14ac:dyDescent="0.2">
      <c r="A24" s="532">
        <v>5</v>
      </c>
      <c r="B24" s="533" t="s">
        <v>1018</v>
      </c>
      <c r="C24" s="531">
        <f>SUM(D24:E24)</f>
        <v>2037</v>
      </c>
      <c r="D24" s="531"/>
      <c r="E24" s="531">
        <f>2037</f>
        <v>2037</v>
      </c>
    </row>
    <row r="25" spans="1:5" ht="27" x14ac:dyDescent="0.2">
      <c r="A25" s="532">
        <v>6</v>
      </c>
      <c r="B25" s="533" t="s">
        <v>1019</v>
      </c>
      <c r="C25" s="531">
        <f>SUM(D25:E25)</f>
        <v>3183</v>
      </c>
      <c r="D25" s="531"/>
      <c r="E25" s="531">
        <f>3183</f>
        <v>3183</v>
      </c>
    </row>
    <row r="26" spans="1:5" ht="18.75" customHeight="1" x14ac:dyDescent="0.2">
      <c r="A26" s="946">
        <v>7</v>
      </c>
      <c r="B26" s="945" t="s">
        <v>1079</v>
      </c>
      <c r="C26" s="947">
        <f>SUM(D26:E26)</f>
        <v>200353</v>
      </c>
      <c r="D26" s="947"/>
      <c r="E26" s="947">
        <f>200353</f>
        <v>200353</v>
      </c>
    </row>
    <row r="27" spans="1:5" ht="22.5" customHeight="1" x14ac:dyDescent="0.2">
      <c r="A27" s="532">
        <v>8</v>
      </c>
      <c r="B27" s="533" t="s">
        <v>1024</v>
      </c>
      <c r="C27" s="531">
        <f t="shared" si="2"/>
        <v>33750</v>
      </c>
      <c r="D27" s="531"/>
      <c r="E27" s="531">
        <f>33750</f>
        <v>33750</v>
      </c>
    </row>
    <row r="28" spans="1:5" s="551" customFormat="1" ht="35.1" customHeight="1" x14ac:dyDescent="0.2">
      <c r="A28" s="549" t="s">
        <v>645</v>
      </c>
      <c r="B28" s="547" t="s">
        <v>646</v>
      </c>
      <c r="C28" s="550">
        <f>SUM(C29,C30,C41)</f>
        <v>336739</v>
      </c>
      <c r="D28" s="550">
        <f>SUM(D29,D30,D41)</f>
        <v>0</v>
      </c>
      <c r="E28" s="550">
        <f>SUM(E29,E30,E41)</f>
        <v>336739</v>
      </c>
    </row>
    <row r="29" spans="1:5" s="551" customFormat="1" ht="35.1" customHeight="1" x14ac:dyDescent="0.2">
      <c r="A29" s="549" t="s">
        <v>667</v>
      </c>
      <c r="B29" s="552" t="s">
        <v>242</v>
      </c>
      <c r="C29" s="550">
        <f t="shared" si="2"/>
        <v>16700</v>
      </c>
      <c r="D29" s="550"/>
      <c r="E29" s="550">
        <v>16700</v>
      </c>
    </row>
    <row r="30" spans="1:5" s="551" customFormat="1" ht="35.1" customHeight="1" x14ac:dyDescent="0.2">
      <c r="A30" s="549" t="s">
        <v>668</v>
      </c>
      <c r="B30" s="552" t="s">
        <v>241</v>
      </c>
      <c r="C30" s="550">
        <f>SUM(C31:C40)</f>
        <v>292176</v>
      </c>
      <c r="D30" s="550">
        <f>SUM(D31:D40)</f>
        <v>0</v>
      </c>
      <c r="E30" s="550">
        <f>SUM(E31:E40)</f>
        <v>292176</v>
      </c>
    </row>
    <row r="31" spans="1:5" s="551" customFormat="1" ht="35.1" customHeight="1" x14ac:dyDescent="0.2">
      <c r="A31" s="532">
        <v>1</v>
      </c>
      <c r="B31" s="533" t="s">
        <v>709</v>
      </c>
      <c r="C31" s="555">
        <f>SUM(D31:E31)</f>
        <v>34795</v>
      </c>
      <c r="D31" s="555"/>
      <c r="E31" s="555">
        <f>34795</f>
        <v>34795</v>
      </c>
    </row>
    <row r="32" spans="1:5" s="551" customFormat="1" ht="35.1" customHeight="1" x14ac:dyDescent="0.2">
      <c r="A32" s="532">
        <v>2</v>
      </c>
      <c r="B32" s="533" t="s">
        <v>1025</v>
      </c>
      <c r="C32" s="531">
        <f>SUM(D32:E32)</f>
        <v>38435</v>
      </c>
      <c r="D32" s="531"/>
      <c r="E32" s="531">
        <f>72185-E27</f>
        <v>38435</v>
      </c>
    </row>
    <row r="33" spans="1:6" s="551" customFormat="1" ht="35.1" customHeight="1" x14ac:dyDescent="0.2">
      <c r="A33" s="946">
        <v>3</v>
      </c>
      <c r="B33" s="945" t="s">
        <v>1080</v>
      </c>
      <c r="C33" s="948">
        <f>SUM(D33:E33)</f>
        <v>94000</v>
      </c>
      <c r="D33" s="948"/>
      <c r="E33" s="948">
        <f>94000</f>
        <v>94000</v>
      </c>
    </row>
    <row r="34" spans="1:6" s="551" customFormat="1" ht="35.1" customHeight="1" x14ac:dyDescent="0.2">
      <c r="A34" s="532">
        <v>4</v>
      </c>
      <c r="B34" s="533" t="s">
        <v>692</v>
      </c>
      <c r="C34" s="555">
        <f>SUM(D34:E34)</f>
        <v>50000</v>
      </c>
      <c r="D34" s="555"/>
      <c r="E34" s="555">
        <f>50000</f>
        <v>50000</v>
      </c>
    </row>
    <row r="35" spans="1:6" ht="35.1" customHeight="1" x14ac:dyDescent="0.2">
      <c r="A35" s="532">
        <v>5</v>
      </c>
      <c r="B35" s="533" t="s">
        <v>717</v>
      </c>
      <c r="C35" s="531">
        <f t="shared" si="2"/>
        <v>500</v>
      </c>
      <c r="D35" s="531"/>
      <c r="E35" s="531">
        <f>500</f>
        <v>500</v>
      </c>
      <c r="F35" s="534" t="s">
        <v>1093</v>
      </c>
    </row>
    <row r="36" spans="1:6" ht="35.1" customHeight="1" x14ac:dyDescent="0.2">
      <c r="A36" s="532">
        <v>6</v>
      </c>
      <c r="B36" s="533" t="s">
        <v>715</v>
      </c>
      <c r="C36" s="531">
        <f t="shared" si="2"/>
        <v>272</v>
      </c>
      <c r="D36" s="531"/>
      <c r="E36" s="531">
        <v>272</v>
      </c>
      <c r="F36" s="534" t="s">
        <v>1089</v>
      </c>
    </row>
    <row r="37" spans="1:6" ht="35.1" customHeight="1" x14ac:dyDescent="0.2">
      <c r="A37" s="532">
        <v>7</v>
      </c>
      <c r="B37" s="533" t="s">
        <v>716</v>
      </c>
      <c r="C37" s="531">
        <f t="shared" si="2"/>
        <v>640</v>
      </c>
      <c r="D37" s="531"/>
      <c r="E37" s="531">
        <f>550+90</f>
        <v>640</v>
      </c>
      <c r="F37" s="534" t="s">
        <v>1090</v>
      </c>
    </row>
    <row r="38" spans="1:6" ht="35.1" customHeight="1" x14ac:dyDescent="0.2">
      <c r="A38" s="532">
        <v>8</v>
      </c>
      <c r="B38" s="533" t="s">
        <v>713</v>
      </c>
      <c r="C38" s="531">
        <f t="shared" si="2"/>
        <v>700</v>
      </c>
      <c r="D38" s="531"/>
      <c r="E38" s="531">
        <f>700</f>
        <v>700</v>
      </c>
      <c r="F38" s="534" t="s">
        <v>1088</v>
      </c>
    </row>
    <row r="39" spans="1:6" ht="35.1" customHeight="1" x14ac:dyDescent="0.2">
      <c r="A39" s="532">
        <v>9</v>
      </c>
      <c r="B39" s="533" t="s">
        <v>714</v>
      </c>
      <c r="C39" s="531">
        <f t="shared" si="2"/>
        <v>34073</v>
      </c>
      <c r="D39" s="531"/>
      <c r="E39" s="531">
        <f>34073</f>
        <v>34073</v>
      </c>
      <c r="F39" s="534" t="s">
        <v>1084</v>
      </c>
    </row>
    <row r="40" spans="1:6" ht="35.1" customHeight="1" x14ac:dyDescent="0.2">
      <c r="A40" s="532">
        <v>10</v>
      </c>
      <c r="B40" s="533" t="s">
        <v>1073</v>
      </c>
      <c r="C40" s="531">
        <f t="shared" si="2"/>
        <v>38761</v>
      </c>
      <c r="D40" s="531"/>
      <c r="E40" s="531">
        <v>38761</v>
      </c>
      <c r="F40" s="534" t="s">
        <v>1091</v>
      </c>
    </row>
    <row r="41" spans="1:6" s="554" customFormat="1" ht="35.1" customHeight="1" x14ac:dyDescent="0.2">
      <c r="A41" s="546" t="s">
        <v>1078</v>
      </c>
      <c r="B41" s="547" t="s">
        <v>1082</v>
      </c>
      <c r="C41" s="553">
        <f t="shared" ref="C41:D41" si="3">SUM(C42:C49)</f>
        <v>27863</v>
      </c>
      <c r="D41" s="553">
        <f t="shared" si="3"/>
        <v>0</v>
      </c>
      <c r="E41" s="553">
        <f>SUM(E42:E49)</f>
        <v>27863</v>
      </c>
    </row>
    <row r="42" spans="1:6" ht="35.1" customHeight="1" x14ac:dyDescent="0.2">
      <c r="A42" s="532">
        <v>1</v>
      </c>
      <c r="B42" s="533" t="s">
        <v>697</v>
      </c>
      <c r="C42" s="531">
        <f t="shared" si="2"/>
        <v>6780</v>
      </c>
      <c r="D42" s="531"/>
      <c r="E42" s="531">
        <v>6780</v>
      </c>
      <c r="F42" s="534" t="s">
        <v>1086</v>
      </c>
    </row>
    <row r="43" spans="1:6" ht="35.1" customHeight="1" x14ac:dyDescent="0.2">
      <c r="A43" s="532">
        <v>2</v>
      </c>
      <c r="B43" s="533" t="s">
        <v>698</v>
      </c>
      <c r="C43" s="531">
        <f t="shared" si="2"/>
        <v>7823</v>
      </c>
      <c r="D43" s="531"/>
      <c r="E43" s="531">
        <v>7823</v>
      </c>
      <c r="F43" s="534" t="s">
        <v>1086</v>
      </c>
    </row>
    <row r="44" spans="1:6" ht="35.1" customHeight="1" x14ac:dyDescent="0.2">
      <c r="A44" s="532">
        <v>3</v>
      </c>
      <c r="B44" s="533" t="s">
        <v>699</v>
      </c>
      <c r="C44" s="531">
        <f t="shared" si="2"/>
        <v>6065</v>
      </c>
      <c r="D44" s="531"/>
      <c r="E44" s="531">
        <v>6065</v>
      </c>
      <c r="F44" s="534" t="s">
        <v>1087</v>
      </c>
    </row>
    <row r="45" spans="1:6" ht="35.1" customHeight="1" x14ac:dyDescent="0.2">
      <c r="A45" s="532">
        <v>4</v>
      </c>
      <c r="B45" s="533" t="s">
        <v>700</v>
      </c>
      <c r="C45" s="531">
        <f t="shared" si="2"/>
        <v>1115</v>
      </c>
      <c r="D45" s="531"/>
      <c r="E45" s="531">
        <v>1115</v>
      </c>
      <c r="F45" s="534" t="s">
        <v>1085</v>
      </c>
    </row>
    <row r="46" spans="1:6" ht="35.1" customHeight="1" x14ac:dyDescent="0.2">
      <c r="A46" s="532">
        <v>5</v>
      </c>
      <c r="B46" s="533" t="s">
        <v>701</v>
      </c>
      <c r="C46" s="531">
        <f t="shared" si="2"/>
        <v>1780</v>
      </c>
      <c r="D46" s="531"/>
      <c r="E46" s="531">
        <v>1780</v>
      </c>
      <c r="F46" s="534" t="s">
        <v>1084</v>
      </c>
    </row>
    <row r="47" spans="1:6" ht="35.1" customHeight="1" x14ac:dyDescent="0.2">
      <c r="A47" s="532">
        <v>6</v>
      </c>
      <c r="B47" s="533" t="s">
        <v>702</v>
      </c>
      <c r="C47" s="531">
        <f t="shared" si="2"/>
        <v>900</v>
      </c>
      <c r="D47" s="531"/>
      <c r="E47" s="531">
        <v>900</v>
      </c>
      <c r="F47" s="534" t="s">
        <v>1092</v>
      </c>
    </row>
    <row r="48" spans="1:6" ht="35.1" customHeight="1" x14ac:dyDescent="0.2">
      <c r="A48" s="532">
        <v>7</v>
      </c>
      <c r="B48" s="533" t="s">
        <v>708</v>
      </c>
      <c r="C48" s="531">
        <f t="shared" si="2"/>
        <v>3000</v>
      </c>
      <c r="D48" s="531"/>
      <c r="E48" s="531">
        <v>3000</v>
      </c>
      <c r="F48" s="534" t="s">
        <v>1092</v>
      </c>
    </row>
    <row r="49" spans="1:6" ht="35.1" customHeight="1" x14ac:dyDescent="0.2">
      <c r="A49" s="874">
        <v>8</v>
      </c>
      <c r="B49" s="875" t="s">
        <v>1083</v>
      </c>
      <c r="C49" s="876">
        <f>SUM(D49:E49)</f>
        <v>400</v>
      </c>
      <c r="D49" s="876"/>
      <c r="E49" s="876">
        <v>400</v>
      </c>
      <c r="F49" s="534" t="s">
        <v>1092</v>
      </c>
    </row>
    <row r="50" spans="1:6" ht="35.1" customHeight="1" x14ac:dyDescent="0.2">
      <c r="A50" s="1037" t="s">
        <v>41</v>
      </c>
      <c r="B50" s="1037"/>
      <c r="C50" s="877">
        <f>SUM(C7,C10)</f>
        <v>1805597</v>
      </c>
      <c r="D50" s="877">
        <f>SUM(D7,D10)</f>
        <v>1016696</v>
      </c>
      <c r="E50" s="877">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67" bestFit="1" customWidth="1"/>
    <col min="2" max="2" width="72.625" style="248" customWidth="1"/>
    <col min="3" max="3" width="9.25" style="248" customWidth="1"/>
    <col min="4" max="4" width="8.625" style="248" customWidth="1"/>
    <col min="5" max="5" width="9.375" style="248" customWidth="1"/>
    <col min="6" max="6" width="10.25" style="248" customWidth="1"/>
    <col min="7" max="7" width="10.625" style="248" customWidth="1"/>
    <col min="8" max="8" width="10" style="248" customWidth="1"/>
    <col min="9" max="10" width="8.5" style="248" customWidth="1"/>
    <col min="11" max="11" width="7.5" style="267" customWidth="1"/>
    <col min="12" max="12" width="7.125" style="267" customWidth="1"/>
    <col min="13" max="13" width="8.125" style="267" customWidth="1"/>
    <col min="14" max="15" width="7.5" style="267" customWidth="1"/>
    <col min="16" max="16" width="8.625" style="267" customWidth="1"/>
    <col min="17" max="19" width="7.5" style="267" customWidth="1"/>
    <col min="20" max="20" width="8.375" style="267" customWidth="1"/>
    <col min="21" max="21" width="7.5" style="267" customWidth="1"/>
    <col min="22" max="22" width="8.25" style="267" customWidth="1"/>
    <col min="23" max="25" width="7.5" style="267" customWidth="1"/>
    <col min="26" max="26" width="8.25" style="267" customWidth="1"/>
    <col min="27" max="27" width="8.125" style="248" customWidth="1"/>
    <col min="28" max="28" width="8.25" style="248" customWidth="1"/>
    <col min="29" max="29" width="8.75" style="248" customWidth="1"/>
    <col min="30" max="30" width="7.125" style="248" customWidth="1"/>
    <col min="31" max="31" width="9.5" style="248" customWidth="1"/>
    <col min="32" max="32" width="8.625" style="248" customWidth="1"/>
    <col min="33" max="33" width="8.875" style="248" customWidth="1"/>
    <col min="34" max="34" width="8.125" style="248" customWidth="1"/>
    <col min="35" max="37" width="7.625" style="267" customWidth="1"/>
    <col min="38" max="38" width="6.5" style="267" customWidth="1"/>
    <col min="39" max="47" width="8.5" style="248" customWidth="1"/>
    <col min="48" max="48" width="7.5" style="248" customWidth="1"/>
    <col min="49" max="49" width="7.25" style="248" customWidth="1"/>
    <col min="50" max="50" width="8.5" style="248" customWidth="1"/>
    <col min="51" max="51" width="9.375" style="248" customWidth="1"/>
    <col min="52" max="54" width="8.5" style="248" customWidth="1"/>
    <col min="55" max="55" width="9.25" style="248" customWidth="1"/>
    <col min="56" max="58" width="8.5" style="248" customWidth="1"/>
    <col min="59" max="59" width="7.875" style="248" customWidth="1"/>
    <col min="60" max="60" width="8.5" style="248" customWidth="1"/>
    <col min="61" max="61" width="7.375" style="248" customWidth="1"/>
    <col min="62" max="62" width="7.625" style="248" customWidth="1"/>
    <col min="63" max="63" width="9.875" style="248" customWidth="1"/>
    <col min="64" max="64" width="8.25" style="248" customWidth="1"/>
    <col min="65" max="67" width="8.875" style="248" customWidth="1"/>
    <col min="68" max="68" width="8.75" style="248" customWidth="1"/>
    <col min="69" max="69" width="8" style="248" customWidth="1"/>
    <col min="70" max="70" width="8.25" style="248" customWidth="1"/>
    <col min="71" max="71" width="7.375" style="248" customWidth="1"/>
    <col min="72" max="72" width="8.875" style="248" customWidth="1"/>
    <col min="73" max="73" width="7.375" style="248" customWidth="1"/>
    <col min="74" max="74" width="6.625" style="248" customWidth="1"/>
    <col min="75" max="75" width="9.5" style="248" customWidth="1"/>
    <col min="76" max="76" width="8" style="248" customWidth="1"/>
    <col min="77" max="77" width="8.375" style="248" customWidth="1"/>
    <col min="78" max="78" width="8.5" style="248" customWidth="1"/>
    <col min="79" max="79" width="8" style="248" customWidth="1"/>
    <col min="80" max="80" width="7.875" style="248" customWidth="1"/>
    <col min="81" max="81" width="8" style="248" customWidth="1"/>
    <col min="82" max="82" width="8.5" style="248" customWidth="1"/>
    <col min="83" max="85" width="8.125" style="248" customWidth="1"/>
    <col min="86" max="86" width="8" style="248" customWidth="1"/>
    <col min="87" max="90" width="8.75" style="248" customWidth="1"/>
    <col min="91" max="91" width="7.625" style="248" customWidth="1"/>
    <col min="92" max="93" width="8.75" style="248" customWidth="1"/>
    <col min="94" max="94" width="7.75" style="248" customWidth="1"/>
    <col min="95" max="97" width="8" style="248" customWidth="1"/>
    <col min="98" max="98" width="7.875" style="248" customWidth="1"/>
    <col min="99" max="100" width="8.75" style="248" customWidth="1"/>
    <col min="101" max="101" width="8.375" style="248" customWidth="1"/>
    <col min="102" max="102" width="8" style="248" customWidth="1"/>
    <col min="103" max="103" width="7.875" style="248" customWidth="1"/>
    <col min="104" max="106" width="8.25" style="248" customWidth="1"/>
    <col min="107" max="109" width="8.125" style="248" customWidth="1"/>
    <col min="110" max="110" width="7.875" style="248" customWidth="1"/>
    <col min="111" max="111" width="8.875" style="248" customWidth="1"/>
    <col min="112" max="112" width="8.375" style="248" customWidth="1"/>
    <col min="113" max="113" width="8.25" style="248" customWidth="1"/>
    <col min="114" max="114" width="8.875" style="248" customWidth="1"/>
    <col min="115" max="115" width="8.125" style="248" customWidth="1"/>
    <col min="116" max="116" width="8.25" style="248" customWidth="1"/>
    <col min="117" max="117" width="8.875" style="248" customWidth="1"/>
    <col min="118" max="118" width="8" style="248" customWidth="1"/>
    <col min="119" max="121" width="7.875" style="248" customWidth="1"/>
    <col min="122" max="122" width="7.75" style="248" customWidth="1"/>
    <col min="123" max="126" width="8.875" style="248" customWidth="1"/>
    <col min="127" max="127" width="8.75" style="248" customWidth="1"/>
    <col min="128" max="128" width="8.625" style="248" customWidth="1"/>
    <col min="129" max="130" width="8.25" style="248" customWidth="1"/>
    <col min="131" max="131" width="7.625" style="248" customWidth="1"/>
    <col min="132" max="132" width="8" style="248" customWidth="1"/>
    <col min="133" max="133" width="7.125" style="248" customWidth="1"/>
    <col min="134" max="134" width="7.625" style="248" customWidth="1"/>
    <col min="135" max="135" width="8.875" style="248" customWidth="1"/>
    <col min="136" max="136" width="8.125" style="248" customWidth="1"/>
    <col min="137" max="141" width="8.875" style="248" customWidth="1"/>
    <col min="142" max="142" width="8" style="248" customWidth="1"/>
    <col min="143" max="143" width="7.75" style="248" customWidth="1"/>
    <col min="144" max="144" width="7.875" style="248" customWidth="1"/>
    <col min="145" max="145" width="7.375" style="248" customWidth="1"/>
    <col min="146" max="146" width="7.875" style="248" customWidth="1"/>
    <col min="147" max="153" width="8.875" style="248" customWidth="1"/>
    <col min="154" max="154" width="7.5" style="248" customWidth="1"/>
    <col min="155" max="155" width="7.25" style="248" customWidth="1"/>
    <col min="156" max="156" width="8.375" style="248" customWidth="1"/>
    <col min="157" max="157" width="7.25" style="248" customWidth="1"/>
    <col min="158" max="158" width="7.625" style="248" customWidth="1"/>
    <col min="159" max="256" width="9" style="248"/>
    <col min="257" max="257" width="4.5" style="248" bestFit="1" customWidth="1"/>
    <col min="258" max="258" width="69.125" style="248" customWidth="1"/>
    <col min="259" max="259" width="9.25" style="248" customWidth="1"/>
    <col min="260" max="260" width="8.625" style="248" customWidth="1"/>
    <col min="261" max="261" width="9.375" style="248" customWidth="1"/>
    <col min="262" max="262" width="10.25" style="248" customWidth="1"/>
    <col min="263" max="263" width="10.625" style="248" customWidth="1"/>
    <col min="264" max="264" width="10" style="248" customWidth="1"/>
    <col min="265" max="266" width="8.5" style="248" customWidth="1"/>
    <col min="267" max="267" width="7.5" style="248" customWidth="1"/>
    <col min="268" max="268" width="7.125" style="248" customWidth="1"/>
    <col min="269" max="269" width="8.125" style="248" customWidth="1"/>
    <col min="270" max="271" width="7.5" style="248" customWidth="1"/>
    <col min="272" max="272" width="8.625" style="248" customWidth="1"/>
    <col min="273" max="275" width="7.5" style="248" customWidth="1"/>
    <col min="276" max="276" width="8.375" style="248" customWidth="1"/>
    <col min="277" max="277" width="7.5" style="248" customWidth="1"/>
    <col min="278" max="278" width="8.25" style="248" customWidth="1"/>
    <col min="279" max="281" width="7.5" style="248" customWidth="1"/>
    <col min="282" max="282" width="8.25" style="248" customWidth="1"/>
    <col min="283" max="283" width="8.125" style="248" customWidth="1"/>
    <col min="284" max="284" width="8.25" style="248" customWidth="1"/>
    <col min="285" max="285" width="8.75" style="248" customWidth="1"/>
    <col min="286" max="286" width="7.125" style="248" customWidth="1"/>
    <col min="287" max="287" width="9.5" style="248" customWidth="1"/>
    <col min="288" max="288" width="8.625" style="248" customWidth="1"/>
    <col min="289" max="289" width="8.875" style="248" customWidth="1"/>
    <col min="290" max="290" width="8.125" style="248" customWidth="1"/>
    <col min="291" max="293" width="7.625" style="248" customWidth="1"/>
    <col min="294" max="294" width="6.5" style="248" customWidth="1"/>
    <col min="295" max="303" width="8.5" style="248" customWidth="1"/>
    <col min="304" max="304" width="7.5" style="248" customWidth="1"/>
    <col min="305" max="305" width="7.25" style="248" customWidth="1"/>
    <col min="306" max="306" width="8.5" style="248" customWidth="1"/>
    <col min="307" max="307" width="9.375" style="248" customWidth="1"/>
    <col min="308" max="310" width="8.5" style="248" customWidth="1"/>
    <col min="311" max="311" width="9.25" style="248" customWidth="1"/>
    <col min="312" max="314" width="8.5" style="248" customWidth="1"/>
    <col min="315" max="315" width="7.875" style="248" customWidth="1"/>
    <col min="316" max="316" width="8.5" style="248" customWidth="1"/>
    <col min="317" max="317" width="7.375" style="248" customWidth="1"/>
    <col min="318" max="318" width="7.625" style="248" customWidth="1"/>
    <col min="319" max="319" width="9.875" style="248" customWidth="1"/>
    <col min="320" max="320" width="8.25" style="248" customWidth="1"/>
    <col min="321" max="323" width="8.875" style="248" customWidth="1"/>
    <col min="324" max="324" width="8.75" style="248" customWidth="1"/>
    <col min="325" max="325" width="8" style="248" customWidth="1"/>
    <col min="326" max="326" width="8.25" style="248" customWidth="1"/>
    <col min="327" max="327" width="7.375" style="248" customWidth="1"/>
    <col min="328" max="328" width="8.875" style="248" customWidth="1"/>
    <col min="329" max="329" width="7.375" style="248" customWidth="1"/>
    <col min="330" max="330" width="6.625" style="248" customWidth="1"/>
    <col min="331" max="331" width="9.5" style="248" customWidth="1"/>
    <col min="332" max="332" width="8" style="248" customWidth="1"/>
    <col min="333" max="333" width="8.375" style="248" customWidth="1"/>
    <col min="334" max="334" width="8.5" style="248" customWidth="1"/>
    <col min="335" max="335" width="8" style="248" customWidth="1"/>
    <col min="336" max="336" width="7.875" style="248" customWidth="1"/>
    <col min="337" max="337" width="8" style="248" customWidth="1"/>
    <col min="338" max="338" width="8.5" style="248" customWidth="1"/>
    <col min="339" max="341" width="8.125" style="248" customWidth="1"/>
    <col min="342" max="342" width="8" style="248" customWidth="1"/>
    <col min="343" max="346" width="8.75" style="248" customWidth="1"/>
    <col min="347" max="347" width="7.625" style="248" customWidth="1"/>
    <col min="348" max="349" width="8.75" style="248" customWidth="1"/>
    <col min="350" max="350" width="7.75" style="248" customWidth="1"/>
    <col min="351" max="353" width="8" style="248" customWidth="1"/>
    <col min="354" max="354" width="7.875" style="248" customWidth="1"/>
    <col min="355" max="356" width="8.75" style="248" customWidth="1"/>
    <col min="357" max="357" width="8.375" style="248" customWidth="1"/>
    <col min="358" max="358" width="8" style="248" customWidth="1"/>
    <col min="359" max="359" width="7.875" style="248" customWidth="1"/>
    <col min="360" max="362" width="8.25" style="248" customWidth="1"/>
    <col min="363" max="365" width="8.125" style="248" customWidth="1"/>
    <col min="366" max="366" width="7.875" style="248" customWidth="1"/>
    <col min="367" max="367" width="8.875" style="248" customWidth="1"/>
    <col min="368" max="368" width="8.375" style="248" customWidth="1"/>
    <col min="369" max="369" width="8.25" style="248" customWidth="1"/>
    <col min="370" max="370" width="8.875" style="248" customWidth="1"/>
    <col min="371" max="371" width="8.125" style="248" customWidth="1"/>
    <col min="372" max="372" width="8.25" style="248" customWidth="1"/>
    <col min="373" max="373" width="8.875" style="248" customWidth="1"/>
    <col min="374" max="374" width="8" style="248" customWidth="1"/>
    <col min="375" max="377" width="7.875" style="248" customWidth="1"/>
    <col min="378" max="378" width="7.75" style="248" customWidth="1"/>
    <col min="379" max="382" width="8.875" style="248" customWidth="1"/>
    <col min="383" max="383" width="8.75" style="248" customWidth="1"/>
    <col min="384" max="384" width="8.625" style="248" customWidth="1"/>
    <col min="385" max="386" width="8.25" style="248" customWidth="1"/>
    <col min="387" max="387" width="7.625" style="248" customWidth="1"/>
    <col min="388" max="388" width="8" style="248" customWidth="1"/>
    <col min="389" max="389" width="7.125" style="248" customWidth="1"/>
    <col min="390" max="390" width="7.625" style="248" customWidth="1"/>
    <col min="391" max="391" width="8.875" style="248" customWidth="1"/>
    <col min="392" max="392" width="8.125" style="248" customWidth="1"/>
    <col min="393" max="397" width="8.875" style="248" customWidth="1"/>
    <col min="398" max="398" width="8" style="248" customWidth="1"/>
    <col min="399" max="399" width="7.75" style="248" customWidth="1"/>
    <col min="400" max="400" width="7.875" style="248" customWidth="1"/>
    <col min="401" max="401" width="7.375" style="248" customWidth="1"/>
    <col min="402" max="402" width="7.875" style="248" customWidth="1"/>
    <col min="403" max="409" width="8.875" style="248" customWidth="1"/>
    <col min="410" max="410" width="7.5" style="248" customWidth="1"/>
    <col min="411" max="411" width="7.25" style="248" customWidth="1"/>
    <col min="412" max="412" width="8.375" style="248" customWidth="1"/>
    <col min="413" max="413" width="7.25" style="248" customWidth="1"/>
    <col min="414" max="414" width="7.625" style="248" customWidth="1"/>
    <col min="415" max="512" width="9" style="248"/>
    <col min="513" max="513" width="4.5" style="248" bestFit="1" customWidth="1"/>
    <col min="514" max="514" width="69.125" style="248" customWidth="1"/>
    <col min="515" max="515" width="9.25" style="248" customWidth="1"/>
    <col min="516" max="516" width="8.625" style="248" customWidth="1"/>
    <col min="517" max="517" width="9.375" style="248" customWidth="1"/>
    <col min="518" max="518" width="10.25" style="248" customWidth="1"/>
    <col min="519" max="519" width="10.625" style="248" customWidth="1"/>
    <col min="520" max="520" width="10" style="248" customWidth="1"/>
    <col min="521" max="522" width="8.5" style="248" customWidth="1"/>
    <col min="523" max="523" width="7.5" style="248" customWidth="1"/>
    <col min="524" max="524" width="7.125" style="248" customWidth="1"/>
    <col min="525" max="525" width="8.125" style="248" customWidth="1"/>
    <col min="526" max="527" width="7.5" style="248" customWidth="1"/>
    <col min="528" max="528" width="8.625" style="248" customWidth="1"/>
    <col min="529" max="531" width="7.5" style="248" customWidth="1"/>
    <col min="532" max="532" width="8.375" style="248" customWidth="1"/>
    <col min="533" max="533" width="7.5" style="248" customWidth="1"/>
    <col min="534" max="534" width="8.25" style="248" customWidth="1"/>
    <col min="535" max="537" width="7.5" style="248" customWidth="1"/>
    <col min="538" max="538" width="8.25" style="248" customWidth="1"/>
    <col min="539" max="539" width="8.125" style="248" customWidth="1"/>
    <col min="540" max="540" width="8.25" style="248" customWidth="1"/>
    <col min="541" max="541" width="8.75" style="248" customWidth="1"/>
    <col min="542" max="542" width="7.125" style="248" customWidth="1"/>
    <col min="543" max="543" width="9.5" style="248" customWidth="1"/>
    <col min="544" max="544" width="8.625" style="248" customWidth="1"/>
    <col min="545" max="545" width="8.875" style="248" customWidth="1"/>
    <col min="546" max="546" width="8.125" style="248" customWidth="1"/>
    <col min="547" max="549" width="7.625" style="248" customWidth="1"/>
    <col min="550" max="550" width="6.5" style="248" customWidth="1"/>
    <col min="551" max="559" width="8.5" style="248" customWidth="1"/>
    <col min="560" max="560" width="7.5" style="248" customWidth="1"/>
    <col min="561" max="561" width="7.25" style="248" customWidth="1"/>
    <col min="562" max="562" width="8.5" style="248" customWidth="1"/>
    <col min="563" max="563" width="9.375" style="248" customWidth="1"/>
    <col min="564" max="566" width="8.5" style="248" customWidth="1"/>
    <col min="567" max="567" width="9.25" style="248" customWidth="1"/>
    <col min="568" max="570" width="8.5" style="248" customWidth="1"/>
    <col min="571" max="571" width="7.875" style="248" customWidth="1"/>
    <col min="572" max="572" width="8.5" style="248" customWidth="1"/>
    <col min="573" max="573" width="7.375" style="248" customWidth="1"/>
    <col min="574" max="574" width="7.625" style="248" customWidth="1"/>
    <col min="575" max="575" width="9.875" style="248" customWidth="1"/>
    <col min="576" max="576" width="8.25" style="248" customWidth="1"/>
    <col min="577" max="579" width="8.875" style="248" customWidth="1"/>
    <col min="580" max="580" width="8.75" style="248" customWidth="1"/>
    <col min="581" max="581" width="8" style="248" customWidth="1"/>
    <col min="582" max="582" width="8.25" style="248" customWidth="1"/>
    <col min="583" max="583" width="7.375" style="248" customWidth="1"/>
    <col min="584" max="584" width="8.875" style="248" customWidth="1"/>
    <col min="585" max="585" width="7.375" style="248" customWidth="1"/>
    <col min="586" max="586" width="6.625" style="248" customWidth="1"/>
    <col min="587" max="587" width="9.5" style="248" customWidth="1"/>
    <col min="588" max="588" width="8" style="248" customWidth="1"/>
    <col min="589" max="589" width="8.375" style="248" customWidth="1"/>
    <col min="590" max="590" width="8.5" style="248" customWidth="1"/>
    <col min="591" max="591" width="8" style="248" customWidth="1"/>
    <col min="592" max="592" width="7.875" style="248" customWidth="1"/>
    <col min="593" max="593" width="8" style="248" customWidth="1"/>
    <col min="594" max="594" width="8.5" style="248" customWidth="1"/>
    <col min="595" max="597" width="8.125" style="248" customWidth="1"/>
    <col min="598" max="598" width="8" style="248" customWidth="1"/>
    <col min="599" max="602" width="8.75" style="248" customWidth="1"/>
    <col min="603" max="603" width="7.625" style="248" customWidth="1"/>
    <col min="604" max="605" width="8.75" style="248" customWidth="1"/>
    <col min="606" max="606" width="7.75" style="248" customWidth="1"/>
    <col min="607" max="609" width="8" style="248" customWidth="1"/>
    <col min="610" max="610" width="7.875" style="248" customWidth="1"/>
    <col min="611" max="612" width="8.75" style="248" customWidth="1"/>
    <col min="613" max="613" width="8.375" style="248" customWidth="1"/>
    <col min="614" max="614" width="8" style="248" customWidth="1"/>
    <col min="615" max="615" width="7.875" style="248" customWidth="1"/>
    <col min="616" max="618" width="8.25" style="248" customWidth="1"/>
    <col min="619" max="621" width="8.125" style="248" customWidth="1"/>
    <col min="622" max="622" width="7.875" style="248" customWidth="1"/>
    <col min="623" max="623" width="8.875" style="248" customWidth="1"/>
    <col min="624" max="624" width="8.375" style="248" customWidth="1"/>
    <col min="625" max="625" width="8.25" style="248" customWidth="1"/>
    <col min="626" max="626" width="8.875" style="248" customWidth="1"/>
    <col min="627" max="627" width="8.125" style="248" customWidth="1"/>
    <col min="628" max="628" width="8.25" style="248" customWidth="1"/>
    <col min="629" max="629" width="8.875" style="248" customWidth="1"/>
    <col min="630" max="630" width="8" style="248" customWidth="1"/>
    <col min="631" max="633" width="7.875" style="248" customWidth="1"/>
    <col min="634" max="634" width="7.75" style="248" customWidth="1"/>
    <col min="635" max="638" width="8.875" style="248" customWidth="1"/>
    <col min="639" max="639" width="8.75" style="248" customWidth="1"/>
    <col min="640" max="640" width="8.625" style="248" customWidth="1"/>
    <col min="641" max="642" width="8.25" style="248" customWidth="1"/>
    <col min="643" max="643" width="7.625" style="248" customWidth="1"/>
    <col min="644" max="644" width="8" style="248" customWidth="1"/>
    <col min="645" max="645" width="7.125" style="248" customWidth="1"/>
    <col min="646" max="646" width="7.625" style="248" customWidth="1"/>
    <col min="647" max="647" width="8.875" style="248" customWidth="1"/>
    <col min="648" max="648" width="8.125" style="248" customWidth="1"/>
    <col min="649" max="653" width="8.875" style="248" customWidth="1"/>
    <col min="654" max="654" width="8" style="248" customWidth="1"/>
    <col min="655" max="655" width="7.75" style="248" customWidth="1"/>
    <col min="656" max="656" width="7.875" style="248" customWidth="1"/>
    <col min="657" max="657" width="7.375" style="248" customWidth="1"/>
    <col min="658" max="658" width="7.875" style="248" customWidth="1"/>
    <col min="659" max="665" width="8.875" style="248" customWidth="1"/>
    <col min="666" max="666" width="7.5" style="248" customWidth="1"/>
    <col min="667" max="667" width="7.25" style="248" customWidth="1"/>
    <col min="668" max="668" width="8.375" style="248" customWidth="1"/>
    <col min="669" max="669" width="7.25" style="248" customWidth="1"/>
    <col min="670" max="670" width="7.625" style="248" customWidth="1"/>
    <col min="671" max="768" width="9" style="248"/>
    <col min="769" max="769" width="4.5" style="248" bestFit="1" customWidth="1"/>
    <col min="770" max="770" width="69.125" style="248" customWidth="1"/>
    <col min="771" max="771" width="9.25" style="248" customWidth="1"/>
    <col min="772" max="772" width="8.625" style="248" customWidth="1"/>
    <col min="773" max="773" width="9.375" style="248" customWidth="1"/>
    <col min="774" max="774" width="10.25" style="248" customWidth="1"/>
    <col min="775" max="775" width="10.625" style="248" customWidth="1"/>
    <col min="776" max="776" width="10" style="248" customWidth="1"/>
    <col min="777" max="778" width="8.5" style="248" customWidth="1"/>
    <col min="779" max="779" width="7.5" style="248" customWidth="1"/>
    <col min="780" max="780" width="7.125" style="248" customWidth="1"/>
    <col min="781" max="781" width="8.125" style="248" customWidth="1"/>
    <col min="782" max="783" width="7.5" style="248" customWidth="1"/>
    <col min="784" max="784" width="8.625" style="248" customWidth="1"/>
    <col min="785" max="787" width="7.5" style="248" customWidth="1"/>
    <col min="788" max="788" width="8.375" style="248" customWidth="1"/>
    <col min="789" max="789" width="7.5" style="248" customWidth="1"/>
    <col min="790" max="790" width="8.25" style="248" customWidth="1"/>
    <col min="791" max="793" width="7.5" style="248" customWidth="1"/>
    <col min="794" max="794" width="8.25" style="248" customWidth="1"/>
    <col min="795" max="795" width="8.125" style="248" customWidth="1"/>
    <col min="796" max="796" width="8.25" style="248" customWidth="1"/>
    <col min="797" max="797" width="8.75" style="248" customWidth="1"/>
    <col min="798" max="798" width="7.125" style="248" customWidth="1"/>
    <col min="799" max="799" width="9.5" style="248" customWidth="1"/>
    <col min="800" max="800" width="8.625" style="248" customWidth="1"/>
    <col min="801" max="801" width="8.875" style="248" customWidth="1"/>
    <col min="802" max="802" width="8.125" style="248" customWidth="1"/>
    <col min="803" max="805" width="7.625" style="248" customWidth="1"/>
    <col min="806" max="806" width="6.5" style="248" customWidth="1"/>
    <col min="807" max="815" width="8.5" style="248" customWidth="1"/>
    <col min="816" max="816" width="7.5" style="248" customWidth="1"/>
    <col min="817" max="817" width="7.25" style="248" customWidth="1"/>
    <col min="818" max="818" width="8.5" style="248" customWidth="1"/>
    <col min="819" max="819" width="9.375" style="248" customWidth="1"/>
    <col min="820" max="822" width="8.5" style="248" customWidth="1"/>
    <col min="823" max="823" width="9.25" style="248" customWidth="1"/>
    <col min="824" max="826" width="8.5" style="248" customWidth="1"/>
    <col min="827" max="827" width="7.875" style="248" customWidth="1"/>
    <col min="828" max="828" width="8.5" style="248" customWidth="1"/>
    <col min="829" max="829" width="7.375" style="248" customWidth="1"/>
    <col min="830" max="830" width="7.625" style="248" customWidth="1"/>
    <col min="831" max="831" width="9.875" style="248" customWidth="1"/>
    <col min="832" max="832" width="8.25" style="248" customWidth="1"/>
    <col min="833" max="835" width="8.875" style="248" customWidth="1"/>
    <col min="836" max="836" width="8.75" style="248" customWidth="1"/>
    <col min="837" max="837" width="8" style="248" customWidth="1"/>
    <col min="838" max="838" width="8.25" style="248" customWidth="1"/>
    <col min="839" max="839" width="7.375" style="248" customWidth="1"/>
    <col min="840" max="840" width="8.875" style="248" customWidth="1"/>
    <col min="841" max="841" width="7.375" style="248" customWidth="1"/>
    <col min="842" max="842" width="6.625" style="248" customWidth="1"/>
    <col min="843" max="843" width="9.5" style="248" customWidth="1"/>
    <col min="844" max="844" width="8" style="248" customWidth="1"/>
    <col min="845" max="845" width="8.375" style="248" customWidth="1"/>
    <col min="846" max="846" width="8.5" style="248" customWidth="1"/>
    <col min="847" max="847" width="8" style="248" customWidth="1"/>
    <col min="848" max="848" width="7.875" style="248" customWidth="1"/>
    <col min="849" max="849" width="8" style="248" customWidth="1"/>
    <col min="850" max="850" width="8.5" style="248" customWidth="1"/>
    <col min="851" max="853" width="8.125" style="248" customWidth="1"/>
    <col min="854" max="854" width="8" style="248" customWidth="1"/>
    <col min="855" max="858" width="8.75" style="248" customWidth="1"/>
    <col min="859" max="859" width="7.625" style="248" customWidth="1"/>
    <col min="860" max="861" width="8.75" style="248" customWidth="1"/>
    <col min="862" max="862" width="7.75" style="248" customWidth="1"/>
    <col min="863" max="865" width="8" style="248" customWidth="1"/>
    <col min="866" max="866" width="7.875" style="248" customWidth="1"/>
    <col min="867" max="868" width="8.75" style="248" customWidth="1"/>
    <col min="869" max="869" width="8.375" style="248" customWidth="1"/>
    <col min="870" max="870" width="8" style="248" customWidth="1"/>
    <col min="871" max="871" width="7.875" style="248" customWidth="1"/>
    <col min="872" max="874" width="8.25" style="248" customWidth="1"/>
    <col min="875" max="877" width="8.125" style="248" customWidth="1"/>
    <col min="878" max="878" width="7.875" style="248" customWidth="1"/>
    <col min="879" max="879" width="8.875" style="248" customWidth="1"/>
    <col min="880" max="880" width="8.375" style="248" customWidth="1"/>
    <col min="881" max="881" width="8.25" style="248" customWidth="1"/>
    <col min="882" max="882" width="8.875" style="248" customWidth="1"/>
    <col min="883" max="883" width="8.125" style="248" customWidth="1"/>
    <col min="884" max="884" width="8.25" style="248" customWidth="1"/>
    <col min="885" max="885" width="8.875" style="248" customWidth="1"/>
    <col min="886" max="886" width="8" style="248" customWidth="1"/>
    <col min="887" max="889" width="7.875" style="248" customWidth="1"/>
    <col min="890" max="890" width="7.75" style="248" customWidth="1"/>
    <col min="891" max="894" width="8.875" style="248" customWidth="1"/>
    <col min="895" max="895" width="8.75" style="248" customWidth="1"/>
    <col min="896" max="896" width="8.625" style="248" customWidth="1"/>
    <col min="897" max="898" width="8.25" style="248" customWidth="1"/>
    <col min="899" max="899" width="7.625" style="248" customWidth="1"/>
    <col min="900" max="900" width="8" style="248" customWidth="1"/>
    <col min="901" max="901" width="7.125" style="248" customWidth="1"/>
    <col min="902" max="902" width="7.625" style="248" customWidth="1"/>
    <col min="903" max="903" width="8.875" style="248" customWidth="1"/>
    <col min="904" max="904" width="8.125" style="248" customWidth="1"/>
    <col min="905" max="909" width="8.875" style="248" customWidth="1"/>
    <col min="910" max="910" width="8" style="248" customWidth="1"/>
    <col min="911" max="911" width="7.75" style="248" customWidth="1"/>
    <col min="912" max="912" width="7.875" style="248" customWidth="1"/>
    <col min="913" max="913" width="7.375" style="248" customWidth="1"/>
    <col min="914" max="914" width="7.875" style="248" customWidth="1"/>
    <col min="915" max="921" width="8.875" style="248" customWidth="1"/>
    <col min="922" max="922" width="7.5" style="248" customWidth="1"/>
    <col min="923" max="923" width="7.25" style="248" customWidth="1"/>
    <col min="924" max="924" width="8.375" style="248" customWidth="1"/>
    <col min="925" max="925" width="7.25" style="248" customWidth="1"/>
    <col min="926" max="926" width="7.625" style="248" customWidth="1"/>
    <col min="927" max="1024" width="9" style="248"/>
    <col min="1025" max="1025" width="4.5" style="248" bestFit="1" customWidth="1"/>
    <col min="1026" max="1026" width="69.125" style="248" customWidth="1"/>
    <col min="1027" max="1027" width="9.25" style="248" customWidth="1"/>
    <col min="1028" max="1028" width="8.625" style="248" customWidth="1"/>
    <col min="1029" max="1029" width="9.375" style="248" customWidth="1"/>
    <col min="1030" max="1030" width="10.25" style="248" customWidth="1"/>
    <col min="1031" max="1031" width="10.625" style="248" customWidth="1"/>
    <col min="1032" max="1032" width="10" style="248" customWidth="1"/>
    <col min="1033" max="1034" width="8.5" style="248" customWidth="1"/>
    <col min="1035" max="1035" width="7.5" style="248" customWidth="1"/>
    <col min="1036" max="1036" width="7.125" style="248" customWidth="1"/>
    <col min="1037" max="1037" width="8.125" style="248" customWidth="1"/>
    <col min="1038" max="1039" width="7.5" style="248" customWidth="1"/>
    <col min="1040" max="1040" width="8.625" style="248" customWidth="1"/>
    <col min="1041" max="1043" width="7.5" style="248" customWidth="1"/>
    <col min="1044" max="1044" width="8.375" style="248" customWidth="1"/>
    <col min="1045" max="1045" width="7.5" style="248" customWidth="1"/>
    <col min="1046" max="1046" width="8.25" style="248" customWidth="1"/>
    <col min="1047" max="1049" width="7.5" style="248" customWidth="1"/>
    <col min="1050" max="1050" width="8.25" style="248" customWidth="1"/>
    <col min="1051" max="1051" width="8.125" style="248" customWidth="1"/>
    <col min="1052" max="1052" width="8.25" style="248" customWidth="1"/>
    <col min="1053" max="1053" width="8.75" style="248" customWidth="1"/>
    <col min="1054" max="1054" width="7.125" style="248" customWidth="1"/>
    <col min="1055" max="1055" width="9.5" style="248" customWidth="1"/>
    <col min="1056" max="1056" width="8.625" style="248" customWidth="1"/>
    <col min="1057" max="1057" width="8.875" style="248" customWidth="1"/>
    <col min="1058" max="1058" width="8.125" style="248" customWidth="1"/>
    <col min="1059" max="1061" width="7.625" style="248" customWidth="1"/>
    <col min="1062" max="1062" width="6.5" style="248" customWidth="1"/>
    <col min="1063" max="1071" width="8.5" style="248" customWidth="1"/>
    <col min="1072" max="1072" width="7.5" style="248" customWidth="1"/>
    <col min="1073" max="1073" width="7.25" style="248" customWidth="1"/>
    <col min="1074" max="1074" width="8.5" style="248" customWidth="1"/>
    <col min="1075" max="1075" width="9.375" style="248" customWidth="1"/>
    <col min="1076" max="1078" width="8.5" style="248" customWidth="1"/>
    <col min="1079" max="1079" width="9.25" style="248" customWidth="1"/>
    <col min="1080" max="1082" width="8.5" style="248" customWidth="1"/>
    <col min="1083" max="1083" width="7.875" style="248" customWidth="1"/>
    <col min="1084" max="1084" width="8.5" style="248" customWidth="1"/>
    <col min="1085" max="1085" width="7.375" style="248" customWidth="1"/>
    <col min="1086" max="1086" width="7.625" style="248" customWidth="1"/>
    <col min="1087" max="1087" width="9.875" style="248" customWidth="1"/>
    <col min="1088" max="1088" width="8.25" style="248" customWidth="1"/>
    <col min="1089" max="1091" width="8.875" style="248" customWidth="1"/>
    <col min="1092" max="1092" width="8.75" style="248" customWidth="1"/>
    <col min="1093" max="1093" width="8" style="248" customWidth="1"/>
    <col min="1094" max="1094" width="8.25" style="248" customWidth="1"/>
    <col min="1095" max="1095" width="7.375" style="248" customWidth="1"/>
    <col min="1096" max="1096" width="8.875" style="248" customWidth="1"/>
    <col min="1097" max="1097" width="7.375" style="248" customWidth="1"/>
    <col min="1098" max="1098" width="6.625" style="248" customWidth="1"/>
    <col min="1099" max="1099" width="9.5" style="248" customWidth="1"/>
    <col min="1100" max="1100" width="8" style="248" customWidth="1"/>
    <col min="1101" max="1101" width="8.375" style="248" customWidth="1"/>
    <col min="1102" max="1102" width="8.5" style="248" customWidth="1"/>
    <col min="1103" max="1103" width="8" style="248" customWidth="1"/>
    <col min="1104" max="1104" width="7.875" style="248" customWidth="1"/>
    <col min="1105" max="1105" width="8" style="248" customWidth="1"/>
    <col min="1106" max="1106" width="8.5" style="248" customWidth="1"/>
    <col min="1107" max="1109" width="8.125" style="248" customWidth="1"/>
    <col min="1110" max="1110" width="8" style="248" customWidth="1"/>
    <col min="1111" max="1114" width="8.75" style="248" customWidth="1"/>
    <col min="1115" max="1115" width="7.625" style="248" customWidth="1"/>
    <col min="1116" max="1117" width="8.75" style="248" customWidth="1"/>
    <col min="1118" max="1118" width="7.75" style="248" customWidth="1"/>
    <col min="1119" max="1121" width="8" style="248" customWidth="1"/>
    <col min="1122" max="1122" width="7.875" style="248" customWidth="1"/>
    <col min="1123" max="1124" width="8.75" style="248" customWidth="1"/>
    <col min="1125" max="1125" width="8.375" style="248" customWidth="1"/>
    <col min="1126" max="1126" width="8" style="248" customWidth="1"/>
    <col min="1127" max="1127" width="7.875" style="248" customWidth="1"/>
    <col min="1128" max="1130" width="8.25" style="248" customWidth="1"/>
    <col min="1131" max="1133" width="8.125" style="248" customWidth="1"/>
    <col min="1134" max="1134" width="7.875" style="248" customWidth="1"/>
    <col min="1135" max="1135" width="8.875" style="248" customWidth="1"/>
    <col min="1136" max="1136" width="8.375" style="248" customWidth="1"/>
    <col min="1137" max="1137" width="8.25" style="248" customWidth="1"/>
    <col min="1138" max="1138" width="8.875" style="248" customWidth="1"/>
    <col min="1139" max="1139" width="8.125" style="248" customWidth="1"/>
    <col min="1140" max="1140" width="8.25" style="248" customWidth="1"/>
    <col min="1141" max="1141" width="8.875" style="248" customWidth="1"/>
    <col min="1142" max="1142" width="8" style="248" customWidth="1"/>
    <col min="1143" max="1145" width="7.875" style="248" customWidth="1"/>
    <col min="1146" max="1146" width="7.75" style="248" customWidth="1"/>
    <col min="1147" max="1150" width="8.875" style="248" customWidth="1"/>
    <col min="1151" max="1151" width="8.75" style="248" customWidth="1"/>
    <col min="1152" max="1152" width="8.625" style="248" customWidth="1"/>
    <col min="1153" max="1154" width="8.25" style="248" customWidth="1"/>
    <col min="1155" max="1155" width="7.625" style="248" customWidth="1"/>
    <col min="1156" max="1156" width="8" style="248" customWidth="1"/>
    <col min="1157" max="1157" width="7.125" style="248" customWidth="1"/>
    <col min="1158" max="1158" width="7.625" style="248" customWidth="1"/>
    <col min="1159" max="1159" width="8.875" style="248" customWidth="1"/>
    <col min="1160" max="1160" width="8.125" style="248" customWidth="1"/>
    <col min="1161" max="1165" width="8.875" style="248" customWidth="1"/>
    <col min="1166" max="1166" width="8" style="248" customWidth="1"/>
    <col min="1167" max="1167" width="7.75" style="248" customWidth="1"/>
    <col min="1168" max="1168" width="7.875" style="248" customWidth="1"/>
    <col min="1169" max="1169" width="7.375" style="248" customWidth="1"/>
    <col min="1170" max="1170" width="7.875" style="248" customWidth="1"/>
    <col min="1171" max="1177" width="8.875" style="248" customWidth="1"/>
    <col min="1178" max="1178" width="7.5" style="248" customWidth="1"/>
    <col min="1179" max="1179" width="7.25" style="248" customWidth="1"/>
    <col min="1180" max="1180" width="8.375" style="248" customWidth="1"/>
    <col min="1181" max="1181" width="7.25" style="248" customWidth="1"/>
    <col min="1182" max="1182" width="7.625" style="248" customWidth="1"/>
    <col min="1183" max="1280" width="9" style="248"/>
    <col min="1281" max="1281" width="4.5" style="248" bestFit="1" customWidth="1"/>
    <col min="1282" max="1282" width="69.125" style="248" customWidth="1"/>
    <col min="1283" max="1283" width="9.25" style="248" customWidth="1"/>
    <col min="1284" max="1284" width="8.625" style="248" customWidth="1"/>
    <col min="1285" max="1285" width="9.375" style="248" customWidth="1"/>
    <col min="1286" max="1286" width="10.25" style="248" customWidth="1"/>
    <col min="1287" max="1287" width="10.625" style="248" customWidth="1"/>
    <col min="1288" max="1288" width="10" style="248" customWidth="1"/>
    <col min="1289" max="1290" width="8.5" style="248" customWidth="1"/>
    <col min="1291" max="1291" width="7.5" style="248" customWidth="1"/>
    <col min="1292" max="1292" width="7.125" style="248" customWidth="1"/>
    <col min="1293" max="1293" width="8.125" style="248" customWidth="1"/>
    <col min="1294" max="1295" width="7.5" style="248" customWidth="1"/>
    <col min="1296" max="1296" width="8.625" style="248" customWidth="1"/>
    <col min="1297" max="1299" width="7.5" style="248" customWidth="1"/>
    <col min="1300" max="1300" width="8.375" style="248" customWidth="1"/>
    <col min="1301" max="1301" width="7.5" style="248" customWidth="1"/>
    <col min="1302" max="1302" width="8.25" style="248" customWidth="1"/>
    <col min="1303" max="1305" width="7.5" style="248" customWidth="1"/>
    <col min="1306" max="1306" width="8.25" style="248" customWidth="1"/>
    <col min="1307" max="1307" width="8.125" style="248" customWidth="1"/>
    <col min="1308" max="1308" width="8.25" style="248" customWidth="1"/>
    <col min="1309" max="1309" width="8.75" style="248" customWidth="1"/>
    <col min="1310" max="1310" width="7.125" style="248" customWidth="1"/>
    <col min="1311" max="1311" width="9.5" style="248" customWidth="1"/>
    <col min="1312" max="1312" width="8.625" style="248" customWidth="1"/>
    <col min="1313" max="1313" width="8.875" style="248" customWidth="1"/>
    <col min="1314" max="1314" width="8.125" style="248" customWidth="1"/>
    <col min="1315" max="1317" width="7.625" style="248" customWidth="1"/>
    <col min="1318" max="1318" width="6.5" style="248" customWidth="1"/>
    <col min="1319" max="1327" width="8.5" style="248" customWidth="1"/>
    <col min="1328" max="1328" width="7.5" style="248" customWidth="1"/>
    <col min="1329" max="1329" width="7.25" style="248" customWidth="1"/>
    <col min="1330" max="1330" width="8.5" style="248" customWidth="1"/>
    <col min="1331" max="1331" width="9.375" style="248" customWidth="1"/>
    <col min="1332" max="1334" width="8.5" style="248" customWidth="1"/>
    <col min="1335" max="1335" width="9.25" style="248" customWidth="1"/>
    <col min="1336" max="1338" width="8.5" style="248" customWidth="1"/>
    <col min="1339" max="1339" width="7.875" style="248" customWidth="1"/>
    <col min="1340" max="1340" width="8.5" style="248" customWidth="1"/>
    <col min="1341" max="1341" width="7.375" style="248" customWidth="1"/>
    <col min="1342" max="1342" width="7.625" style="248" customWidth="1"/>
    <col min="1343" max="1343" width="9.875" style="248" customWidth="1"/>
    <col min="1344" max="1344" width="8.25" style="248" customWidth="1"/>
    <col min="1345" max="1347" width="8.875" style="248" customWidth="1"/>
    <col min="1348" max="1348" width="8.75" style="248" customWidth="1"/>
    <col min="1349" max="1349" width="8" style="248" customWidth="1"/>
    <col min="1350" max="1350" width="8.25" style="248" customWidth="1"/>
    <col min="1351" max="1351" width="7.375" style="248" customWidth="1"/>
    <col min="1352" max="1352" width="8.875" style="248" customWidth="1"/>
    <col min="1353" max="1353" width="7.375" style="248" customWidth="1"/>
    <col min="1354" max="1354" width="6.625" style="248" customWidth="1"/>
    <col min="1355" max="1355" width="9.5" style="248" customWidth="1"/>
    <col min="1356" max="1356" width="8" style="248" customWidth="1"/>
    <col min="1357" max="1357" width="8.375" style="248" customWidth="1"/>
    <col min="1358" max="1358" width="8.5" style="248" customWidth="1"/>
    <col min="1359" max="1359" width="8" style="248" customWidth="1"/>
    <col min="1360" max="1360" width="7.875" style="248" customWidth="1"/>
    <col min="1361" max="1361" width="8" style="248" customWidth="1"/>
    <col min="1362" max="1362" width="8.5" style="248" customWidth="1"/>
    <col min="1363" max="1365" width="8.125" style="248" customWidth="1"/>
    <col min="1366" max="1366" width="8" style="248" customWidth="1"/>
    <col min="1367" max="1370" width="8.75" style="248" customWidth="1"/>
    <col min="1371" max="1371" width="7.625" style="248" customWidth="1"/>
    <col min="1372" max="1373" width="8.75" style="248" customWidth="1"/>
    <col min="1374" max="1374" width="7.75" style="248" customWidth="1"/>
    <col min="1375" max="1377" width="8" style="248" customWidth="1"/>
    <col min="1378" max="1378" width="7.875" style="248" customWidth="1"/>
    <col min="1379" max="1380" width="8.75" style="248" customWidth="1"/>
    <col min="1381" max="1381" width="8.375" style="248" customWidth="1"/>
    <col min="1382" max="1382" width="8" style="248" customWidth="1"/>
    <col min="1383" max="1383" width="7.875" style="248" customWidth="1"/>
    <col min="1384" max="1386" width="8.25" style="248" customWidth="1"/>
    <col min="1387" max="1389" width="8.125" style="248" customWidth="1"/>
    <col min="1390" max="1390" width="7.875" style="248" customWidth="1"/>
    <col min="1391" max="1391" width="8.875" style="248" customWidth="1"/>
    <col min="1392" max="1392" width="8.375" style="248" customWidth="1"/>
    <col min="1393" max="1393" width="8.25" style="248" customWidth="1"/>
    <col min="1394" max="1394" width="8.875" style="248" customWidth="1"/>
    <col min="1395" max="1395" width="8.125" style="248" customWidth="1"/>
    <col min="1396" max="1396" width="8.25" style="248" customWidth="1"/>
    <col min="1397" max="1397" width="8.875" style="248" customWidth="1"/>
    <col min="1398" max="1398" width="8" style="248" customWidth="1"/>
    <col min="1399" max="1401" width="7.875" style="248" customWidth="1"/>
    <col min="1402" max="1402" width="7.75" style="248" customWidth="1"/>
    <col min="1403" max="1406" width="8.875" style="248" customWidth="1"/>
    <col min="1407" max="1407" width="8.75" style="248" customWidth="1"/>
    <col min="1408" max="1408" width="8.625" style="248" customWidth="1"/>
    <col min="1409" max="1410" width="8.25" style="248" customWidth="1"/>
    <col min="1411" max="1411" width="7.625" style="248" customWidth="1"/>
    <col min="1412" max="1412" width="8" style="248" customWidth="1"/>
    <col min="1413" max="1413" width="7.125" style="248" customWidth="1"/>
    <col min="1414" max="1414" width="7.625" style="248" customWidth="1"/>
    <col min="1415" max="1415" width="8.875" style="248" customWidth="1"/>
    <col min="1416" max="1416" width="8.125" style="248" customWidth="1"/>
    <col min="1417" max="1421" width="8.875" style="248" customWidth="1"/>
    <col min="1422" max="1422" width="8" style="248" customWidth="1"/>
    <col min="1423" max="1423" width="7.75" style="248" customWidth="1"/>
    <col min="1424" max="1424" width="7.875" style="248" customWidth="1"/>
    <col min="1425" max="1425" width="7.375" style="248" customWidth="1"/>
    <col min="1426" max="1426" width="7.875" style="248" customWidth="1"/>
    <col min="1427" max="1433" width="8.875" style="248" customWidth="1"/>
    <col min="1434" max="1434" width="7.5" style="248" customWidth="1"/>
    <col min="1435" max="1435" width="7.25" style="248" customWidth="1"/>
    <col min="1436" max="1436" width="8.375" style="248" customWidth="1"/>
    <col min="1437" max="1437" width="7.25" style="248" customWidth="1"/>
    <col min="1438" max="1438" width="7.625" style="248" customWidth="1"/>
    <col min="1439" max="1536" width="9" style="248"/>
    <col min="1537" max="1537" width="4.5" style="248" bestFit="1" customWidth="1"/>
    <col min="1538" max="1538" width="69.125" style="248" customWidth="1"/>
    <col min="1539" max="1539" width="9.25" style="248" customWidth="1"/>
    <col min="1540" max="1540" width="8.625" style="248" customWidth="1"/>
    <col min="1541" max="1541" width="9.375" style="248" customWidth="1"/>
    <col min="1542" max="1542" width="10.25" style="248" customWidth="1"/>
    <col min="1543" max="1543" width="10.625" style="248" customWidth="1"/>
    <col min="1544" max="1544" width="10" style="248" customWidth="1"/>
    <col min="1545" max="1546" width="8.5" style="248" customWidth="1"/>
    <col min="1547" max="1547" width="7.5" style="248" customWidth="1"/>
    <col min="1548" max="1548" width="7.125" style="248" customWidth="1"/>
    <col min="1549" max="1549" width="8.125" style="248" customWidth="1"/>
    <col min="1550" max="1551" width="7.5" style="248" customWidth="1"/>
    <col min="1552" max="1552" width="8.625" style="248" customWidth="1"/>
    <col min="1553" max="1555" width="7.5" style="248" customWidth="1"/>
    <col min="1556" max="1556" width="8.375" style="248" customWidth="1"/>
    <col min="1557" max="1557" width="7.5" style="248" customWidth="1"/>
    <col min="1558" max="1558" width="8.25" style="248" customWidth="1"/>
    <col min="1559" max="1561" width="7.5" style="248" customWidth="1"/>
    <col min="1562" max="1562" width="8.25" style="248" customWidth="1"/>
    <col min="1563" max="1563" width="8.125" style="248" customWidth="1"/>
    <col min="1564" max="1564" width="8.25" style="248" customWidth="1"/>
    <col min="1565" max="1565" width="8.75" style="248" customWidth="1"/>
    <col min="1566" max="1566" width="7.125" style="248" customWidth="1"/>
    <col min="1567" max="1567" width="9.5" style="248" customWidth="1"/>
    <col min="1568" max="1568" width="8.625" style="248" customWidth="1"/>
    <col min="1569" max="1569" width="8.875" style="248" customWidth="1"/>
    <col min="1570" max="1570" width="8.125" style="248" customWidth="1"/>
    <col min="1571" max="1573" width="7.625" style="248" customWidth="1"/>
    <col min="1574" max="1574" width="6.5" style="248" customWidth="1"/>
    <col min="1575" max="1583" width="8.5" style="248" customWidth="1"/>
    <col min="1584" max="1584" width="7.5" style="248" customWidth="1"/>
    <col min="1585" max="1585" width="7.25" style="248" customWidth="1"/>
    <col min="1586" max="1586" width="8.5" style="248" customWidth="1"/>
    <col min="1587" max="1587" width="9.375" style="248" customWidth="1"/>
    <col min="1588" max="1590" width="8.5" style="248" customWidth="1"/>
    <col min="1591" max="1591" width="9.25" style="248" customWidth="1"/>
    <col min="1592" max="1594" width="8.5" style="248" customWidth="1"/>
    <col min="1595" max="1595" width="7.875" style="248" customWidth="1"/>
    <col min="1596" max="1596" width="8.5" style="248" customWidth="1"/>
    <col min="1597" max="1597" width="7.375" style="248" customWidth="1"/>
    <col min="1598" max="1598" width="7.625" style="248" customWidth="1"/>
    <col min="1599" max="1599" width="9.875" style="248" customWidth="1"/>
    <col min="1600" max="1600" width="8.25" style="248" customWidth="1"/>
    <col min="1601" max="1603" width="8.875" style="248" customWidth="1"/>
    <col min="1604" max="1604" width="8.75" style="248" customWidth="1"/>
    <col min="1605" max="1605" width="8" style="248" customWidth="1"/>
    <col min="1606" max="1606" width="8.25" style="248" customWidth="1"/>
    <col min="1607" max="1607" width="7.375" style="248" customWidth="1"/>
    <col min="1608" max="1608" width="8.875" style="248" customWidth="1"/>
    <col min="1609" max="1609" width="7.375" style="248" customWidth="1"/>
    <col min="1610" max="1610" width="6.625" style="248" customWidth="1"/>
    <col min="1611" max="1611" width="9.5" style="248" customWidth="1"/>
    <col min="1612" max="1612" width="8" style="248" customWidth="1"/>
    <col min="1613" max="1613" width="8.375" style="248" customWidth="1"/>
    <col min="1614" max="1614" width="8.5" style="248" customWidth="1"/>
    <col min="1615" max="1615" width="8" style="248" customWidth="1"/>
    <col min="1616" max="1616" width="7.875" style="248" customWidth="1"/>
    <col min="1617" max="1617" width="8" style="248" customWidth="1"/>
    <col min="1618" max="1618" width="8.5" style="248" customWidth="1"/>
    <col min="1619" max="1621" width="8.125" style="248" customWidth="1"/>
    <col min="1622" max="1622" width="8" style="248" customWidth="1"/>
    <col min="1623" max="1626" width="8.75" style="248" customWidth="1"/>
    <col min="1627" max="1627" width="7.625" style="248" customWidth="1"/>
    <col min="1628" max="1629" width="8.75" style="248" customWidth="1"/>
    <col min="1630" max="1630" width="7.75" style="248" customWidth="1"/>
    <col min="1631" max="1633" width="8" style="248" customWidth="1"/>
    <col min="1634" max="1634" width="7.875" style="248" customWidth="1"/>
    <col min="1635" max="1636" width="8.75" style="248" customWidth="1"/>
    <col min="1637" max="1637" width="8.375" style="248" customWidth="1"/>
    <col min="1638" max="1638" width="8" style="248" customWidth="1"/>
    <col min="1639" max="1639" width="7.875" style="248" customWidth="1"/>
    <col min="1640" max="1642" width="8.25" style="248" customWidth="1"/>
    <col min="1643" max="1645" width="8.125" style="248" customWidth="1"/>
    <col min="1646" max="1646" width="7.875" style="248" customWidth="1"/>
    <col min="1647" max="1647" width="8.875" style="248" customWidth="1"/>
    <col min="1648" max="1648" width="8.375" style="248" customWidth="1"/>
    <col min="1649" max="1649" width="8.25" style="248" customWidth="1"/>
    <col min="1650" max="1650" width="8.875" style="248" customWidth="1"/>
    <col min="1651" max="1651" width="8.125" style="248" customWidth="1"/>
    <col min="1652" max="1652" width="8.25" style="248" customWidth="1"/>
    <col min="1653" max="1653" width="8.875" style="248" customWidth="1"/>
    <col min="1654" max="1654" width="8" style="248" customWidth="1"/>
    <col min="1655" max="1657" width="7.875" style="248" customWidth="1"/>
    <col min="1658" max="1658" width="7.75" style="248" customWidth="1"/>
    <col min="1659" max="1662" width="8.875" style="248" customWidth="1"/>
    <col min="1663" max="1663" width="8.75" style="248" customWidth="1"/>
    <col min="1664" max="1664" width="8.625" style="248" customWidth="1"/>
    <col min="1665" max="1666" width="8.25" style="248" customWidth="1"/>
    <col min="1667" max="1667" width="7.625" style="248" customWidth="1"/>
    <col min="1668" max="1668" width="8" style="248" customWidth="1"/>
    <col min="1669" max="1669" width="7.125" style="248" customWidth="1"/>
    <col min="1670" max="1670" width="7.625" style="248" customWidth="1"/>
    <col min="1671" max="1671" width="8.875" style="248" customWidth="1"/>
    <col min="1672" max="1672" width="8.125" style="248" customWidth="1"/>
    <col min="1673" max="1677" width="8.875" style="248" customWidth="1"/>
    <col min="1678" max="1678" width="8" style="248" customWidth="1"/>
    <col min="1679" max="1679" width="7.75" style="248" customWidth="1"/>
    <col min="1680" max="1680" width="7.875" style="248" customWidth="1"/>
    <col min="1681" max="1681" width="7.375" style="248" customWidth="1"/>
    <col min="1682" max="1682" width="7.875" style="248" customWidth="1"/>
    <col min="1683" max="1689" width="8.875" style="248" customWidth="1"/>
    <col min="1690" max="1690" width="7.5" style="248" customWidth="1"/>
    <col min="1691" max="1691" width="7.25" style="248" customWidth="1"/>
    <col min="1692" max="1692" width="8.375" style="248" customWidth="1"/>
    <col min="1693" max="1693" width="7.25" style="248" customWidth="1"/>
    <col min="1694" max="1694" width="7.625" style="248" customWidth="1"/>
    <col min="1695" max="1792" width="9" style="248"/>
    <col min="1793" max="1793" width="4.5" style="248" bestFit="1" customWidth="1"/>
    <col min="1794" max="1794" width="69.125" style="248" customWidth="1"/>
    <col min="1795" max="1795" width="9.25" style="248" customWidth="1"/>
    <col min="1796" max="1796" width="8.625" style="248" customWidth="1"/>
    <col min="1797" max="1797" width="9.375" style="248" customWidth="1"/>
    <col min="1798" max="1798" width="10.25" style="248" customWidth="1"/>
    <col min="1799" max="1799" width="10.625" style="248" customWidth="1"/>
    <col min="1800" max="1800" width="10" style="248" customWidth="1"/>
    <col min="1801" max="1802" width="8.5" style="248" customWidth="1"/>
    <col min="1803" max="1803" width="7.5" style="248" customWidth="1"/>
    <col min="1804" max="1804" width="7.125" style="248" customWidth="1"/>
    <col min="1805" max="1805" width="8.125" style="248" customWidth="1"/>
    <col min="1806" max="1807" width="7.5" style="248" customWidth="1"/>
    <col min="1808" max="1808" width="8.625" style="248" customWidth="1"/>
    <col min="1809" max="1811" width="7.5" style="248" customWidth="1"/>
    <col min="1812" max="1812" width="8.375" style="248" customWidth="1"/>
    <col min="1813" max="1813" width="7.5" style="248" customWidth="1"/>
    <col min="1814" max="1814" width="8.25" style="248" customWidth="1"/>
    <col min="1815" max="1817" width="7.5" style="248" customWidth="1"/>
    <col min="1818" max="1818" width="8.25" style="248" customWidth="1"/>
    <col min="1819" max="1819" width="8.125" style="248" customWidth="1"/>
    <col min="1820" max="1820" width="8.25" style="248" customWidth="1"/>
    <col min="1821" max="1821" width="8.75" style="248" customWidth="1"/>
    <col min="1822" max="1822" width="7.125" style="248" customWidth="1"/>
    <col min="1823" max="1823" width="9.5" style="248" customWidth="1"/>
    <col min="1824" max="1824" width="8.625" style="248" customWidth="1"/>
    <col min="1825" max="1825" width="8.875" style="248" customWidth="1"/>
    <col min="1826" max="1826" width="8.125" style="248" customWidth="1"/>
    <col min="1827" max="1829" width="7.625" style="248" customWidth="1"/>
    <col min="1830" max="1830" width="6.5" style="248" customWidth="1"/>
    <col min="1831" max="1839" width="8.5" style="248" customWidth="1"/>
    <col min="1840" max="1840" width="7.5" style="248" customWidth="1"/>
    <col min="1841" max="1841" width="7.25" style="248" customWidth="1"/>
    <col min="1842" max="1842" width="8.5" style="248" customWidth="1"/>
    <col min="1843" max="1843" width="9.375" style="248" customWidth="1"/>
    <col min="1844" max="1846" width="8.5" style="248" customWidth="1"/>
    <col min="1847" max="1847" width="9.25" style="248" customWidth="1"/>
    <col min="1848" max="1850" width="8.5" style="248" customWidth="1"/>
    <col min="1851" max="1851" width="7.875" style="248" customWidth="1"/>
    <col min="1852" max="1852" width="8.5" style="248" customWidth="1"/>
    <col min="1853" max="1853" width="7.375" style="248" customWidth="1"/>
    <col min="1854" max="1854" width="7.625" style="248" customWidth="1"/>
    <col min="1855" max="1855" width="9.875" style="248" customWidth="1"/>
    <col min="1856" max="1856" width="8.25" style="248" customWidth="1"/>
    <col min="1857" max="1859" width="8.875" style="248" customWidth="1"/>
    <col min="1860" max="1860" width="8.75" style="248" customWidth="1"/>
    <col min="1861" max="1861" width="8" style="248" customWidth="1"/>
    <col min="1862" max="1862" width="8.25" style="248" customWidth="1"/>
    <col min="1863" max="1863" width="7.375" style="248" customWidth="1"/>
    <col min="1864" max="1864" width="8.875" style="248" customWidth="1"/>
    <col min="1865" max="1865" width="7.375" style="248" customWidth="1"/>
    <col min="1866" max="1866" width="6.625" style="248" customWidth="1"/>
    <col min="1867" max="1867" width="9.5" style="248" customWidth="1"/>
    <col min="1868" max="1868" width="8" style="248" customWidth="1"/>
    <col min="1869" max="1869" width="8.375" style="248" customWidth="1"/>
    <col min="1870" max="1870" width="8.5" style="248" customWidth="1"/>
    <col min="1871" max="1871" width="8" style="248" customWidth="1"/>
    <col min="1872" max="1872" width="7.875" style="248" customWidth="1"/>
    <col min="1873" max="1873" width="8" style="248" customWidth="1"/>
    <col min="1874" max="1874" width="8.5" style="248" customWidth="1"/>
    <col min="1875" max="1877" width="8.125" style="248" customWidth="1"/>
    <col min="1878" max="1878" width="8" style="248" customWidth="1"/>
    <col min="1879" max="1882" width="8.75" style="248" customWidth="1"/>
    <col min="1883" max="1883" width="7.625" style="248" customWidth="1"/>
    <col min="1884" max="1885" width="8.75" style="248" customWidth="1"/>
    <col min="1886" max="1886" width="7.75" style="248" customWidth="1"/>
    <col min="1887" max="1889" width="8" style="248" customWidth="1"/>
    <col min="1890" max="1890" width="7.875" style="248" customWidth="1"/>
    <col min="1891" max="1892" width="8.75" style="248" customWidth="1"/>
    <col min="1893" max="1893" width="8.375" style="248" customWidth="1"/>
    <col min="1894" max="1894" width="8" style="248" customWidth="1"/>
    <col min="1895" max="1895" width="7.875" style="248" customWidth="1"/>
    <col min="1896" max="1898" width="8.25" style="248" customWidth="1"/>
    <col min="1899" max="1901" width="8.125" style="248" customWidth="1"/>
    <col min="1902" max="1902" width="7.875" style="248" customWidth="1"/>
    <col min="1903" max="1903" width="8.875" style="248" customWidth="1"/>
    <col min="1904" max="1904" width="8.375" style="248" customWidth="1"/>
    <col min="1905" max="1905" width="8.25" style="248" customWidth="1"/>
    <col min="1906" max="1906" width="8.875" style="248" customWidth="1"/>
    <col min="1907" max="1907" width="8.125" style="248" customWidth="1"/>
    <col min="1908" max="1908" width="8.25" style="248" customWidth="1"/>
    <col min="1909" max="1909" width="8.875" style="248" customWidth="1"/>
    <col min="1910" max="1910" width="8" style="248" customWidth="1"/>
    <col min="1911" max="1913" width="7.875" style="248" customWidth="1"/>
    <col min="1914" max="1914" width="7.75" style="248" customWidth="1"/>
    <col min="1915" max="1918" width="8.875" style="248" customWidth="1"/>
    <col min="1919" max="1919" width="8.75" style="248" customWidth="1"/>
    <col min="1920" max="1920" width="8.625" style="248" customWidth="1"/>
    <col min="1921" max="1922" width="8.25" style="248" customWidth="1"/>
    <col min="1923" max="1923" width="7.625" style="248" customWidth="1"/>
    <col min="1924" max="1924" width="8" style="248" customWidth="1"/>
    <col min="1925" max="1925" width="7.125" style="248" customWidth="1"/>
    <col min="1926" max="1926" width="7.625" style="248" customWidth="1"/>
    <col min="1927" max="1927" width="8.875" style="248" customWidth="1"/>
    <col min="1928" max="1928" width="8.125" style="248" customWidth="1"/>
    <col min="1929" max="1933" width="8.875" style="248" customWidth="1"/>
    <col min="1934" max="1934" width="8" style="248" customWidth="1"/>
    <col min="1935" max="1935" width="7.75" style="248" customWidth="1"/>
    <col min="1936" max="1936" width="7.875" style="248" customWidth="1"/>
    <col min="1937" max="1937" width="7.375" style="248" customWidth="1"/>
    <col min="1938" max="1938" width="7.875" style="248" customWidth="1"/>
    <col min="1939" max="1945" width="8.875" style="248" customWidth="1"/>
    <col min="1946" max="1946" width="7.5" style="248" customWidth="1"/>
    <col min="1947" max="1947" width="7.25" style="248" customWidth="1"/>
    <col min="1948" max="1948" width="8.375" style="248" customWidth="1"/>
    <col min="1949" max="1949" width="7.25" style="248" customWidth="1"/>
    <col min="1950" max="1950" width="7.625" style="248" customWidth="1"/>
    <col min="1951" max="2048" width="9" style="248"/>
    <col min="2049" max="2049" width="4.5" style="248" bestFit="1" customWidth="1"/>
    <col min="2050" max="2050" width="69.125" style="248" customWidth="1"/>
    <col min="2051" max="2051" width="9.25" style="248" customWidth="1"/>
    <col min="2052" max="2052" width="8.625" style="248" customWidth="1"/>
    <col min="2053" max="2053" width="9.375" style="248" customWidth="1"/>
    <col min="2054" max="2054" width="10.25" style="248" customWidth="1"/>
    <col min="2055" max="2055" width="10.625" style="248" customWidth="1"/>
    <col min="2056" max="2056" width="10" style="248" customWidth="1"/>
    <col min="2057" max="2058" width="8.5" style="248" customWidth="1"/>
    <col min="2059" max="2059" width="7.5" style="248" customWidth="1"/>
    <col min="2060" max="2060" width="7.125" style="248" customWidth="1"/>
    <col min="2061" max="2061" width="8.125" style="248" customWidth="1"/>
    <col min="2062" max="2063" width="7.5" style="248" customWidth="1"/>
    <col min="2064" max="2064" width="8.625" style="248" customWidth="1"/>
    <col min="2065" max="2067" width="7.5" style="248" customWidth="1"/>
    <col min="2068" max="2068" width="8.375" style="248" customWidth="1"/>
    <col min="2069" max="2069" width="7.5" style="248" customWidth="1"/>
    <col min="2070" max="2070" width="8.25" style="248" customWidth="1"/>
    <col min="2071" max="2073" width="7.5" style="248" customWidth="1"/>
    <col min="2074" max="2074" width="8.25" style="248" customWidth="1"/>
    <col min="2075" max="2075" width="8.125" style="248" customWidth="1"/>
    <col min="2076" max="2076" width="8.25" style="248" customWidth="1"/>
    <col min="2077" max="2077" width="8.75" style="248" customWidth="1"/>
    <col min="2078" max="2078" width="7.125" style="248" customWidth="1"/>
    <col min="2079" max="2079" width="9.5" style="248" customWidth="1"/>
    <col min="2080" max="2080" width="8.625" style="248" customWidth="1"/>
    <col min="2081" max="2081" width="8.875" style="248" customWidth="1"/>
    <col min="2082" max="2082" width="8.125" style="248" customWidth="1"/>
    <col min="2083" max="2085" width="7.625" style="248" customWidth="1"/>
    <col min="2086" max="2086" width="6.5" style="248" customWidth="1"/>
    <col min="2087" max="2095" width="8.5" style="248" customWidth="1"/>
    <col min="2096" max="2096" width="7.5" style="248" customWidth="1"/>
    <col min="2097" max="2097" width="7.25" style="248" customWidth="1"/>
    <col min="2098" max="2098" width="8.5" style="248" customWidth="1"/>
    <col min="2099" max="2099" width="9.375" style="248" customWidth="1"/>
    <col min="2100" max="2102" width="8.5" style="248" customWidth="1"/>
    <col min="2103" max="2103" width="9.25" style="248" customWidth="1"/>
    <col min="2104" max="2106" width="8.5" style="248" customWidth="1"/>
    <col min="2107" max="2107" width="7.875" style="248" customWidth="1"/>
    <col min="2108" max="2108" width="8.5" style="248" customWidth="1"/>
    <col min="2109" max="2109" width="7.375" style="248" customWidth="1"/>
    <col min="2110" max="2110" width="7.625" style="248" customWidth="1"/>
    <col min="2111" max="2111" width="9.875" style="248" customWidth="1"/>
    <col min="2112" max="2112" width="8.25" style="248" customWidth="1"/>
    <col min="2113" max="2115" width="8.875" style="248" customWidth="1"/>
    <col min="2116" max="2116" width="8.75" style="248" customWidth="1"/>
    <col min="2117" max="2117" width="8" style="248" customWidth="1"/>
    <col min="2118" max="2118" width="8.25" style="248" customWidth="1"/>
    <col min="2119" max="2119" width="7.375" style="248" customWidth="1"/>
    <col min="2120" max="2120" width="8.875" style="248" customWidth="1"/>
    <col min="2121" max="2121" width="7.375" style="248" customWidth="1"/>
    <col min="2122" max="2122" width="6.625" style="248" customWidth="1"/>
    <col min="2123" max="2123" width="9.5" style="248" customWidth="1"/>
    <col min="2124" max="2124" width="8" style="248" customWidth="1"/>
    <col min="2125" max="2125" width="8.375" style="248" customWidth="1"/>
    <col min="2126" max="2126" width="8.5" style="248" customWidth="1"/>
    <col min="2127" max="2127" width="8" style="248" customWidth="1"/>
    <col min="2128" max="2128" width="7.875" style="248" customWidth="1"/>
    <col min="2129" max="2129" width="8" style="248" customWidth="1"/>
    <col min="2130" max="2130" width="8.5" style="248" customWidth="1"/>
    <col min="2131" max="2133" width="8.125" style="248" customWidth="1"/>
    <col min="2134" max="2134" width="8" style="248" customWidth="1"/>
    <col min="2135" max="2138" width="8.75" style="248" customWidth="1"/>
    <col min="2139" max="2139" width="7.625" style="248" customWidth="1"/>
    <col min="2140" max="2141" width="8.75" style="248" customWidth="1"/>
    <col min="2142" max="2142" width="7.75" style="248" customWidth="1"/>
    <col min="2143" max="2145" width="8" style="248" customWidth="1"/>
    <col min="2146" max="2146" width="7.875" style="248" customWidth="1"/>
    <col min="2147" max="2148" width="8.75" style="248" customWidth="1"/>
    <col min="2149" max="2149" width="8.375" style="248" customWidth="1"/>
    <col min="2150" max="2150" width="8" style="248" customWidth="1"/>
    <col min="2151" max="2151" width="7.875" style="248" customWidth="1"/>
    <col min="2152" max="2154" width="8.25" style="248" customWidth="1"/>
    <col min="2155" max="2157" width="8.125" style="248" customWidth="1"/>
    <col min="2158" max="2158" width="7.875" style="248" customWidth="1"/>
    <col min="2159" max="2159" width="8.875" style="248" customWidth="1"/>
    <col min="2160" max="2160" width="8.375" style="248" customWidth="1"/>
    <col min="2161" max="2161" width="8.25" style="248" customWidth="1"/>
    <col min="2162" max="2162" width="8.875" style="248" customWidth="1"/>
    <col min="2163" max="2163" width="8.125" style="248" customWidth="1"/>
    <col min="2164" max="2164" width="8.25" style="248" customWidth="1"/>
    <col min="2165" max="2165" width="8.875" style="248" customWidth="1"/>
    <col min="2166" max="2166" width="8" style="248" customWidth="1"/>
    <col min="2167" max="2169" width="7.875" style="248" customWidth="1"/>
    <col min="2170" max="2170" width="7.75" style="248" customWidth="1"/>
    <col min="2171" max="2174" width="8.875" style="248" customWidth="1"/>
    <col min="2175" max="2175" width="8.75" style="248" customWidth="1"/>
    <col min="2176" max="2176" width="8.625" style="248" customWidth="1"/>
    <col min="2177" max="2178" width="8.25" style="248" customWidth="1"/>
    <col min="2179" max="2179" width="7.625" style="248" customWidth="1"/>
    <col min="2180" max="2180" width="8" style="248" customWidth="1"/>
    <col min="2181" max="2181" width="7.125" style="248" customWidth="1"/>
    <col min="2182" max="2182" width="7.625" style="248" customWidth="1"/>
    <col min="2183" max="2183" width="8.875" style="248" customWidth="1"/>
    <col min="2184" max="2184" width="8.125" style="248" customWidth="1"/>
    <col min="2185" max="2189" width="8.875" style="248" customWidth="1"/>
    <col min="2190" max="2190" width="8" style="248" customWidth="1"/>
    <col min="2191" max="2191" width="7.75" style="248" customWidth="1"/>
    <col min="2192" max="2192" width="7.875" style="248" customWidth="1"/>
    <col min="2193" max="2193" width="7.375" style="248" customWidth="1"/>
    <col min="2194" max="2194" width="7.875" style="248" customWidth="1"/>
    <col min="2195" max="2201" width="8.875" style="248" customWidth="1"/>
    <col min="2202" max="2202" width="7.5" style="248" customWidth="1"/>
    <col min="2203" max="2203" width="7.25" style="248" customWidth="1"/>
    <col min="2204" max="2204" width="8.375" style="248" customWidth="1"/>
    <col min="2205" max="2205" width="7.25" style="248" customWidth="1"/>
    <col min="2206" max="2206" width="7.625" style="248" customWidth="1"/>
    <col min="2207" max="2304" width="9" style="248"/>
    <col min="2305" max="2305" width="4.5" style="248" bestFit="1" customWidth="1"/>
    <col min="2306" max="2306" width="69.125" style="248" customWidth="1"/>
    <col min="2307" max="2307" width="9.25" style="248" customWidth="1"/>
    <col min="2308" max="2308" width="8.625" style="248" customWidth="1"/>
    <col min="2309" max="2309" width="9.375" style="248" customWidth="1"/>
    <col min="2310" max="2310" width="10.25" style="248" customWidth="1"/>
    <col min="2311" max="2311" width="10.625" style="248" customWidth="1"/>
    <col min="2312" max="2312" width="10" style="248" customWidth="1"/>
    <col min="2313" max="2314" width="8.5" style="248" customWidth="1"/>
    <col min="2315" max="2315" width="7.5" style="248" customWidth="1"/>
    <col min="2316" max="2316" width="7.125" style="248" customWidth="1"/>
    <col min="2317" max="2317" width="8.125" style="248" customWidth="1"/>
    <col min="2318" max="2319" width="7.5" style="248" customWidth="1"/>
    <col min="2320" max="2320" width="8.625" style="248" customWidth="1"/>
    <col min="2321" max="2323" width="7.5" style="248" customWidth="1"/>
    <col min="2324" max="2324" width="8.375" style="248" customWidth="1"/>
    <col min="2325" max="2325" width="7.5" style="248" customWidth="1"/>
    <col min="2326" max="2326" width="8.25" style="248" customWidth="1"/>
    <col min="2327" max="2329" width="7.5" style="248" customWidth="1"/>
    <col min="2330" max="2330" width="8.25" style="248" customWidth="1"/>
    <col min="2331" max="2331" width="8.125" style="248" customWidth="1"/>
    <col min="2332" max="2332" width="8.25" style="248" customWidth="1"/>
    <col min="2333" max="2333" width="8.75" style="248" customWidth="1"/>
    <col min="2334" max="2334" width="7.125" style="248" customWidth="1"/>
    <col min="2335" max="2335" width="9.5" style="248" customWidth="1"/>
    <col min="2336" max="2336" width="8.625" style="248" customWidth="1"/>
    <col min="2337" max="2337" width="8.875" style="248" customWidth="1"/>
    <col min="2338" max="2338" width="8.125" style="248" customWidth="1"/>
    <col min="2339" max="2341" width="7.625" style="248" customWidth="1"/>
    <col min="2342" max="2342" width="6.5" style="248" customWidth="1"/>
    <col min="2343" max="2351" width="8.5" style="248" customWidth="1"/>
    <col min="2352" max="2352" width="7.5" style="248" customWidth="1"/>
    <col min="2353" max="2353" width="7.25" style="248" customWidth="1"/>
    <col min="2354" max="2354" width="8.5" style="248" customWidth="1"/>
    <col min="2355" max="2355" width="9.375" style="248" customWidth="1"/>
    <col min="2356" max="2358" width="8.5" style="248" customWidth="1"/>
    <col min="2359" max="2359" width="9.25" style="248" customWidth="1"/>
    <col min="2360" max="2362" width="8.5" style="248" customWidth="1"/>
    <col min="2363" max="2363" width="7.875" style="248" customWidth="1"/>
    <col min="2364" max="2364" width="8.5" style="248" customWidth="1"/>
    <col min="2365" max="2365" width="7.375" style="248" customWidth="1"/>
    <col min="2366" max="2366" width="7.625" style="248" customWidth="1"/>
    <col min="2367" max="2367" width="9.875" style="248" customWidth="1"/>
    <col min="2368" max="2368" width="8.25" style="248" customWidth="1"/>
    <col min="2369" max="2371" width="8.875" style="248" customWidth="1"/>
    <col min="2372" max="2372" width="8.75" style="248" customWidth="1"/>
    <col min="2373" max="2373" width="8" style="248" customWidth="1"/>
    <col min="2374" max="2374" width="8.25" style="248" customWidth="1"/>
    <col min="2375" max="2375" width="7.375" style="248" customWidth="1"/>
    <col min="2376" max="2376" width="8.875" style="248" customWidth="1"/>
    <col min="2377" max="2377" width="7.375" style="248" customWidth="1"/>
    <col min="2378" max="2378" width="6.625" style="248" customWidth="1"/>
    <col min="2379" max="2379" width="9.5" style="248" customWidth="1"/>
    <col min="2380" max="2380" width="8" style="248" customWidth="1"/>
    <col min="2381" max="2381" width="8.375" style="248" customWidth="1"/>
    <col min="2382" max="2382" width="8.5" style="248" customWidth="1"/>
    <col min="2383" max="2383" width="8" style="248" customWidth="1"/>
    <col min="2384" max="2384" width="7.875" style="248" customWidth="1"/>
    <col min="2385" max="2385" width="8" style="248" customWidth="1"/>
    <col min="2386" max="2386" width="8.5" style="248" customWidth="1"/>
    <col min="2387" max="2389" width="8.125" style="248" customWidth="1"/>
    <col min="2390" max="2390" width="8" style="248" customWidth="1"/>
    <col min="2391" max="2394" width="8.75" style="248" customWidth="1"/>
    <col min="2395" max="2395" width="7.625" style="248" customWidth="1"/>
    <col min="2396" max="2397" width="8.75" style="248" customWidth="1"/>
    <col min="2398" max="2398" width="7.75" style="248" customWidth="1"/>
    <col min="2399" max="2401" width="8" style="248" customWidth="1"/>
    <col min="2402" max="2402" width="7.875" style="248" customWidth="1"/>
    <col min="2403" max="2404" width="8.75" style="248" customWidth="1"/>
    <col min="2405" max="2405" width="8.375" style="248" customWidth="1"/>
    <col min="2406" max="2406" width="8" style="248" customWidth="1"/>
    <col min="2407" max="2407" width="7.875" style="248" customWidth="1"/>
    <col min="2408" max="2410" width="8.25" style="248" customWidth="1"/>
    <col min="2411" max="2413" width="8.125" style="248" customWidth="1"/>
    <col min="2414" max="2414" width="7.875" style="248" customWidth="1"/>
    <col min="2415" max="2415" width="8.875" style="248" customWidth="1"/>
    <col min="2416" max="2416" width="8.375" style="248" customWidth="1"/>
    <col min="2417" max="2417" width="8.25" style="248" customWidth="1"/>
    <col min="2418" max="2418" width="8.875" style="248" customWidth="1"/>
    <col min="2419" max="2419" width="8.125" style="248" customWidth="1"/>
    <col min="2420" max="2420" width="8.25" style="248" customWidth="1"/>
    <col min="2421" max="2421" width="8.875" style="248" customWidth="1"/>
    <col min="2422" max="2422" width="8" style="248" customWidth="1"/>
    <col min="2423" max="2425" width="7.875" style="248" customWidth="1"/>
    <col min="2426" max="2426" width="7.75" style="248" customWidth="1"/>
    <col min="2427" max="2430" width="8.875" style="248" customWidth="1"/>
    <col min="2431" max="2431" width="8.75" style="248" customWidth="1"/>
    <col min="2432" max="2432" width="8.625" style="248" customWidth="1"/>
    <col min="2433" max="2434" width="8.25" style="248" customWidth="1"/>
    <col min="2435" max="2435" width="7.625" style="248" customWidth="1"/>
    <col min="2436" max="2436" width="8" style="248" customWidth="1"/>
    <col min="2437" max="2437" width="7.125" style="248" customWidth="1"/>
    <col min="2438" max="2438" width="7.625" style="248" customWidth="1"/>
    <col min="2439" max="2439" width="8.875" style="248" customWidth="1"/>
    <col min="2440" max="2440" width="8.125" style="248" customWidth="1"/>
    <col min="2441" max="2445" width="8.875" style="248" customWidth="1"/>
    <col min="2446" max="2446" width="8" style="248" customWidth="1"/>
    <col min="2447" max="2447" width="7.75" style="248" customWidth="1"/>
    <col min="2448" max="2448" width="7.875" style="248" customWidth="1"/>
    <col min="2449" max="2449" width="7.375" style="248" customWidth="1"/>
    <col min="2450" max="2450" width="7.875" style="248" customWidth="1"/>
    <col min="2451" max="2457" width="8.875" style="248" customWidth="1"/>
    <col min="2458" max="2458" width="7.5" style="248" customWidth="1"/>
    <col min="2459" max="2459" width="7.25" style="248" customWidth="1"/>
    <col min="2460" max="2460" width="8.375" style="248" customWidth="1"/>
    <col min="2461" max="2461" width="7.25" style="248" customWidth="1"/>
    <col min="2462" max="2462" width="7.625" style="248" customWidth="1"/>
    <col min="2463" max="2560" width="9" style="248"/>
    <col min="2561" max="2561" width="4.5" style="248" bestFit="1" customWidth="1"/>
    <col min="2562" max="2562" width="69.125" style="248" customWidth="1"/>
    <col min="2563" max="2563" width="9.25" style="248" customWidth="1"/>
    <col min="2564" max="2564" width="8.625" style="248" customWidth="1"/>
    <col min="2565" max="2565" width="9.375" style="248" customWidth="1"/>
    <col min="2566" max="2566" width="10.25" style="248" customWidth="1"/>
    <col min="2567" max="2567" width="10.625" style="248" customWidth="1"/>
    <col min="2568" max="2568" width="10" style="248" customWidth="1"/>
    <col min="2569" max="2570" width="8.5" style="248" customWidth="1"/>
    <col min="2571" max="2571" width="7.5" style="248" customWidth="1"/>
    <col min="2572" max="2572" width="7.125" style="248" customWidth="1"/>
    <col min="2573" max="2573" width="8.125" style="248" customWidth="1"/>
    <col min="2574" max="2575" width="7.5" style="248" customWidth="1"/>
    <col min="2576" max="2576" width="8.625" style="248" customWidth="1"/>
    <col min="2577" max="2579" width="7.5" style="248" customWidth="1"/>
    <col min="2580" max="2580" width="8.375" style="248" customWidth="1"/>
    <col min="2581" max="2581" width="7.5" style="248" customWidth="1"/>
    <col min="2582" max="2582" width="8.25" style="248" customWidth="1"/>
    <col min="2583" max="2585" width="7.5" style="248" customWidth="1"/>
    <col min="2586" max="2586" width="8.25" style="248" customWidth="1"/>
    <col min="2587" max="2587" width="8.125" style="248" customWidth="1"/>
    <col min="2588" max="2588" width="8.25" style="248" customWidth="1"/>
    <col min="2589" max="2589" width="8.75" style="248" customWidth="1"/>
    <col min="2590" max="2590" width="7.125" style="248" customWidth="1"/>
    <col min="2591" max="2591" width="9.5" style="248" customWidth="1"/>
    <col min="2592" max="2592" width="8.625" style="248" customWidth="1"/>
    <col min="2593" max="2593" width="8.875" style="248" customWidth="1"/>
    <col min="2594" max="2594" width="8.125" style="248" customWidth="1"/>
    <col min="2595" max="2597" width="7.625" style="248" customWidth="1"/>
    <col min="2598" max="2598" width="6.5" style="248" customWidth="1"/>
    <col min="2599" max="2607" width="8.5" style="248" customWidth="1"/>
    <col min="2608" max="2608" width="7.5" style="248" customWidth="1"/>
    <col min="2609" max="2609" width="7.25" style="248" customWidth="1"/>
    <col min="2610" max="2610" width="8.5" style="248" customWidth="1"/>
    <col min="2611" max="2611" width="9.375" style="248" customWidth="1"/>
    <col min="2612" max="2614" width="8.5" style="248" customWidth="1"/>
    <col min="2615" max="2615" width="9.25" style="248" customWidth="1"/>
    <col min="2616" max="2618" width="8.5" style="248" customWidth="1"/>
    <col min="2619" max="2619" width="7.875" style="248" customWidth="1"/>
    <col min="2620" max="2620" width="8.5" style="248" customWidth="1"/>
    <col min="2621" max="2621" width="7.375" style="248" customWidth="1"/>
    <col min="2622" max="2622" width="7.625" style="248" customWidth="1"/>
    <col min="2623" max="2623" width="9.875" style="248" customWidth="1"/>
    <col min="2624" max="2624" width="8.25" style="248" customWidth="1"/>
    <col min="2625" max="2627" width="8.875" style="248" customWidth="1"/>
    <col min="2628" max="2628" width="8.75" style="248" customWidth="1"/>
    <col min="2629" max="2629" width="8" style="248" customWidth="1"/>
    <col min="2630" max="2630" width="8.25" style="248" customWidth="1"/>
    <col min="2631" max="2631" width="7.375" style="248" customWidth="1"/>
    <col min="2632" max="2632" width="8.875" style="248" customWidth="1"/>
    <col min="2633" max="2633" width="7.375" style="248" customWidth="1"/>
    <col min="2634" max="2634" width="6.625" style="248" customWidth="1"/>
    <col min="2635" max="2635" width="9.5" style="248" customWidth="1"/>
    <col min="2636" max="2636" width="8" style="248" customWidth="1"/>
    <col min="2637" max="2637" width="8.375" style="248" customWidth="1"/>
    <col min="2638" max="2638" width="8.5" style="248" customWidth="1"/>
    <col min="2639" max="2639" width="8" style="248" customWidth="1"/>
    <col min="2640" max="2640" width="7.875" style="248" customWidth="1"/>
    <col min="2641" max="2641" width="8" style="248" customWidth="1"/>
    <col min="2642" max="2642" width="8.5" style="248" customWidth="1"/>
    <col min="2643" max="2645" width="8.125" style="248" customWidth="1"/>
    <col min="2646" max="2646" width="8" style="248" customWidth="1"/>
    <col min="2647" max="2650" width="8.75" style="248" customWidth="1"/>
    <col min="2651" max="2651" width="7.625" style="248" customWidth="1"/>
    <col min="2652" max="2653" width="8.75" style="248" customWidth="1"/>
    <col min="2654" max="2654" width="7.75" style="248" customWidth="1"/>
    <col min="2655" max="2657" width="8" style="248" customWidth="1"/>
    <col min="2658" max="2658" width="7.875" style="248" customWidth="1"/>
    <col min="2659" max="2660" width="8.75" style="248" customWidth="1"/>
    <col min="2661" max="2661" width="8.375" style="248" customWidth="1"/>
    <col min="2662" max="2662" width="8" style="248" customWidth="1"/>
    <col min="2663" max="2663" width="7.875" style="248" customWidth="1"/>
    <col min="2664" max="2666" width="8.25" style="248" customWidth="1"/>
    <col min="2667" max="2669" width="8.125" style="248" customWidth="1"/>
    <col min="2670" max="2670" width="7.875" style="248" customWidth="1"/>
    <col min="2671" max="2671" width="8.875" style="248" customWidth="1"/>
    <col min="2672" max="2672" width="8.375" style="248" customWidth="1"/>
    <col min="2673" max="2673" width="8.25" style="248" customWidth="1"/>
    <col min="2674" max="2674" width="8.875" style="248" customWidth="1"/>
    <col min="2675" max="2675" width="8.125" style="248" customWidth="1"/>
    <col min="2676" max="2676" width="8.25" style="248" customWidth="1"/>
    <col min="2677" max="2677" width="8.875" style="248" customWidth="1"/>
    <col min="2678" max="2678" width="8" style="248" customWidth="1"/>
    <col min="2679" max="2681" width="7.875" style="248" customWidth="1"/>
    <col min="2682" max="2682" width="7.75" style="248" customWidth="1"/>
    <col min="2683" max="2686" width="8.875" style="248" customWidth="1"/>
    <col min="2687" max="2687" width="8.75" style="248" customWidth="1"/>
    <col min="2688" max="2688" width="8.625" style="248" customWidth="1"/>
    <col min="2689" max="2690" width="8.25" style="248" customWidth="1"/>
    <col min="2691" max="2691" width="7.625" style="248" customWidth="1"/>
    <col min="2692" max="2692" width="8" style="248" customWidth="1"/>
    <col min="2693" max="2693" width="7.125" style="248" customWidth="1"/>
    <col min="2694" max="2694" width="7.625" style="248" customWidth="1"/>
    <col min="2695" max="2695" width="8.875" style="248" customWidth="1"/>
    <col min="2696" max="2696" width="8.125" style="248" customWidth="1"/>
    <col min="2697" max="2701" width="8.875" style="248" customWidth="1"/>
    <col min="2702" max="2702" width="8" style="248" customWidth="1"/>
    <col min="2703" max="2703" width="7.75" style="248" customWidth="1"/>
    <col min="2704" max="2704" width="7.875" style="248" customWidth="1"/>
    <col min="2705" max="2705" width="7.375" style="248" customWidth="1"/>
    <col min="2706" max="2706" width="7.875" style="248" customWidth="1"/>
    <col min="2707" max="2713" width="8.875" style="248" customWidth="1"/>
    <col min="2714" max="2714" width="7.5" style="248" customWidth="1"/>
    <col min="2715" max="2715" width="7.25" style="248" customWidth="1"/>
    <col min="2716" max="2716" width="8.375" style="248" customWidth="1"/>
    <col min="2717" max="2717" width="7.25" style="248" customWidth="1"/>
    <col min="2718" max="2718" width="7.625" style="248" customWidth="1"/>
    <col min="2719" max="2816" width="9" style="248"/>
    <col min="2817" max="2817" width="4.5" style="248" bestFit="1" customWidth="1"/>
    <col min="2818" max="2818" width="69.125" style="248" customWidth="1"/>
    <col min="2819" max="2819" width="9.25" style="248" customWidth="1"/>
    <col min="2820" max="2820" width="8.625" style="248" customWidth="1"/>
    <col min="2821" max="2821" width="9.375" style="248" customWidth="1"/>
    <col min="2822" max="2822" width="10.25" style="248" customWidth="1"/>
    <col min="2823" max="2823" width="10.625" style="248" customWidth="1"/>
    <col min="2824" max="2824" width="10" style="248" customWidth="1"/>
    <col min="2825" max="2826" width="8.5" style="248" customWidth="1"/>
    <col min="2827" max="2827" width="7.5" style="248" customWidth="1"/>
    <col min="2828" max="2828" width="7.125" style="248" customWidth="1"/>
    <col min="2829" max="2829" width="8.125" style="248" customWidth="1"/>
    <col min="2830" max="2831" width="7.5" style="248" customWidth="1"/>
    <col min="2832" max="2832" width="8.625" style="248" customWidth="1"/>
    <col min="2833" max="2835" width="7.5" style="248" customWidth="1"/>
    <col min="2836" max="2836" width="8.375" style="248" customWidth="1"/>
    <col min="2837" max="2837" width="7.5" style="248" customWidth="1"/>
    <col min="2838" max="2838" width="8.25" style="248" customWidth="1"/>
    <col min="2839" max="2841" width="7.5" style="248" customWidth="1"/>
    <col min="2842" max="2842" width="8.25" style="248" customWidth="1"/>
    <col min="2843" max="2843" width="8.125" style="248" customWidth="1"/>
    <col min="2844" max="2844" width="8.25" style="248" customWidth="1"/>
    <col min="2845" max="2845" width="8.75" style="248" customWidth="1"/>
    <col min="2846" max="2846" width="7.125" style="248" customWidth="1"/>
    <col min="2847" max="2847" width="9.5" style="248" customWidth="1"/>
    <col min="2848" max="2848" width="8.625" style="248" customWidth="1"/>
    <col min="2849" max="2849" width="8.875" style="248" customWidth="1"/>
    <col min="2850" max="2850" width="8.125" style="248" customWidth="1"/>
    <col min="2851" max="2853" width="7.625" style="248" customWidth="1"/>
    <col min="2854" max="2854" width="6.5" style="248" customWidth="1"/>
    <col min="2855" max="2863" width="8.5" style="248" customWidth="1"/>
    <col min="2864" max="2864" width="7.5" style="248" customWidth="1"/>
    <col min="2865" max="2865" width="7.25" style="248" customWidth="1"/>
    <col min="2866" max="2866" width="8.5" style="248" customWidth="1"/>
    <col min="2867" max="2867" width="9.375" style="248" customWidth="1"/>
    <col min="2868" max="2870" width="8.5" style="248" customWidth="1"/>
    <col min="2871" max="2871" width="9.25" style="248" customWidth="1"/>
    <col min="2872" max="2874" width="8.5" style="248" customWidth="1"/>
    <col min="2875" max="2875" width="7.875" style="248" customWidth="1"/>
    <col min="2876" max="2876" width="8.5" style="248" customWidth="1"/>
    <col min="2877" max="2877" width="7.375" style="248" customWidth="1"/>
    <col min="2878" max="2878" width="7.625" style="248" customWidth="1"/>
    <col min="2879" max="2879" width="9.875" style="248" customWidth="1"/>
    <col min="2880" max="2880" width="8.25" style="248" customWidth="1"/>
    <col min="2881" max="2883" width="8.875" style="248" customWidth="1"/>
    <col min="2884" max="2884" width="8.75" style="248" customWidth="1"/>
    <col min="2885" max="2885" width="8" style="248" customWidth="1"/>
    <col min="2886" max="2886" width="8.25" style="248" customWidth="1"/>
    <col min="2887" max="2887" width="7.375" style="248" customWidth="1"/>
    <col min="2888" max="2888" width="8.875" style="248" customWidth="1"/>
    <col min="2889" max="2889" width="7.375" style="248" customWidth="1"/>
    <col min="2890" max="2890" width="6.625" style="248" customWidth="1"/>
    <col min="2891" max="2891" width="9.5" style="248" customWidth="1"/>
    <col min="2892" max="2892" width="8" style="248" customWidth="1"/>
    <col min="2893" max="2893" width="8.375" style="248" customWidth="1"/>
    <col min="2894" max="2894" width="8.5" style="248" customWidth="1"/>
    <col min="2895" max="2895" width="8" style="248" customWidth="1"/>
    <col min="2896" max="2896" width="7.875" style="248" customWidth="1"/>
    <col min="2897" max="2897" width="8" style="248" customWidth="1"/>
    <col min="2898" max="2898" width="8.5" style="248" customWidth="1"/>
    <col min="2899" max="2901" width="8.125" style="248" customWidth="1"/>
    <col min="2902" max="2902" width="8" style="248" customWidth="1"/>
    <col min="2903" max="2906" width="8.75" style="248" customWidth="1"/>
    <col min="2907" max="2907" width="7.625" style="248" customWidth="1"/>
    <col min="2908" max="2909" width="8.75" style="248" customWidth="1"/>
    <col min="2910" max="2910" width="7.75" style="248" customWidth="1"/>
    <col min="2911" max="2913" width="8" style="248" customWidth="1"/>
    <col min="2914" max="2914" width="7.875" style="248" customWidth="1"/>
    <col min="2915" max="2916" width="8.75" style="248" customWidth="1"/>
    <col min="2917" max="2917" width="8.375" style="248" customWidth="1"/>
    <col min="2918" max="2918" width="8" style="248" customWidth="1"/>
    <col min="2919" max="2919" width="7.875" style="248" customWidth="1"/>
    <col min="2920" max="2922" width="8.25" style="248" customWidth="1"/>
    <col min="2923" max="2925" width="8.125" style="248" customWidth="1"/>
    <col min="2926" max="2926" width="7.875" style="248" customWidth="1"/>
    <col min="2927" max="2927" width="8.875" style="248" customWidth="1"/>
    <col min="2928" max="2928" width="8.375" style="248" customWidth="1"/>
    <col min="2929" max="2929" width="8.25" style="248" customWidth="1"/>
    <col min="2930" max="2930" width="8.875" style="248" customWidth="1"/>
    <col min="2931" max="2931" width="8.125" style="248" customWidth="1"/>
    <col min="2932" max="2932" width="8.25" style="248" customWidth="1"/>
    <col min="2933" max="2933" width="8.875" style="248" customWidth="1"/>
    <col min="2934" max="2934" width="8" style="248" customWidth="1"/>
    <col min="2935" max="2937" width="7.875" style="248" customWidth="1"/>
    <col min="2938" max="2938" width="7.75" style="248" customWidth="1"/>
    <col min="2939" max="2942" width="8.875" style="248" customWidth="1"/>
    <col min="2943" max="2943" width="8.75" style="248" customWidth="1"/>
    <col min="2944" max="2944" width="8.625" style="248" customWidth="1"/>
    <col min="2945" max="2946" width="8.25" style="248" customWidth="1"/>
    <col min="2947" max="2947" width="7.625" style="248" customWidth="1"/>
    <col min="2948" max="2948" width="8" style="248" customWidth="1"/>
    <col min="2949" max="2949" width="7.125" style="248" customWidth="1"/>
    <col min="2950" max="2950" width="7.625" style="248" customWidth="1"/>
    <col min="2951" max="2951" width="8.875" style="248" customWidth="1"/>
    <col min="2952" max="2952" width="8.125" style="248" customWidth="1"/>
    <col min="2953" max="2957" width="8.875" style="248" customWidth="1"/>
    <col min="2958" max="2958" width="8" style="248" customWidth="1"/>
    <col min="2959" max="2959" width="7.75" style="248" customWidth="1"/>
    <col min="2960" max="2960" width="7.875" style="248" customWidth="1"/>
    <col min="2961" max="2961" width="7.375" style="248" customWidth="1"/>
    <col min="2962" max="2962" width="7.875" style="248" customWidth="1"/>
    <col min="2963" max="2969" width="8.875" style="248" customWidth="1"/>
    <col min="2970" max="2970" width="7.5" style="248" customWidth="1"/>
    <col min="2971" max="2971" width="7.25" style="248" customWidth="1"/>
    <col min="2972" max="2972" width="8.375" style="248" customWidth="1"/>
    <col min="2973" max="2973" width="7.25" style="248" customWidth="1"/>
    <col min="2974" max="2974" width="7.625" style="248" customWidth="1"/>
    <col min="2975" max="3072" width="9" style="248"/>
    <col min="3073" max="3073" width="4.5" style="248" bestFit="1" customWidth="1"/>
    <col min="3074" max="3074" width="69.125" style="248" customWidth="1"/>
    <col min="3075" max="3075" width="9.25" style="248" customWidth="1"/>
    <col min="3076" max="3076" width="8.625" style="248" customWidth="1"/>
    <col min="3077" max="3077" width="9.375" style="248" customWidth="1"/>
    <col min="3078" max="3078" width="10.25" style="248" customWidth="1"/>
    <col min="3079" max="3079" width="10.625" style="248" customWidth="1"/>
    <col min="3080" max="3080" width="10" style="248" customWidth="1"/>
    <col min="3081" max="3082" width="8.5" style="248" customWidth="1"/>
    <col min="3083" max="3083" width="7.5" style="248" customWidth="1"/>
    <col min="3084" max="3084" width="7.125" style="248" customWidth="1"/>
    <col min="3085" max="3085" width="8.125" style="248" customWidth="1"/>
    <col min="3086" max="3087" width="7.5" style="248" customWidth="1"/>
    <col min="3088" max="3088" width="8.625" style="248" customWidth="1"/>
    <col min="3089" max="3091" width="7.5" style="248" customWidth="1"/>
    <col min="3092" max="3092" width="8.375" style="248" customWidth="1"/>
    <col min="3093" max="3093" width="7.5" style="248" customWidth="1"/>
    <col min="3094" max="3094" width="8.25" style="248" customWidth="1"/>
    <col min="3095" max="3097" width="7.5" style="248" customWidth="1"/>
    <col min="3098" max="3098" width="8.25" style="248" customWidth="1"/>
    <col min="3099" max="3099" width="8.125" style="248" customWidth="1"/>
    <col min="3100" max="3100" width="8.25" style="248" customWidth="1"/>
    <col min="3101" max="3101" width="8.75" style="248" customWidth="1"/>
    <col min="3102" max="3102" width="7.125" style="248" customWidth="1"/>
    <col min="3103" max="3103" width="9.5" style="248" customWidth="1"/>
    <col min="3104" max="3104" width="8.625" style="248" customWidth="1"/>
    <col min="3105" max="3105" width="8.875" style="248" customWidth="1"/>
    <col min="3106" max="3106" width="8.125" style="248" customWidth="1"/>
    <col min="3107" max="3109" width="7.625" style="248" customWidth="1"/>
    <col min="3110" max="3110" width="6.5" style="248" customWidth="1"/>
    <col min="3111" max="3119" width="8.5" style="248" customWidth="1"/>
    <col min="3120" max="3120" width="7.5" style="248" customWidth="1"/>
    <col min="3121" max="3121" width="7.25" style="248" customWidth="1"/>
    <col min="3122" max="3122" width="8.5" style="248" customWidth="1"/>
    <col min="3123" max="3123" width="9.375" style="248" customWidth="1"/>
    <col min="3124" max="3126" width="8.5" style="248" customWidth="1"/>
    <col min="3127" max="3127" width="9.25" style="248" customWidth="1"/>
    <col min="3128" max="3130" width="8.5" style="248" customWidth="1"/>
    <col min="3131" max="3131" width="7.875" style="248" customWidth="1"/>
    <col min="3132" max="3132" width="8.5" style="248" customWidth="1"/>
    <col min="3133" max="3133" width="7.375" style="248" customWidth="1"/>
    <col min="3134" max="3134" width="7.625" style="248" customWidth="1"/>
    <col min="3135" max="3135" width="9.875" style="248" customWidth="1"/>
    <col min="3136" max="3136" width="8.25" style="248" customWidth="1"/>
    <col min="3137" max="3139" width="8.875" style="248" customWidth="1"/>
    <col min="3140" max="3140" width="8.75" style="248" customWidth="1"/>
    <col min="3141" max="3141" width="8" style="248" customWidth="1"/>
    <col min="3142" max="3142" width="8.25" style="248" customWidth="1"/>
    <col min="3143" max="3143" width="7.375" style="248" customWidth="1"/>
    <col min="3144" max="3144" width="8.875" style="248" customWidth="1"/>
    <col min="3145" max="3145" width="7.375" style="248" customWidth="1"/>
    <col min="3146" max="3146" width="6.625" style="248" customWidth="1"/>
    <col min="3147" max="3147" width="9.5" style="248" customWidth="1"/>
    <col min="3148" max="3148" width="8" style="248" customWidth="1"/>
    <col min="3149" max="3149" width="8.375" style="248" customWidth="1"/>
    <col min="3150" max="3150" width="8.5" style="248" customWidth="1"/>
    <col min="3151" max="3151" width="8" style="248" customWidth="1"/>
    <col min="3152" max="3152" width="7.875" style="248" customWidth="1"/>
    <col min="3153" max="3153" width="8" style="248" customWidth="1"/>
    <col min="3154" max="3154" width="8.5" style="248" customWidth="1"/>
    <col min="3155" max="3157" width="8.125" style="248" customWidth="1"/>
    <col min="3158" max="3158" width="8" style="248" customWidth="1"/>
    <col min="3159" max="3162" width="8.75" style="248" customWidth="1"/>
    <col min="3163" max="3163" width="7.625" style="248" customWidth="1"/>
    <col min="3164" max="3165" width="8.75" style="248" customWidth="1"/>
    <col min="3166" max="3166" width="7.75" style="248" customWidth="1"/>
    <col min="3167" max="3169" width="8" style="248" customWidth="1"/>
    <col min="3170" max="3170" width="7.875" style="248" customWidth="1"/>
    <col min="3171" max="3172" width="8.75" style="248" customWidth="1"/>
    <col min="3173" max="3173" width="8.375" style="248" customWidth="1"/>
    <col min="3174" max="3174" width="8" style="248" customWidth="1"/>
    <col min="3175" max="3175" width="7.875" style="248" customWidth="1"/>
    <col min="3176" max="3178" width="8.25" style="248" customWidth="1"/>
    <col min="3179" max="3181" width="8.125" style="248" customWidth="1"/>
    <col min="3182" max="3182" width="7.875" style="248" customWidth="1"/>
    <col min="3183" max="3183" width="8.875" style="248" customWidth="1"/>
    <col min="3184" max="3184" width="8.375" style="248" customWidth="1"/>
    <col min="3185" max="3185" width="8.25" style="248" customWidth="1"/>
    <col min="3186" max="3186" width="8.875" style="248" customWidth="1"/>
    <col min="3187" max="3187" width="8.125" style="248" customWidth="1"/>
    <col min="3188" max="3188" width="8.25" style="248" customWidth="1"/>
    <col min="3189" max="3189" width="8.875" style="248" customWidth="1"/>
    <col min="3190" max="3190" width="8" style="248" customWidth="1"/>
    <col min="3191" max="3193" width="7.875" style="248" customWidth="1"/>
    <col min="3194" max="3194" width="7.75" style="248" customWidth="1"/>
    <col min="3195" max="3198" width="8.875" style="248" customWidth="1"/>
    <col min="3199" max="3199" width="8.75" style="248" customWidth="1"/>
    <col min="3200" max="3200" width="8.625" style="248" customWidth="1"/>
    <col min="3201" max="3202" width="8.25" style="248" customWidth="1"/>
    <col min="3203" max="3203" width="7.625" style="248" customWidth="1"/>
    <col min="3204" max="3204" width="8" style="248" customWidth="1"/>
    <col min="3205" max="3205" width="7.125" style="248" customWidth="1"/>
    <col min="3206" max="3206" width="7.625" style="248" customWidth="1"/>
    <col min="3207" max="3207" width="8.875" style="248" customWidth="1"/>
    <col min="3208" max="3208" width="8.125" style="248" customWidth="1"/>
    <col min="3209" max="3213" width="8.875" style="248" customWidth="1"/>
    <col min="3214" max="3214" width="8" style="248" customWidth="1"/>
    <col min="3215" max="3215" width="7.75" style="248" customWidth="1"/>
    <col min="3216" max="3216" width="7.875" style="248" customWidth="1"/>
    <col min="3217" max="3217" width="7.375" style="248" customWidth="1"/>
    <col min="3218" max="3218" width="7.875" style="248" customWidth="1"/>
    <col min="3219" max="3225" width="8.875" style="248" customWidth="1"/>
    <col min="3226" max="3226" width="7.5" style="248" customWidth="1"/>
    <col min="3227" max="3227" width="7.25" style="248" customWidth="1"/>
    <col min="3228" max="3228" width="8.375" style="248" customWidth="1"/>
    <col min="3229" max="3229" width="7.25" style="248" customWidth="1"/>
    <col min="3230" max="3230" width="7.625" style="248" customWidth="1"/>
    <col min="3231" max="3328" width="9" style="248"/>
    <col min="3329" max="3329" width="4.5" style="248" bestFit="1" customWidth="1"/>
    <col min="3330" max="3330" width="69.125" style="248" customWidth="1"/>
    <col min="3331" max="3331" width="9.25" style="248" customWidth="1"/>
    <col min="3332" max="3332" width="8.625" style="248" customWidth="1"/>
    <col min="3333" max="3333" width="9.375" style="248" customWidth="1"/>
    <col min="3334" max="3334" width="10.25" style="248" customWidth="1"/>
    <col min="3335" max="3335" width="10.625" style="248" customWidth="1"/>
    <col min="3336" max="3336" width="10" style="248" customWidth="1"/>
    <col min="3337" max="3338" width="8.5" style="248" customWidth="1"/>
    <col min="3339" max="3339" width="7.5" style="248" customWidth="1"/>
    <col min="3340" max="3340" width="7.125" style="248" customWidth="1"/>
    <col min="3341" max="3341" width="8.125" style="248" customWidth="1"/>
    <col min="3342" max="3343" width="7.5" style="248" customWidth="1"/>
    <col min="3344" max="3344" width="8.625" style="248" customWidth="1"/>
    <col min="3345" max="3347" width="7.5" style="248" customWidth="1"/>
    <col min="3348" max="3348" width="8.375" style="248" customWidth="1"/>
    <col min="3349" max="3349" width="7.5" style="248" customWidth="1"/>
    <col min="3350" max="3350" width="8.25" style="248" customWidth="1"/>
    <col min="3351" max="3353" width="7.5" style="248" customWidth="1"/>
    <col min="3354" max="3354" width="8.25" style="248" customWidth="1"/>
    <col min="3355" max="3355" width="8.125" style="248" customWidth="1"/>
    <col min="3356" max="3356" width="8.25" style="248" customWidth="1"/>
    <col min="3357" max="3357" width="8.75" style="248" customWidth="1"/>
    <col min="3358" max="3358" width="7.125" style="248" customWidth="1"/>
    <col min="3359" max="3359" width="9.5" style="248" customWidth="1"/>
    <col min="3360" max="3360" width="8.625" style="248" customWidth="1"/>
    <col min="3361" max="3361" width="8.875" style="248" customWidth="1"/>
    <col min="3362" max="3362" width="8.125" style="248" customWidth="1"/>
    <col min="3363" max="3365" width="7.625" style="248" customWidth="1"/>
    <col min="3366" max="3366" width="6.5" style="248" customWidth="1"/>
    <col min="3367" max="3375" width="8.5" style="248" customWidth="1"/>
    <col min="3376" max="3376" width="7.5" style="248" customWidth="1"/>
    <col min="3377" max="3377" width="7.25" style="248" customWidth="1"/>
    <col min="3378" max="3378" width="8.5" style="248" customWidth="1"/>
    <col min="3379" max="3379" width="9.375" style="248" customWidth="1"/>
    <col min="3380" max="3382" width="8.5" style="248" customWidth="1"/>
    <col min="3383" max="3383" width="9.25" style="248" customWidth="1"/>
    <col min="3384" max="3386" width="8.5" style="248" customWidth="1"/>
    <col min="3387" max="3387" width="7.875" style="248" customWidth="1"/>
    <col min="3388" max="3388" width="8.5" style="248" customWidth="1"/>
    <col min="3389" max="3389" width="7.375" style="248" customWidth="1"/>
    <col min="3390" max="3390" width="7.625" style="248" customWidth="1"/>
    <col min="3391" max="3391" width="9.875" style="248" customWidth="1"/>
    <col min="3392" max="3392" width="8.25" style="248" customWidth="1"/>
    <col min="3393" max="3395" width="8.875" style="248" customWidth="1"/>
    <col min="3396" max="3396" width="8.75" style="248" customWidth="1"/>
    <col min="3397" max="3397" width="8" style="248" customWidth="1"/>
    <col min="3398" max="3398" width="8.25" style="248" customWidth="1"/>
    <col min="3399" max="3399" width="7.375" style="248" customWidth="1"/>
    <col min="3400" max="3400" width="8.875" style="248" customWidth="1"/>
    <col min="3401" max="3401" width="7.375" style="248" customWidth="1"/>
    <col min="3402" max="3402" width="6.625" style="248" customWidth="1"/>
    <col min="3403" max="3403" width="9.5" style="248" customWidth="1"/>
    <col min="3404" max="3404" width="8" style="248" customWidth="1"/>
    <col min="3405" max="3405" width="8.375" style="248" customWidth="1"/>
    <col min="3406" max="3406" width="8.5" style="248" customWidth="1"/>
    <col min="3407" max="3407" width="8" style="248" customWidth="1"/>
    <col min="3408" max="3408" width="7.875" style="248" customWidth="1"/>
    <col min="3409" max="3409" width="8" style="248" customWidth="1"/>
    <col min="3410" max="3410" width="8.5" style="248" customWidth="1"/>
    <col min="3411" max="3413" width="8.125" style="248" customWidth="1"/>
    <col min="3414" max="3414" width="8" style="248" customWidth="1"/>
    <col min="3415" max="3418" width="8.75" style="248" customWidth="1"/>
    <col min="3419" max="3419" width="7.625" style="248" customWidth="1"/>
    <col min="3420" max="3421" width="8.75" style="248" customWidth="1"/>
    <col min="3422" max="3422" width="7.75" style="248" customWidth="1"/>
    <col min="3423" max="3425" width="8" style="248" customWidth="1"/>
    <col min="3426" max="3426" width="7.875" style="248" customWidth="1"/>
    <col min="3427" max="3428" width="8.75" style="248" customWidth="1"/>
    <col min="3429" max="3429" width="8.375" style="248" customWidth="1"/>
    <col min="3430" max="3430" width="8" style="248" customWidth="1"/>
    <col min="3431" max="3431" width="7.875" style="248" customWidth="1"/>
    <col min="3432" max="3434" width="8.25" style="248" customWidth="1"/>
    <col min="3435" max="3437" width="8.125" style="248" customWidth="1"/>
    <col min="3438" max="3438" width="7.875" style="248" customWidth="1"/>
    <col min="3439" max="3439" width="8.875" style="248" customWidth="1"/>
    <col min="3440" max="3440" width="8.375" style="248" customWidth="1"/>
    <col min="3441" max="3441" width="8.25" style="248" customWidth="1"/>
    <col min="3442" max="3442" width="8.875" style="248" customWidth="1"/>
    <col min="3443" max="3443" width="8.125" style="248" customWidth="1"/>
    <col min="3444" max="3444" width="8.25" style="248" customWidth="1"/>
    <col min="3445" max="3445" width="8.875" style="248" customWidth="1"/>
    <col min="3446" max="3446" width="8" style="248" customWidth="1"/>
    <col min="3447" max="3449" width="7.875" style="248" customWidth="1"/>
    <col min="3450" max="3450" width="7.75" style="248" customWidth="1"/>
    <col min="3451" max="3454" width="8.875" style="248" customWidth="1"/>
    <col min="3455" max="3455" width="8.75" style="248" customWidth="1"/>
    <col min="3456" max="3456" width="8.625" style="248" customWidth="1"/>
    <col min="3457" max="3458" width="8.25" style="248" customWidth="1"/>
    <col min="3459" max="3459" width="7.625" style="248" customWidth="1"/>
    <col min="3460" max="3460" width="8" style="248" customWidth="1"/>
    <col min="3461" max="3461" width="7.125" style="248" customWidth="1"/>
    <col min="3462" max="3462" width="7.625" style="248" customWidth="1"/>
    <col min="3463" max="3463" width="8.875" style="248" customWidth="1"/>
    <col min="3464" max="3464" width="8.125" style="248" customWidth="1"/>
    <col min="3465" max="3469" width="8.875" style="248" customWidth="1"/>
    <col min="3470" max="3470" width="8" style="248" customWidth="1"/>
    <col min="3471" max="3471" width="7.75" style="248" customWidth="1"/>
    <col min="3472" max="3472" width="7.875" style="248" customWidth="1"/>
    <col min="3473" max="3473" width="7.375" style="248" customWidth="1"/>
    <col min="3474" max="3474" width="7.875" style="248" customWidth="1"/>
    <col min="3475" max="3481" width="8.875" style="248" customWidth="1"/>
    <col min="3482" max="3482" width="7.5" style="248" customWidth="1"/>
    <col min="3483" max="3483" width="7.25" style="248" customWidth="1"/>
    <col min="3484" max="3484" width="8.375" style="248" customWidth="1"/>
    <col min="3485" max="3485" width="7.25" style="248" customWidth="1"/>
    <col min="3486" max="3486" width="7.625" style="248" customWidth="1"/>
    <col min="3487" max="3584" width="9" style="248"/>
    <col min="3585" max="3585" width="4.5" style="248" bestFit="1" customWidth="1"/>
    <col min="3586" max="3586" width="69.125" style="248" customWidth="1"/>
    <col min="3587" max="3587" width="9.25" style="248" customWidth="1"/>
    <col min="3588" max="3588" width="8.625" style="248" customWidth="1"/>
    <col min="3589" max="3589" width="9.375" style="248" customWidth="1"/>
    <col min="3590" max="3590" width="10.25" style="248" customWidth="1"/>
    <col min="3591" max="3591" width="10.625" style="248" customWidth="1"/>
    <col min="3592" max="3592" width="10" style="248" customWidth="1"/>
    <col min="3593" max="3594" width="8.5" style="248" customWidth="1"/>
    <col min="3595" max="3595" width="7.5" style="248" customWidth="1"/>
    <col min="3596" max="3596" width="7.125" style="248" customWidth="1"/>
    <col min="3597" max="3597" width="8.125" style="248" customWidth="1"/>
    <col min="3598" max="3599" width="7.5" style="248" customWidth="1"/>
    <col min="3600" max="3600" width="8.625" style="248" customWidth="1"/>
    <col min="3601" max="3603" width="7.5" style="248" customWidth="1"/>
    <col min="3604" max="3604" width="8.375" style="248" customWidth="1"/>
    <col min="3605" max="3605" width="7.5" style="248" customWidth="1"/>
    <col min="3606" max="3606" width="8.25" style="248" customWidth="1"/>
    <col min="3607" max="3609" width="7.5" style="248" customWidth="1"/>
    <col min="3610" max="3610" width="8.25" style="248" customWidth="1"/>
    <col min="3611" max="3611" width="8.125" style="248" customWidth="1"/>
    <col min="3612" max="3612" width="8.25" style="248" customWidth="1"/>
    <col min="3613" max="3613" width="8.75" style="248" customWidth="1"/>
    <col min="3614" max="3614" width="7.125" style="248" customWidth="1"/>
    <col min="3615" max="3615" width="9.5" style="248" customWidth="1"/>
    <col min="3616" max="3616" width="8.625" style="248" customWidth="1"/>
    <col min="3617" max="3617" width="8.875" style="248" customWidth="1"/>
    <col min="3618" max="3618" width="8.125" style="248" customWidth="1"/>
    <col min="3619" max="3621" width="7.625" style="248" customWidth="1"/>
    <col min="3622" max="3622" width="6.5" style="248" customWidth="1"/>
    <col min="3623" max="3631" width="8.5" style="248" customWidth="1"/>
    <col min="3632" max="3632" width="7.5" style="248" customWidth="1"/>
    <col min="3633" max="3633" width="7.25" style="248" customWidth="1"/>
    <col min="3634" max="3634" width="8.5" style="248" customWidth="1"/>
    <col min="3635" max="3635" width="9.375" style="248" customWidth="1"/>
    <col min="3636" max="3638" width="8.5" style="248" customWidth="1"/>
    <col min="3639" max="3639" width="9.25" style="248" customWidth="1"/>
    <col min="3640" max="3642" width="8.5" style="248" customWidth="1"/>
    <col min="3643" max="3643" width="7.875" style="248" customWidth="1"/>
    <col min="3644" max="3644" width="8.5" style="248" customWidth="1"/>
    <col min="3645" max="3645" width="7.375" style="248" customWidth="1"/>
    <col min="3646" max="3646" width="7.625" style="248" customWidth="1"/>
    <col min="3647" max="3647" width="9.875" style="248" customWidth="1"/>
    <col min="3648" max="3648" width="8.25" style="248" customWidth="1"/>
    <col min="3649" max="3651" width="8.875" style="248" customWidth="1"/>
    <col min="3652" max="3652" width="8.75" style="248" customWidth="1"/>
    <col min="3653" max="3653" width="8" style="248" customWidth="1"/>
    <col min="3654" max="3654" width="8.25" style="248" customWidth="1"/>
    <col min="3655" max="3655" width="7.375" style="248" customWidth="1"/>
    <col min="3656" max="3656" width="8.875" style="248" customWidth="1"/>
    <col min="3657" max="3657" width="7.375" style="248" customWidth="1"/>
    <col min="3658" max="3658" width="6.625" style="248" customWidth="1"/>
    <col min="3659" max="3659" width="9.5" style="248" customWidth="1"/>
    <col min="3660" max="3660" width="8" style="248" customWidth="1"/>
    <col min="3661" max="3661" width="8.375" style="248" customWidth="1"/>
    <col min="3662" max="3662" width="8.5" style="248" customWidth="1"/>
    <col min="3663" max="3663" width="8" style="248" customWidth="1"/>
    <col min="3664" max="3664" width="7.875" style="248" customWidth="1"/>
    <col min="3665" max="3665" width="8" style="248" customWidth="1"/>
    <col min="3666" max="3666" width="8.5" style="248" customWidth="1"/>
    <col min="3667" max="3669" width="8.125" style="248" customWidth="1"/>
    <col min="3670" max="3670" width="8" style="248" customWidth="1"/>
    <col min="3671" max="3674" width="8.75" style="248" customWidth="1"/>
    <col min="3675" max="3675" width="7.625" style="248" customWidth="1"/>
    <col min="3676" max="3677" width="8.75" style="248" customWidth="1"/>
    <col min="3678" max="3678" width="7.75" style="248" customWidth="1"/>
    <col min="3679" max="3681" width="8" style="248" customWidth="1"/>
    <col min="3682" max="3682" width="7.875" style="248" customWidth="1"/>
    <col min="3683" max="3684" width="8.75" style="248" customWidth="1"/>
    <col min="3685" max="3685" width="8.375" style="248" customWidth="1"/>
    <col min="3686" max="3686" width="8" style="248" customWidth="1"/>
    <col min="3687" max="3687" width="7.875" style="248" customWidth="1"/>
    <col min="3688" max="3690" width="8.25" style="248" customWidth="1"/>
    <col min="3691" max="3693" width="8.125" style="248" customWidth="1"/>
    <col min="3694" max="3694" width="7.875" style="248" customWidth="1"/>
    <col min="3695" max="3695" width="8.875" style="248" customWidth="1"/>
    <col min="3696" max="3696" width="8.375" style="248" customWidth="1"/>
    <col min="3697" max="3697" width="8.25" style="248" customWidth="1"/>
    <col min="3698" max="3698" width="8.875" style="248" customWidth="1"/>
    <col min="3699" max="3699" width="8.125" style="248" customWidth="1"/>
    <col min="3700" max="3700" width="8.25" style="248" customWidth="1"/>
    <col min="3701" max="3701" width="8.875" style="248" customWidth="1"/>
    <col min="3702" max="3702" width="8" style="248" customWidth="1"/>
    <col min="3703" max="3705" width="7.875" style="248" customWidth="1"/>
    <col min="3706" max="3706" width="7.75" style="248" customWidth="1"/>
    <col min="3707" max="3710" width="8.875" style="248" customWidth="1"/>
    <col min="3711" max="3711" width="8.75" style="248" customWidth="1"/>
    <col min="3712" max="3712" width="8.625" style="248" customWidth="1"/>
    <col min="3713" max="3714" width="8.25" style="248" customWidth="1"/>
    <col min="3715" max="3715" width="7.625" style="248" customWidth="1"/>
    <col min="3716" max="3716" width="8" style="248" customWidth="1"/>
    <col min="3717" max="3717" width="7.125" style="248" customWidth="1"/>
    <col min="3718" max="3718" width="7.625" style="248" customWidth="1"/>
    <col min="3719" max="3719" width="8.875" style="248" customWidth="1"/>
    <col min="3720" max="3720" width="8.125" style="248" customWidth="1"/>
    <col min="3721" max="3725" width="8.875" style="248" customWidth="1"/>
    <col min="3726" max="3726" width="8" style="248" customWidth="1"/>
    <col min="3727" max="3727" width="7.75" style="248" customWidth="1"/>
    <col min="3728" max="3728" width="7.875" style="248" customWidth="1"/>
    <col min="3729" max="3729" width="7.375" style="248" customWidth="1"/>
    <col min="3730" max="3730" width="7.875" style="248" customWidth="1"/>
    <col min="3731" max="3737" width="8.875" style="248" customWidth="1"/>
    <col min="3738" max="3738" width="7.5" style="248" customWidth="1"/>
    <col min="3739" max="3739" width="7.25" style="248" customWidth="1"/>
    <col min="3740" max="3740" width="8.375" style="248" customWidth="1"/>
    <col min="3741" max="3741" width="7.25" style="248" customWidth="1"/>
    <col min="3742" max="3742" width="7.625" style="248" customWidth="1"/>
    <col min="3743" max="3840" width="9" style="248"/>
    <col min="3841" max="3841" width="4.5" style="248" bestFit="1" customWidth="1"/>
    <col min="3842" max="3842" width="69.125" style="248" customWidth="1"/>
    <col min="3843" max="3843" width="9.25" style="248" customWidth="1"/>
    <col min="3844" max="3844" width="8.625" style="248" customWidth="1"/>
    <col min="3845" max="3845" width="9.375" style="248" customWidth="1"/>
    <col min="3846" max="3846" width="10.25" style="248" customWidth="1"/>
    <col min="3847" max="3847" width="10.625" style="248" customWidth="1"/>
    <col min="3848" max="3848" width="10" style="248" customWidth="1"/>
    <col min="3849" max="3850" width="8.5" style="248" customWidth="1"/>
    <col min="3851" max="3851" width="7.5" style="248" customWidth="1"/>
    <col min="3852" max="3852" width="7.125" style="248" customWidth="1"/>
    <col min="3853" max="3853" width="8.125" style="248" customWidth="1"/>
    <col min="3854" max="3855" width="7.5" style="248" customWidth="1"/>
    <col min="3856" max="3856" width="8.625" style="248" customWidth="1"/>
    <col min="3857" max="3859" width="7.5" style="248" customWidth="1"/>
    <col min="3860" max="3860" width="8.375" style="248" customWidth="1"/>
    <col min="3861" max="3861" width="7.5" style="248" customWidth="1"/>
    <col min="3862" max="3862" width="8.25" style="248" customWidth="1"/>
    <col min="3863" max="3865" width="7.5" style="248" customWidth="1"/>
    <col min="3866" max="3866" width="8.25" style="248" customWidth="1"/>
    <col min="3867" max="3867" width="8.125" style="248" customWidth="1"/>
    <col min="3868" max="3868" width="8.25" style="248" customWidth="1"/>
    <col min="3869" max="3869" width="8.75" style="248" customWidth="1"/>
    <col min="3870" max="3870" width="7.125" style="248" customWidth="1"/>
    <col min="3871" max="3871" width="9.5" style="248" customWidth="1"/>
    <col min="3872" max="3872" width="8.625" style="248" customWidth="1"/>
    <col min="3873" max="3873" width="8.875" style="248" customWidth="1"/>
    <col min="3874" max="3874" width="8.125" style="248" customWidth="1"/>
    <col min="3875" max="3877" width="7.625" style="248" customWidth="1"/>
    <col min="3878" max="3878" width="6.5" style="248" customWidth="1"/>
    <col min="3879" max="3887" width="8.5" style="248" customWidth="1"/>
    <col min="3888" max="3888" width="7.5" style="248" customWidth="1"/>
    <col min="3889" max="3889" width="7.25" style="248" customWidth="1"/>
    <col min="3890" max="3890" width="8.5" style="248" customWidth="1"/>
    <col min="3891" max="3891" width="9.375" style="248" customWidth="1"/>
    <col min="3892" max="3894" width="8.5" style="248" customWidth="1"/>
    <col min="3895" max="3895" width="9.25" style="248" customWidth="1"/>
    <col min="3896" max="3898" width="8.5" style="248" customWidth="1"/>
    <col min="3899" max="3899" width="7.875" style="248" customWidth="1"/>
    <col min="3900" max="3900" width="8.5" style="248" customWidth="1"/>
    <col min="3901" max="3901" width="7.375" style="248" customWidth="1"/>
    <col min="3902" max="3902" width="7.625" style="248" customWidth="1"/>
    <col min="3903" max="3903" width="9.875" style="248" customWidth="1"/>
    <col min="3904" max="3904" width="8.25" style="248" customWidth="1"/>
    <col min="3905" max="3907" width="8.875" style="248" customWidth="1"/>
    <col min="3908" max="3908" width="8.75" style="248" customWidth="1"/>
    <col min="3909" max="3909" width="8" style="248" customWidth="1"/>
    <col min="3910" max="3910" width="8.25" style="248" customWidth="1"/>
    <col min="3911" max="3911" width="7.375" style="248" customWidth="1"/>
    <col min="3912" max="3912" width="8.875" style="248" customWidth="1"/>
    <col min="3913" max="3913" width="7.375" style="248" customWidth="1"/>
    <col min="3914" max="3914" width="6.625" style="248" customWidth="1"/>
    <col min="3915" max="3915" width="9.5" style="248" customWidth="1"/>
    <col min="3916" max="3916" width="8" style="248" customWidth="1"/>
    <col min="3917" max="3917" width="8.375" style="248" customWidth="1"/>
    <col min="3918" max="3918" width="8.5" style="248" customWidth="1"/>
    <col min="3919" max="3919" width="8" style="248" customWidth="1"/>
    <col min="3920" max="3920" width="7.875" style="248" customWidth="1"/>
    <col min="3921" max="3921" width="8" style="248" customWidth="1"/>
    <col min="3922" max="3922" width="8.5" style="248" customWidth="1"/>
    <col min="3923" max="3925" width="8.125" style="248" customWidth="1"/>
    <col min="3926" max="3926" width="8" style="248" customWidth="1"/>
    <col min="3927" max="3930" width="8.75" style="248" customWidth="1"/>
    <col min="3931" max="3931" width="7.625" style="248" customWidth="1"/>
    <col min="3932" max="3933" width="8.75" style="248" customWidth="1"/>
    <col min="3934" max="3934" width="7.75" style="248" customWidth="1"/>
    <col min="3935" max="3937" width="8" style="248" customWidth="1"/>
    <col min="3938" max="3938" width="7.875" style="248" customWidth="1"/>
    <col min="3939" max="3940" width="8.75" style="248" customWidth="1"/>
    <col min="3941" max="3941" width="8.375" style="248" customWidth="1"/>
    <col min="3942" max="3942" width="8" style="248" customWidth="1"/>
    <col min="3943" max="3943" width="7.875" style="248" customWidth="1"/>
    <col min="3944" max="3946" width="8.25" style="248" customWidth="1"/>
    <col min="3947" max="3949" width="8.125" style="248" customWidth="1"/>
    <col min="3950" max="3950" width="7.875" style="248" customWidth="1"/>
    <col min="3951" max="3951" width="8.875" style="248" customWidth="1"/>
    <col min="3952" max="3952" width="8.375" style="248" customWidth="1"/>
    <col min="3953" max="3953" width="8.25" style="248" customWidth="1"/>
    <col min="3954" max="3954" width="8.875" style="248" customWidth="1"/>
    <col min="3955" max="3955" width="8.125" style="248" customWidth="1"/>
    <col min="3956" max="3956" width="8.25" style="248" customWidth="1"/>
    <col min="3957" max="3957" width="8.875" style="248" customWidth="1"/>
    <col min="3958" max="3958" width="8" style="248" customWidth="1"/>
    <col min="3959" max="3961" width="7.875" style="248" customWidth="1"/>
    <col min="3962" max="3962" width="7.75" style="248" customWidth="1"/>
    <col min="3963" max="3966" width="8.875" style="248" customWidth="1"/>
    <col min="3967" max="3967" width="8.75" style="248" customWidth="1"/>
    <col min="3968" max="3968" width="8.625" style="248" customWidth="1"/>
    <col min="3969" max="3970" width="8.25" style="248" customWidth="1"/>
    <col min="3971" max="3971" width="7.625" style="248" customWidth="1"/>
    <col min="3972" max="3972" width="8" style="248" customWidth="1"/>
    <col min="3973" max="3973" width="7.125" style="248" customWidth="1"/>
    <col min="3974" max="3974" width="7.625" style="248" customWidth="1"/>
    <col min="3975" max="3975" width="8.875" style="248" customWidth="1"/>
    <col min="3976" max="3976" width="8.125" style="248" customWidth="1"/>
    <col min="3977" max="3981" width="8.875" style="248" customWidth="1"/>
    <col min="3982" max="3982" width="8" style="248" customWidth="1"/>
    <col min="3983" max="3983" width="7.75" style="248" customWidth="1"/>
    <col min="3984" max="3984" width="7.875" style="248" customWidth="1"/>
    <col min="3985" max="3985" width="7.375" style="248" customWidth="1"/>
    <col min="3986" max="3986" width="7.875" style="248" customWidth="1"/>
    <col min="3987" max="3993" width="8.875" style="248" customWidth="1"/>
    <col min="3994" max="3994" width="7.5" style="248" customWidth="1"/>
    <col min="3995" max="3995" width="7.25" style="248" customWidth="1"/>
    <col min="3996" max="3996" width="8.375" style="248" customWidth="1"/>
    <col min="3997" max="3997" width="7.25" style="248" customWidth="1"/>
    <col min="3998" max="3998" width="7.625" style="248" customWidth="1"/>
    <col min="3999" max="4096" width="9" style="248"/>
    <col min="4097" max="4097" width="4.5" style="248" bestFit="1" customWidth="1"/>
    <col min="4098" max="4098" width="69.125" style="248" customWidth="1"/>
    <col min="4099" max="4099" width="9.25" style="248" customWidth="1"/>
    <col min="4100" max="4100" width="8.625" style="248" customWidth="1"/>
    <col min="4101" max="4101" width="9.375" style="248" customWidth="1"/>
    <col min="4102" max="4102" width="10.25" style="248" customWidth="1"/>
    <col min="4103" max="4103" width="10.625" style="248" customWidth="1"/>
    <col min="4104" max="4104" width="10" style="248" customWidth="1"/>
    <col min="4105" max="4106" width="8.5" style="248" customWidth="1"/>
    <col min="4107" max="4107" width="7.5" style="248" customWidth="1"/>
    <col min="4108" max="4108" width="7.125" style="248" customWidth="1"/>
    <col min="4109" max="4109" width="8.125" style="248" customWidth="1"/>
    <col min="4110" max="4111" width="7.5" style="248" customWidth="1"/>
    <col min="4112" max="4112" width="8.625" style="248" customWidth="1"/>
    <col min="4113" max="4115" width="7.5" style="248" customWidth="1"/>
    <col min="4116" max="4116" width="8.375" style="248" customWidth="1"/>
    <col min="4117" max="4117" width="7.5" style="248" customWidth="1"/>
    <col min="4118" max="4118" width="8.25" style="248" customWidth="1"/>
    <col min="4119" max="4121" width="7.5" style="248" customWidth="1"/>
    <col min="4122" max="4122" width="8.25" style="248" customWidth="1"/>
    <col min="4123" max="4123" width="8.125" style="248" customWidth="1"/>
    <col min="4124" max="4124" width="8.25" style="248" customWidth="1"/>
    <col min="4125" max="4125" width="8.75" style="248" customWidth="1"/>
    <col min="4126" max="4126" width="7.125" style="248" customWidth="1"/>
    <col min="4127" max="4127" width="9.5" style="248" customWidth="1"/>
    <col min="4128" max="4128" width="8.625" style="248" customWidth="1"/>
    <col min="4129" max="4129" width="8.875" style="248" customWidth="1"/>
    <col min="4130" max="4130" width="8.125" style="248" customWidth="1"/>
    <col min="4131" max="4133" width="7.625" style="248" customWidth="1"/>
    <col min="4134" max="4134" width="6.5" style="248" customWidth="1"/>
    <col min="4135" max="4143" width="8.5" style="248" customWidth="1"/>
    <col min="4144" max="4144" width="7.5" style="248" customWidth="1"/>
    <col min="4145" max="4145" width="7.25" style="248" customWidth="1"/>
    <col min="4146" max="4146" width="8.5" style="248" customWidth="1"/>
    <col min="4147" max="4147" width="9.375" style="248" customWidth="1"/>
    <col min="4148" max="4150" width="8.5" style="248" customWidth="1"/>
    <col min="4151" max="4151" width="9.25" style="248" customWidth="1"/>
    <col min="4152" max="4154" width="8.5" style="248" customWidth="1"/>
    <col min="4155" max="4155" width="7.875" style="248" customWidth="1"/>
    <col min="4156" max="4156" width="8.5" style="248" customWidth="1"/>
    <col min="4157" max="4157" width="7.375" style="248" customWidth="1"/>
    <col min="4158" max="4158" width="7.625" style="248" customWidth="1"/>
    <col min="4159" max="4159" width="9.875" style="248" customWidth="1"/>
    <col min="4160" max="4160" width="8.25" style="248" customWidth="1"/>
    <col min="4161" max="4163" width="8.875" style="248" customWidth="1"/>
    <col min="4164" max="4164" width="8.75" style="248" customWidth="1"/>
    <col min="4165" max="4165" width="8" style="248" customWidth="1"/>
    <col min="4166" max="4166" width="8.25" style="248" customWidth="1"/>
    <col min="4167" max="4167" width="7.375" style="248" customWidth="1"/>
    <col min="4168" max="4168" width="8.875" style="248" customWidth="1"/>
    <col min="4169" max="4169" width="7.375" style="248" customWidth="1"/>
    <col min="4170" max="4170" width="6.625" style="248" customWidth="1"/>
    <col min="4171" max="4171" width="9.5" style="248" customWidth="1"/>
    <col min="4172" max="4172" width="8" style="248" customWidth="1"/>
    <col min="4173" max="4173" width="8.375" style="248" customWidth="1"/>
    <col min="4174" max="4174" width="8.5" style="248" customWidth="1"/>
    <col min="4175" max="4175" width="8" style="248" customWidth="1"/>
    <col min="4176" max="4176" width="7.875" style="248" customWidth="1"/>
    <col min="4177" max="4177" width="8" style="248" customWidth="1"/>
    <col min="4178" max="4178" width="8.5" style="248" customWidth="1"/>
    <col min="4179" max="4181" width="8.125" style="248" customWidth="1"/>
    <col min="4182" max="4182" width="8" style="248" customWidth="1"/>
    <col min="4183" max="4186" width="8.75" style="248" customWidth="1"/>
    <col min="4187" max="4187" width="7.625" style="248" customWidth="1"/>
    <col min="4188" max="4189" width="8.75" style="248" customWidth="1"/>
    <col min="4190" max="4190" width="7.75" style="248" customWidth="1"/>
    <col min="4191" max="4193" width="8" style="248" customWidth="1"/>
    <col min="4194" max="4194" width="7.875" style="248" customWidth="1"/>
    <col min="4195" max="4196" width="8.75" style="248" customWidth="1"/>
    <col min="4197" max="4197" width="8.375" style="248" customWidth="1"/>
    <col min="4198" max="4198" width="8" style="248" customWidth="1"/>
    <col min="4199" max="4199" width="7.875" style="248" customWidth="1"/>
    <col min="4200" max="4202" width="8.25" style="248" customWidth="1"/>
    <col min="4203" max="4205" width="8.125" style="248" customWidth="1"/>
    <col min="4206" max="4206" width="7.875" style="248" customWidth="1"/>
    <col min="4207" max="4207" width="8.875" style="248" customWidth="1"/>
    <col min="4208" max="4208" width="8.375" style="248" customWidth="1"/>
    <col min="4209" max="4209" width="8.25" style="248" customWidth="1"/>
    <col min="4210" max="4210" width="8.875" style="248" customWidth="1"/>
    <col min="4211" max="4211" width="8.125" style="248" customWidth="1"/>
    <col min="4212" max="4212" width="8.25" style="248" customWidth="1"/>
    <col min="4213" max="4213" width="8.875" style="248" customWidth="1"/>
    <col min="4214" max="4214" width="8" style="248" customWidth="1"/>
    <col min="4215" max="4217" width="7.875" style="248" customWidth="1"/>
    <col min="4218" max="4218" width="7.75" style="248" customWidth="1"/>
    <col min="4219" max="4222" width="8.875" style="248" customWidth="1"/>
    <col min="4223" max="4223" width="8.75" style="248" customWidth="1"/>
    <col min="4224" max="4224" width="8.625" style="248" customWidth="1"/>
    <col min="4225" max="4226" width="8.25" style="248" customWidth="1"/>
    <col min="4227" max="4227" width="7.625" style="248" customWidth="1"/>
    <col min="4228" max="4228" width="8" style="248" customWidth="1"/>
    <col min="4229" max="4229" width="7.125" style="248" customWidth="1"/>
    <col min="4230" max="4230" width="7.625" style="248" customWidth="1"/>
    <col min="4231" max="4231" width="8.875" style="248" customWidth="1"/>
    <col min="4232" max="4232" width="8.125" style="248" customWidth="1"/>
    <col min="4233" max="4237" width="8.875" style="248" customWidth="1"/>
    <col min="4238" max="4238" width="8" style="248" customWidth="1"/>
    <col min="4239" max="4239" width="7.75" style="248" customWidth="1"/>
    <col min="4240" max="4240" width="7.875" style="248" customWidth="1"/>
    <col min="4241" max="4241" width="7.375" style="248" customWidth="1"/>
    <col min="4242" max="4242" width="7.875" style="248" customWidth="1"/>
    <col min="4243" max="4249" width="8.875" style="248" customWidth="1"/>
    <col min="4250" max="4250" width="7.5" style="248" customWidth="1"/>
    <col min="4251" max="4251" width="7.25" style="248" customWidth="1"/>
    <col min="4252" max="4252" width="8.375" style="248" customWidth="1"/>
    <col min="4253" max="4253" width="7.25" style="248" customWidth="1"/>
    <col min="4254" max="4254" width="7.625" style="248" customWidth="1"/>
    <col min="4255" max="4352" width="9" style="248"/>
    <col min="4353" max="4353" width="4.5" style="248" bestFit="1" customWidth="1"/>
    <col min="4354" max="4354" width="69.125" style="248" customWidth="1"/>
    <col min="4355" max="4355" width="9.25" style="248" customWidth="1"/>
    <col min="4356" max="4356" width="8.625" style="248" customWidth="1"/>
    <col min="4357" max="4357" width="9.375" style="248" customWidth="1"/>
    <col min="4358" max="4358" width="10.25" style="248" customWidth="1"/>
    <col min="4359" max="4359" width="10.625" style="248" customWidth="1"/>
    <col min="4360" max="4360" width="10" style="248" customWidth="1"/>
    <col min="4361" max="4362" width="8.5" style="248" customWidth="1"/>
    <col min="4363" max="4363" width="7.5" style="248" customWidth="1"/>
    <col min="4364" max="4364" width="7.125" style="248" customWidth="1"/>
    <col min="4365" max="4365" width="8.125" style="248" customWidth="1"/>
    <col min="4366" max="4367" width="7.5" style="248" customWidth="1"/>
    <col min="4368" max="4368" width="8.625" style="248" customWidth="1"/>
    <col min="4369" max="4371" width="7.5" style="248" customWidth="1"/>
    <col min="4372" max="4372" width="8.375" style="248" customWidth="1"/>
    <col min="4373" max="4373" width="7.5" style="248" customWidth="1"/>
    <col min="4374" max="4374" width="8.25" style="248" customWidth="1"/>
    <col min="4375" max="4377" width="7.5" style="248" customWidth="1"/>
    <col min="4378" max="4378" width="8.25" style="248" customWidth="1"/>
    <col min="4379" max="4379" width="8.125" style="248" customWidth="1"/>
    <col min="4380" max="4380" width="8.25" style="248" customWidth="1"/>
    <col min="4381" max="4381" width="8.75" style="248" customWidth="1"/>
    <col min="4382" max="4382" width="7.125" style="248" customWidth="1"/>
    <col min="4383" max="4383" width="9.5" style="248" customWidth="1"/>
    <col min="4384" max="4384" width="8.625" style="248" customWidth="1"/>
    <col min="4385" max="4385" width="8.875" style="248" customWidth="1"/>
    <col min="4386" max="4386" width="8.125" style="248" customWidth="1"/>
    <col min="4387" max="4389" width="7.625" style="248" customWidth="1"/>
    <col min="4390" max="4390" width="6.5" style="248" customWidth="1"/>
    <col min="4391" max="4399" width="8.5" style="248" customWidth="1"/>
    <col min="4400" max="4400" width="7.5" style="248" customWidth="1"/>
    <col min="4401" max="4401" width="7.25" style="248" customWidth="1"/>
    <col min="4402" max="4402" width="8.5" style="248" customWidth="1"/>
    <col min="4403" max="4403" width="9.375" style="248" customWidth="1"/>
    <col min="4404" max="4406" width="8.5" style="248" customWidth="1"/>
    <col min="4407" max="4407" width="9.25" style="248" customWidth="1"/>
    <col min="4408" max="4410" width="8.5" style="248" customWidth="1"/>
    <col min="4411" max="4411" width="7.875" style="248" customWidth="1"/>
    <col min="4412" max="4412" width="8.5" style="248" customWidth="1"/>
    <col min="4413" max="4413" width="7.375" style="248" customWidth="1"/>
    <col min="4414" max="4414" width="7.625" style="248" customWidth="1"/>
    <col min="4415" max="4415" width="9.875" style="248" customWidth="1"/>
    <col min="4416" max="4416" width="8.25" style="248" customWidth="1"/>
    <col min="4417" max="4419" width="8.875" style="248" customWidth="1"/>
    <col min="4420" max="4420" width="8.75" style="248" customWidth="1"/>
    <col min="4421" max="4421" width="8" style="248" customWidth="1"/>
    <col min="4422" max="4422" width="8.25" style="248" customWidth="1"/>
    <col min="4423" max="4423" width="7.375" style="248" customWidth="1"/>
    <col min="4424" max="4424" width="8.875" style="248" customWidth="1"/>
    <col min="4425" max="4425" width="7.375" style="248" customWidth="1"/>
    <col min="4426" max="4426" width="6.625" style="248" customWidth="1"/>
    <col min="4427" max="4427" width="9.5" style="248" customWidth="1"/>
    <col min="4428" max="4428" width="8" style="248" customWidth="1"/>
    <col min="4429" max="4429" width="8.375" style="248" customWidth="1"/>
    <col min="4430" max="4430" width="8.5" style="248" customWidth="1"/>
    <col min="4431" max="4431" width="8" style="248" customWidth="1"/>
    <col min="4432" max="4432" width="7.875" style="248" customWidth="1"/>
    <col min="4433" max="4433" width="8" style="248" customWidth="1"/>
    <col min="4434" max="4434" width="8.5" style="248" customWidth="1"/>
    <col min="4435" max="4437" width="8.125" style="248" customWidth="1"/>
    <col min="4438" max="4438" width="8" style="248" customWidth="1"/>
    <col min="4439" max="4442" width="8.75" style="248" customWidth="1"/>
    <col min="4443" max="4443" width="7.625" style="248" customWidth="1"/>
    <col min="4444" max="4445" width="8.75" style="248" customWidth="1"/>
    <col min="4446" max="4446" width="7.75" style="248" customWidth="1"/>
    <col min="4447" max="4449" width="8" style="248" customWidth="1"/>
    <col min="4450" max="4450" width="7.875" style="248" customWidth="1"/>
    <col min="4451" max="4452" width="8.75" style="248" customWidth="1"/>
    <col min="4453" max="4453" width="8.375" style="248" customWidth="1"/>
    <col min="4454" max="4454" width="8" style="248" customWidth="1"/>
    <col min="4455" max="4455" width="7.875" style="248" customWidth="1"/>
    <col min="4456" max="4458" width="8.25" style="248" customWidth="1"/>
    <col min="4459" max="4461" width="8.125" style="248" customWidth="1"/>
    <col min="4462" max="4462" width="7.875" style="248" customWidth="1"/>
    <col min="4463" max="4463" width="8.875" style="248" customWidth="1"/>
    <col min="4464" max="4464" width="8.375" style="248" customWidth="1"/>
    <col min="4465" max="4465" width="8.25" style="248" customWidth="1"/>
    <col min="4466" max="4466" width="8.875" style="248" customWidth="1"/>
    <col min="4467" max="4467" width="8.125" style="248" customWidth="1"/>
    <col min="4468" max="4468" width="8.25" style="248" customWidth="1"/>
    <col min="4469" max="4469" width="8.875" style="248" customWidth="1"/>
    <col min="4470" max="4470" width="8" style="248" customWidth="1"/>
    <col min="4471" max="4473" width="7.875" style="248" customWidth="1"/>
    <col min="4474" max="4474" width="7.75" style="248" customWidth="1"/>
    <col min="4475" max="4478" width="8.875" style="248" customWidth="1"/>
    <col min="4479" max="4479" width="8.75" style="248" customWidth="1"/>
    <col min="4480" max="4480" width="8.625" style="248" customWidth="1"/>
    <col min="4481" max="4482" width="8.25" style="248" customWidth="1"/>
    <col min="4483" max="4483" width="7.625" style="248" customWidth="1"/>
    <col min="4484" max="4484" width="8" style="248" customWidth="1"/>
    <col min="4485" max="4485" width="7.125" style="248" customWidth="1"/>
    <col min="4486" max="4486" width="7.625" style="248" customWidth="1"/>
    <col min="4487" max="4487" width="8.875" style="248" customWidth="1"/>
    <col min="4488" max="4488" width="8.125" style="248" customWidth="1"/>
    <col min="4489" max="4493" width="8.875" style="248" customWidth="1"/>
    <col min="4494" max="4494" width="8" style="248" customWidth="1"/>
    <col min="4495" max="4495" width="7.75" style="248" customWidth="1"/>
    <col min="4496" max="4496" width="7.875" style="248" customWidth="1"/>
    <col min="4497" max="4497" width="7.375" style="248" customWidth="1"/>
    <col min="4498" max="4498" width="7.875" style="248" customWidth="1"/>
    <col min="4499" max="4505" width="8.875" style="248" customWidth="1"/>
    <col min="4506" max="4506" width="7.5" style="248" customWidth="1"/>
    <col min="4507" max="4507" width="7.25" style="248" customWidth="1"/>
    <col min="4508" max="4508" width="8.375" style="248" customWidth="1"/>
    <col min="4509" max="4509" width="7.25" style="248" customWidth="1"/>
    <col min="4510" max="4510" width="7.625" style="248" customWidth="1"/>
    <col min="4511" max="4608" width="9" style="248"/>
    <col min="4609" max="4609" width="4.5" style="248" bestFit="1" customWidth="1"/>
    <col min="4610" max="4610" width="69.125" style="248" customWidth="1"/>
    <col min="4611" max="4611" width="9.25" style="248" customWidth="1"/>
    <col min="4612" max="4612" width="8.625" style="248" customWidth="1"/>
    <col min="4613" max="4613" width="9.375" style="248" customWidth="1"/>
    <col min="4614" max="4614" width="10.25" style="248" customWidth="1"/>
    <col min="4615" max="4615" width="10.625" style="248" customWidth="1"/>
    <col min="4616" max="4616" width="10" style="248" customWidth="1"/>
    <col min="4617" max="4618" width="8.5" style="248" customWidth="1"/>
    <col min="4619" max="4619" width="7.5" style="248" customWidth="1"/>
    <col min="4620" max="4620" width="7.125" style="248" customWidth="1"/>
    <col min="4621" max="4621" width="8.125" style="248" customWidth="1"/>
    <col min="4622" max="4623" width="7.5" style="248" customWidth="1"/>
    <col min="4624" max="4624" width="8.625" style="248" customWidth="1"/>
    <col min="4625" max="4627" width="7.5" style="248" customWidth="1"/>
    <col min="4628" max="4628" width="8.375" style="248" customWidth="1"/>
    <col min="4629" max="4629" width="7.5" style="248" customWidth="1"/>
    <col min="4630" max="4630" width="8.25" style="248" customWidth="1"/>
    <col min="4631" max="4633" width="7.5" style="248" customWidth="1"/>
    <col min="4634" max="4634" width="8.25" style="248" customWidth="1"/>
    <col min="4635" max="4635" width="8.125" style="248" customWidth="1"/>
    <col min="4636" max="4636" width="8.25" style="248" customWidth="1"/>
    <col min="4637" max="4637" width="8.75" style="248" customWidth="1"/>
    <col min="4638" max="4638" width="7.125" style="248" customWidth="1"/>
    <col min="4639" max="4639" width="9.5" style="248" customWidth="1"/>
    <col min="4640" max="4640" width="8.625" style="248" customWidth="1"/>
    <col min="4641" max="4641" width="8.875" style="248" customWidth="1"/>
    <col min="4642" max="4642" width="8.125" style="248" customWidth="1"/>
    <col min="4643" max="4645" width="7.625" style="248" customWidth="1"/>
    <col min="4646" max="4646" width="6.5" style="248" customWidth="1"/>
    <col min="4647" max="4655" width="8.5" style="248" customWidth="1"/>
    <col min="4656" max="4656" width="7.5" style="248" customWidth="1"/>
    <col min="4657" max="4657" width="7.25" style="248" customWidth="1"/>
    <col min="4658" max="4658" width="8.5" style="248" customWidth="1"/>
    <col min="4659" max="4659" width="9.375" style="248" customWidth="1"/>
    <col min="4660" max="4662" width="8.5" style="248" customWidth="1"/>
    <col min="4663" max="4663" width="9.25" style="248" customWidth="1"/>
    <col min="4664" max="4666" width="8.5" style="248" customWidth="1"/>
    <col min="4667" max="4667" width="7.875" style="248" customWidth="1"/>
    <col min="4668" max="4668" width="8.5" style="248" customWidth="1"/>
    <col min="4669" max="4669" width="7.375" style="248" customWidth="1"/>
    <col min="4670" max="4670" width="7.625" style="248" customWidth="1"/>
    <col min="4671" max="4671" width="9.875" style="248" customWidth="1"/>
    <col min="4672" max="4672" width="8.25" style="248" customWidth="1"/>
    <col min="4673" max="4675" width="8.875" style="248" customWidth="1"/>
    <col min="4676" max="4676" width="8.75" style="248" customWidth="1"/>
    <col min="4677" max="4677" width="8" style="248" customWidth="1"/>
    <col min="4678" max="4678" width="8.25" style="248" customWidth="1"/>
    <col min="4679" max="4679" width="7.375" style="248" customWidth="1"/>
    <col min="4680" max="4680" width="8.875" style="248" customWidth="1"/>
    <col min="4681" max="4681" width="7.375" style="248" customWidth="1"/>
    <col min="4682" max="4682" width="6.625" style="248" customWidth="1"/>
    <col min="4683" max="4683" width="9.5" style="248" customWidth="1"/>
    <col min="4684" max="4684" width="8" style="248" customWidth="1"/>
    <col min="4685" max="4685" width="8.375" style="248" customWidth="1"/>
    <col min="4686" max="4686" width="8.5" style="248" customWidth="1"/>
    <col min="4687" max="4687" width="8" style="248" customWidth="1"/>
    <col min="4688" max="4688" width="7.875" style="248" customWidth="1"/>
    <col min="4689" max="4689" width="8" style="248" customWidth="1"/>
    <col min="4690" max="4690" width="8.5" style="248" customWidth="1"/>
    <col min="4691" max="4693" width="8.125" style="248" customWidth="1"/>
    <col min="4694" max="4694" width="8" style="248" customWidth="1"/>
    <col min="4695" max="4698" width="8.75" style="248" customWidth="1"/>
    <col min="4699" max="4699" width="7.625" style="248" customWidth="1"/>
    <col min="4700" max="4701" width="8.75" style="248" customWidth="1"/>
    <col min="4702" max="4702" width="7.75" style="248" customWidth="1"/>
    <col min="4703" max="4705" width="8" style="248" customWidth="1"/>
    <col min="4706" max="4706" width="7.875" style="248" customWidth="1"/>
    <col min="4707" max="4708" width="8.75" style="248" customWidth="1"/>
    <col min="4709" max="4709" width="8.375" style="248" customWidth="1"/>
    <col min="4710" max="4710" width="8" style="248" customWidth="1"/>
    <col min="4711" max="4711" width="7.875" style="248" customWidth="1"/>
    <col min="4712" max="4714" width="8.25" style="248" customWidth="1"/>
    <col min="4715" max="4717" width="8.125" style="248" customWidth="1"/>
    <col min="4718" max="4718" width="7.875" style="248" customWidth="1"/>
    <col min="4719" max="4719" width="8.875" style="248" customWidth="1"/>
    <col min="4720" max="4720" width="8.375" style="248" customWidth="1"/>
    <col min="4721" max="4721" width="8.25" style="248" customWidth="1"/>
    <col min="4722" max="4722" width="8.875" style="248" customWidth="1"/>
    <col min="4723" max="4723" width="8.125" style="248" customWidth="1"/>
    <col min="4724" max="4724" width="8.25" style="248" customWidth="1"/>
    <col min="4725" max="4725" width="8.875" style="248" customWidth="1"/>
    <col min="4726" max="4726" width="8" style="248" customWidth="1"/>
    <col min="4727" max="4729" width="7.875" style="248" customWidth="1"/>
    <col min="4730" max="4730" width="7.75" style="248" customWidth="1"/>
    <col min="4731" max="4734" width="8.875" style="248" customWidth="1"/>
    <col min="4735" max="4735" width="8.75" style="248" customWidth="1"/>
    <col min="4736" max="4736" width="8.625" style="248" customWidth="1"/>
    <col min="4737" max="4738" width="8.25" style="248" customWidth="1"/>
    <col min="4739" max="4739" width="7.625" style="248" customWidth="1"/>
    <col min="4740" max="4740" width="8" style="248" customWidth="1"/>
    <col min="4741" max="4741" width="7.125" style="248" customWidth="1"/>
    <col min="4742" max="4742" width="7.625" style="248" customWidth="1"/>
    <col min="4743" max="4743" width="8.875" style="248" customWidth="1"/>
    <col min="4744" max="4744" width="8.125" style="248" customWidth="1"/>
    <col min="4745" max="4749" width="8.875" style="248" customWidth="1"/>
    <col min="4750" max="4750" width="8" style="248" customWidth="1"/>
    <col min="4751" max="4751" width="7.75" style="248" customWidth="1"/>
    <col min="4752" max="4752" width="7.875" style="248" customWidth="1"/>
    <col min="4753" max="4753" width="7.375" style="248" customWidth="1"/>
    <col min="4754" max="4754" width="7.875" style="248" customWidth="1"/>
    <col min="4755" max="4761" width="8.875" style="248" customWidth="1"/>
    <col min="4762" max="4762" width="7.5" style="248" customWidth="1"/>
    <col min="4763" max="4763" width="7.25" style="248" customWidth="1"/>
    <col min="4764" max="4764" width="8.375" style="248" customWidth="1"/>
    <col min="4765" max="4765" width="7.25" style="248" customWidth="1"/>
    <col min="4766" max="4766" width="7.625" style="248" customWidth="1"/>
    <col min="4767" max="4864" width="9" style="248"/>
    <col min="4865" max="4865" width="4.5" style="248" bestFit="1" customWidth="1"/>
    <col min="4866" max="4866" width="69.125" style="248" customWidth="1"/>
    <col min="4867" max="4867" width="9.25" style="248" customWidth="1"/>
    <col min="4868" max="4868" width="8.625" style="248" customWidth="1"/>
    <col min="4869" max="4869" width="9.375" style="248" customWidth="1"/>
    <col min="4870" max="4870" width="10.25" style="248" customWidth="1"/>
    <col min="4871" max="4871" width="10.625" style="248" customWidth="1"/>
    <col min="4872" max="4872" width="10" style="248" customWidth="1"/>
    <col min="4873" max="4874" width="8.5" style="248" customWidth="1"/>
    <col min="4875" max="4875" width="7.5" style="248" customWidth="1"/>
    <col min="4876" max="4876" width="7.125" style="248" customWidth="1"/>
    <col min="4877" max="4877" width="8.125" style="248" customWidth="1"/>
    <col min="4878" max="4879" width="7.5" style="248" customWidth="1"/>
    <col min="4880" max="4880" width="8.625" style="248" customWidth="1"/>
    <col min="4881" max="4883" width="7.5" style="248" customWidth="1"/>
    <col min="4884" max="4884" width="8.375" style="248" customWidth="1"/>
    <col min="4885" max="4885" width="7.5" style="248" customWidth="1"/>
    <col min="4886" max="4886" width="8.25" style="248" customWidth="1"/>
    <col min="4887" max="4889" width="7.5" style="248" customWidth="1"/>
    <col min="4890" max="4890" width="8.25" style="248" customWidth="1"/>
    <col min="4891" max="4891" width="8.125" style="248" customWidth="1"/>
    <col min="4892" max="4892" width="8.25" style="248" customWidth="1"/>
    <col min="4893" max="4893" width="8.75" style="248" customWidth="1"/>
    <col min="4894" max="4894" width="7.125" style="248" customWidth="1"/>
    <col min="4895" max="4895" width="9.5" style="248" customWidth="1"/>
    <col min="4896" max="4896" width="8.625" style="248" customWidth="1"/>
    <col min="4897" max="4897" width="8.875" style="248" customWidth="1"/>
    <col min="4898" max="4898" width="8.125" style="248" customWidth="1"/>
    <col min="4899" max="4901" width="7.625" style="248" customWidth="1"/>
    <col min="4902" max="4902" width="6.5" style="248" customWidth="1"/>
    <col min="4903" max="4911" width="8.5" style="248" customWidth="1"/>
    <col min="4912" max="4912" width="7.5" style="248" customWidth="1"/>
    <col min="4913" max="4913" width="7.25" style="248" customWidth="1"/>
    <col min="4914" max="4914" width="8.5" style="248" customWidth="1"/>
    <col min="4915" max="4915" width="9.375" style="248" customWidth="1"/>
    <col min="4916" max="4918" width="8.5" style="248" customWidth="1"/>
    <col min="4919" max="4919" width="9.25" style="248" customWidth="1"/>
    <col min="4920" max="4922" width="8.5" style="248" customWidth="1"/>
    <col min="4923" max="4923" width="7.875" style="248" customWidth="1"/>
    <col min="4924" max="4924" width="8.5" style="248" customWidth="1"/>
    <col min="4925" max="4925" width="7.375" style="248" customWidth="1"/>
    <col min="4926" max="4926" width="7.625" style="248" customWidth="1"/>
    <col min="4927" max="4927" width="9.875" style="248" customWidth="1"/>
    <col min="4928" max="4928" width="8.25" style="248" customWidth="1"/>
    <col min="4929" max="4931" width="8.875" style="248" customWidth="1"/>
    <col min="4932" max="4932" width="8.75" style="248" customWidth="1"/>
    <col min="4933" max="4933" width="8" style="248" customWidth="1"/>
    <col min="4934" max="4934" width="8.25" style="248" customWidth="1"/>
    <col min="4935" max="4935" width="7.375" style="248" customWidth="1"/>
    <col min="4936" max="4936" width="8.875" style="248" customWidth="1"/>
    <col min="4937" max="4937" width="7.375" style="248" customWidth="1"/>
    <col min="4938" max="4938" width="6.625" style="248" customWidth="1"/>
    <col min="4939" max="4939" width="9.5" style="248" customWidth="1"/>
    <col min="4940" max="4940" width="8" style="248" customWidth="1"/>
    <col min="4941" max="4941" width="8.375" style="248" customWidth="1"/>
    <col min="4942" max="4942" width="8.5" style="248" customWidth="1"/>
    <col min="4943" max="4943" width="8" style="248" customWidth="1"/>
    <col min="4944" max="4944" width="7.875" style="248" customWidth="1"/>
    <col min="4945" max="4945" width="8" style="248" customWidth="1"/>
    <col min="4946" max="4946" width="8.5" style="248" customWidth="1"/>
    <col min="4947" max="4949" width="8.125" style="248" customWidth="1"/>
    <col min="4950" max="4950" width="8" style="248" customWidth="1"/>
    <col min="4951" max="4954" width="8.75" style="248" customWidth="1"/>
    <col min="4955" max="4955" width="7.625" style="248" customWidth="1"/>
    <col min="4956" max="4957" width="8.75" style="248" customWidth="1"/>
    <col min="4958" max="4958" width="7.75" style="248" customWidth="1"/>
    <col min="4959" max="4961" width="8" style="248" customWidth="1"/>
    <col min="4962" max="4962" width="7.875" style="248" customWidth="1"/>
    <col min="4963" max="4964" width="8.75" style="248" customWidth="1"/>
    <col min="4965" max="4965" width="8.375" style="248" customWidth="1"/>
    <col min="4966" max="4966" width="8" style="248" customWidth="1"/>
    <col min="4967" max="4967" width="7.875" style="248" customWidth="1"/>
    <col min="4968" max="4970" width="8.25" style="248" customWidth="1"/>
    <col min="4971" max="4973" width="8.125" style="248" customWidth="1"/>
    <col min="4974" max="4974" width="7.875" style="248" customWidth="1"/>
    <col min="4975" max="4975" width="8.875" style="248" customWidth="1"/>
    <col min="4976" max="4976" width="8.375" style="248" customWidth="1"/>
    <col min="4977" max="4977" width="8.25" style="248" customWidth="1"/>
    <col min="4978" max="4978" width="8.875" style="248" customWidth="1"/>
    <col min="4979" max="4979" width="8.125" style="248" customWidth="1"/>
    <col min="4980" max="4980" width="8.25" style="248" customWidth="1"/>
    <col min="4981" max="4981" width="8.875" style="248" customWidth="1"/>
    <col min="4982" max="4982" width="8" style="248" customWidth="1"/>
    <col min="4983" max="4985" width="7.875" style="248" customWidth="1"/>
    <col min="4986" max="4986" width="7.75" style="248" customWidth="1"/>
    <col min="4987" max="4990" width="8.875" style="248" customWidth="1"/>
    <col min="4991" max="4991" width="8.75" style="248" customWidth="1"/>
    <col min="4992" max="4992" width="8.625" style="248" customWidth="1"/>
    <col min="4993" max="4994" width="8.25" style="248" customWidth="1"/>
    <col min="4995" max="4995" width="7.625" style="248" customWidth="1"/>
    <col min="4996" max="4996" width="8" style="248" customWidth="1"/>
    <col min="4997" max="4997" width="7.125" style="248" customWidth="1"/>
    <col min="4998" max="4998" width="7.625" style="248" customWidth="1"/>
    <col min="4999" max="4999" width="8.875" style="248" customWidth="1"/>
    <col min="5000" max="5000" width="8.125" style="248" customWidth="1"/>
    <col min="5001" max="5005" width="8.875" style="248" customWidth="1"/>
    <col min="5006" max="5006" width="8" style="248" customWidth="1"/>
    <col min="5007" max="5007" width="7.75" style="248" customWidth="1"/>
    <col min="5008" max="5008" width="7.875" style="248" customWidth="1"/>
    <col min="5009" max="5009" width="7.375" style="248" customWidth="1"/>
    <col min="5010" max="5010" width="7.875" style="248" customWidth="1"/>
    <col min="5011" max="5017" width="8.875" style="248" customWidth="1"/>
    <col min="5018" max="5018" width="7.5" style="248" customWidth="1"/>
    <col min="5019" max="5019" width="7.25" style="248" customWidth="1"/>
    <col min="5020" max="5020" width="8.375" style="248" customWidth="1"/>
    <col min="5021" max="5021" width="7.25" style="248" customWidth="1"/>
    <col min="5022" max="5022" width="7.625" style="248" customWidth="1"/>
    <col min="5023" max="5120" width="9" style="248"/>
    <col min="5121" max="5121" width="4.5" style="248" bestFit="1" customWidth="1"/>
    <col min="5122" max="5122" width="69.125" style="248" customWidth="1"/>
    <col min="5123" max="5123" width="9.25" style="248" customWidth="1"/>
    <col min="5124" max="5124" width="8.625" style="248" customWidth="1"/>
    <col min="5125" max="5125" width="9.375" style="248" customWidth="1"/>
    <col min="5126" max="5126" width="10.25" style="248" customWidth="1"/>
    <col min="5127" max="5127" width="10.625" style="248" customWidth="1"/>
    <col min="5128" max="5128" width="10" style="248" customWidth="1"/>
    <col min="5129" max="5130" width="8.5" style="248" customWidth="1"/>
    <col min="5131" max="5131" width="7.5" style="248" customWidth="1"/>
    <col min="5132" max="5132" width="7.125" style="248" customWidth="1"/>
    <col min="5133" max="5133" width="8.125" style="248" customWidth="1"/>
    <col min="5134" max="5135" width="7.5" style="248" customWidth="1"/>
    <col min="5136" max="5136" width="8.625" style="248" customWidth="1"/>
    <col min="5137" max="5139" width="7.5" style="248" customWidth="1"/>
    <col min="5140" max="5140" width="8.375" style="248" customWidth="1"/>
    <col min="5141" max="5141" width="7.5" style="248" customWidth="1"/>
    <col min="5142" max="5142" width="8.25" style="248" customWidth="1"/>
    <col min="5143" max="5145" width="7.5" style="248" customWidth="1"/>
    <col min="5146" max="5146" width="8.25" style="248" customWidth="1"/>
    <col min="5147" max="5147" width="8.125" style="248" customWidth="1"/>
    <col min="5148" max="5148" width="8.25" style="248" customWidth="1"/>
    <col min="5149" max="5149" width="8.75" style="248" customWidth="1"/>
    <col min="5150" max="5150" width="7.125" style="248" customWidth="1"/>
    <col min="5151" max="5151" width="9.5" style="248" customWidth="1"/>
    <col min="5152" max="5152" width="8.625" style="248" customWidth="1"/>
    <col min="5153" max="5153" width="8.875" style="248" customWidth="1"/>
    <col min="5154" max="5154" width="8.125" style="248" customWidth="1"/>
    <col min="5155" max="5157" width="7.625" style="248" customWidth="1"/>
    <col min="5158" max="5158" width="6.5" style="248" customWidth="1"/>
    <col min="5159" max="5167" width="8.5" style="248" customWidth="1"/>
    <col min="5168" max="5168" width="7.5" style="248" customWidth="1"/>
    <col min="5169" max="5169" width="7.25" style="248" customWidth="1"/>
    <col min="5170" max="5170" width="8.5" style="248" customWidth="1"/>
    <col min="5171" max="5171" width="9.375" style="248" customWidth="1"/>
    <col min="5172" max="5174" width="8.5" style="248" customWidth="1"/>
    <col min="5175" max="5175" width="9.25" style="248" customWidth="1"/>
    <col min="5176" max="5178" width="8.5" style="248" customWidth="1"/>
    <col min="5179" max="5179" width="7.875" style="248" customWidth="1"/>
    <col min="5180" max="5180" width="8.5" style="248" customWidth="1"/>
    <col min="5181" max="5181" width="7.375" style="248" customWidth="1"/>
    <col min="5182" max="5182" width="7.625" style="248" customWidth="1"/>
    <col min="5183" max="5183" width="9.875" style="248" customWidth="1"/>
    <col min="5184" max="5184" width="8.25" style="248" customWidth="1"/>
    <col min="5185" max="5187" width="8.875" style="248" customWidth="1"/>
    <col min="5188" max="5188" width="8.75" style="248" customWidth="1"/>
    <col min="5189" max="5189" width="8" style="248" customWidth="1"/>
    <col min="5190" max="5190" width="8.25" style="248" customWidth="1"/>
    <col min="5191" max="5191" width="7.375" style="248" customWidth="1"/>
    <col min="5192" max="5192" width="8.875" style="248" customWidth="1"/>
    <col min="5193" max="5193" width="7.375" style="248" customWidth="1"/>
    <col min="5194" max="5194" width="6.625" style="248" customWidth="1"/>
    <col min="5195" max="5195" width="9.5" style="248" customWidth="1"/>
    <col min="5196" max="5196" width="8" style="248" customWidth="1"/>
    <col min="5197" max="5197" width="8.375" style="248" customWidth="1"/>
    <col min="5198" max="5198" width="8.5" style="248" customWidth="1"/>
    <col min="5199" max="5199" width="8" style="248" customWidth="1"/>
    <col min="5200" max="5200" width="7.875" style="248" customWidth="1"/>
    <col min="5201" max="5201" width="8" style="248" customWidth="1"/>
    <col min="5202" max="5202" width="8.5" style="248" customWidth="1"/>
    <col min="5203" max="5205" width="8.125" style="248" customWidth="1"/>
    <col min="5206" max="5206" width="8" style="248" customWidth="1"/>
    <col min="5207" max="5210" width="8.75" style="248" customWidth="1"/>
    <col min="5211" max="5211" width="7.625" style="248" customWidth="1"/>
    <col min="5212" max="5213" width="8.75" style="248" customWidth="1"/>
    <col min="5214" max="5214" width="7.75" style="248" customWidth="1"/>
    <col min="5215" max="5217" width="8" style="248" customWidth="1"/>
    <col min="5218" max="5218" width="7.875" style="248" customWidth="1"/>
    <col min="5219" max="5220" width="8.75" style="248" customWidth="1"/>
    <col min="5221" max="5221" width="8.375" style="248" customWidth="1"/>
    <col min="5222" max="5222" width="8" style="248" customWidth="1"/>
    <col min="5223" max="5223" width="7.875" style="248" customWidth="1"/>
    <col min="5224" max="5226" width="8.25" style="248" customWidth="1"/>
    <col min="5227" max="5229" width="8.125" style="248" customWidth="1"/>
    <col min="5230" max="5230" width="7.875" style="248" customWidth="1"/>
    <col min="5231" max="5231" width="8.875" style="248" customWidth="1"/>
    <col min="5232" max="5232" width="8.375" style="248" customWidth="1"/>
    <col min="5233" max="5233" width="8.25" style="248" customWidth="1"/>
    <col min="5234" max="5234" width="8.875" style="248" customWidth="1"/>
    <col min="5235" max="5235" width="8.125" style="248" customWidth="1"/>
    <col min="5236" max="5236" width="8.25" style="248" customWidth="1"/>
    <col min="5237" max="5237" width="8.875" style="248" customWidth="1"/>
    <col min="5238" max="5238" width="8" style="248" customWidth="1"/>
    <col min="5239" max="5241" width="7.875" style="248" customWidth="1"/>
    <col min="5242" max="5242" width="7.75" style="248" customWidth="1"/>
    <col min="5243" max="5246" width="8.875" style="248" customWidth="1"/>
    <col min="5247" max="5247" width="8.75" style="248" customWidth="1"/>
    <col min="5248" max="5248" width="8.625" style="248" customWidth="1"/>
    <col min="5249" max="5250" width="8.25" style="248" customWidth="1"/>
    <col min="5251" max="5251" width="7.625" style="248" customWidth="1"/>
    <col min="5252" max="5252" width="8" style="248" customWidth="1"/>
    <col min="5253" max="5253" width="7.125" style="248" customWidth="1"/>
    <col min="5254" max="5254" width="7.625" style="248" customWidth="1"/>
    <col min="5255" max="5255" width="8.875" style="248" customWidth="1"/>
    <col min="5256" max="5256" width="8.125" style="248" customWidth="1"/>
    <col min="5257" max="5261" width="8.875" style="248" customWidth="1"/>
    <col min="5262" max="5262" width="8" style="248" customWidth="1"/>
    <col min="5263" max="5263" width="7.75" style="248" customWidth="1"/>
    <col min="5264" max="5264" width="7.875" style="248" customWidth="1"/>
    <col min="5265" max="5265" width="7.375" style="248" customWidth="1"/>
    <col min="5266" max="5266" width="7.875" style="248" customWidth="1"/>
    <col min="5267" max="5273" width="8.875" style="248" customWidth="1"/>
    <col min="5274" max="5274" width="7.5" style="248" customWidth="1"/>
    <col min="5275" max="5275" width="7.25" style="248" customWidth="1"/>
    <col min="5276" max="5276" width="8.375" style="248" customWidth="1"/>
    <col min="5277" max="5277" width="7.25" style="248" customWidth="1"/>
    <col min="5278" max="5278" width="7.625" style="248" customWidth="1"/>
    <col min="5279" max="5376" width="9" style="248"/>
    <col min="5377" max="5377" width="4.5" style="248" bestFit="1" customWidth="1"/>
    <col min="5378" max="5378" width="69.125" style="248" customWidth="1"/>
    <col min="5379" max="5379" width="9.25" style="248" customWidth="1"/>
    <col min="5380" max="5380" width="8.625" style="248" customWidth="1"/>
    <col min="5381" max="5381" width="9.375" style="248" customWidth="1"/>
    <col min="5382" max="5382" width="10.25" style="248" customWidth="1"/>
    <col min="5383" max="5383" width="10.625" style="248" customWidth="1"/>
    <col min="5384" max="5384" width="10" style="248" customWidth="1"/>
    <col min="5385" max="5386" width="8.5" style="248" customWidth="1"/>
    <col min="5387" max="5387" width="7.5" style="248" customWidth="1"/>
    <col min="5388" max="5388" width="7.125" style="248" customWidth="1"/>
    <col min="5389" max="5389" width="8.125" style="248" customWidth="1"/>
    <col min="5390" max="5391" width="7.5" style="248" customWidth="1"/>
    <col min="5392" max="5392" width="8.625" style="248" customWidth="1"/>
    <col min="5393" max="5395" width="7.5" style="248" customWidth="1"/>
    <col min="5396" max="5396" width="8.375" style="248" customWidth="1"/>
    <col min="5397" max="5397" width="7.5" style="248" customWidth="1"/>
    <col min="5398" max="5398" width="8.25" style="248" customWidth="1"/>
    <col min="5399" max="5401" width="7.5" style="248" customWidth="1"/>
    <col min="5402" max="5402" width="8.25" style="248" customWidth="1"/>
    <col min="5403" max="5403" width="8.125" style="248" customWidth="1"/>
    <col min="5404" max="5404" width="8.25" style="248" customWidth="1"/>
    <col min="5405" max="5405" width="8.75" style="248" customWidth="1"/>
    <col min="5406" max="5406" width="7.125" style="248" customWidth="1"/>
    <col min="5407" max="5407" width="9.5" style="248" customWidth="1"/>
    <col min="5408" max="5408" width="8.625" style="248" customWidth="1"/>
    <col min="5409" max="5409" width="8.875" style="248" customWidth="1"/>
    <col min="5410" max="5410" width="8.125" style="248" customWidth="1"/>
    <col min="5411" max="5413" width="7.625" style="248" customWidth="1"/>
    <col min="5414" max="5414" width="6.5" style="248" customWidth="1"/>
    <col min="5415" max="5423" width="8.5" style="248" customWidth="1"/>
    <col min="5424" max="5424" width="7.5" style="248" customWidth="1"/>
    <col min="5425" max="5425" width="7.25" style="248" customWidth="1"/>
    <col min="5426" max="5426" width="8.5" style="248" customWidth="1"/>
    <col min="5427" max="5427" width="9.375" style="248" customWidth="1"/>
    <col min="5428" max="5430" width="8.5" style="248" customWidth="1"/>
    <col min="5431" max="5431" width="9.25" style="248" customWidth="1"/>
    <col min="5432" max="5434" width="8.5" style="248" customWidth="1"/>
    <col min="5435" max="5435" width="7.875" style="248" customWidth="1"/>
    <col min="5436" max="5436" width="8.5" style="248" customWidth="1"/>
    <col min="5437" max="5437" width="7.375" style="248" customWidth="1"/>
    <col min="5438" max="5438" width="7.625" style="248" customWidth="1"/>
    <col min="5439" max="5439" width="9.875" style="248" customWidth="1"/>
    <col min="5440" max="5440" width="8.25" style="248" customWidth="1"/>
    <col min="5441" max="5443" width="8.875" style="248" customWidth="1"/>
    <col min="5444" max="5444" width="8.75" style="248" customWidth="1"/>
    <col min="5445" max="5445" width="8" style="248" customWidth="1"/>
    <col min="5446" max="5446" width="8.25" style="248" customWidth="1"/>
    <col min="5447" max="5447" width="7.375" style="248" customWidth="1"/>
    <col min="5448" max="5448" width="8.875" style="248" customWidth="1"/>
    <col min="5449" max="5449" width="7.375" style="248" customWidth="1"/>
    <col min="5450" max="5450" width="6.625" style="248" customWidth="1"/>
    <col min="5451" max="5451" width="9.5" style="248" customWidth="1"/>
    <col min="5452" max="5452" width="8" style="248" customWidth="1"/>
    <col min="5453" max="5453" width="8.375" style="248" customWidth="1"/>
    <col min="5454" max="5454" width="8.5" style="248" customWidth="1"/>
    <col min="5455" max="5455" width="8" style="248" customWidth="1"/>
    <col min="5456" max="5456" width="7.875" style="248" customWidth="1"/>
    <col min="5457" max="5457" width="8" style="248" customWidth="1"/>
    <col min="5458" max="5458" width="8.5" style="248" customWidth="1"/>
    <col min="5459" max="5461" width="8.125" style="248" customWidth="1"/>
    <col min="5462" max="5462" width="8" style="248" customWidth="1"/>
    <col min="5463" max="5466" width="8.75" style="248" customWidth="1"/>
    <col min="5467" max="5467" width="7.625" style="248" customWidth="1"/>
    <col min="5468" max="5469" width="8.75" style="248" customWidth="1"/>
    <col min="5470" max="5470" width="7.75" style="248" customWidth="1"/>
    <col min="5471" max="5473" width="8" style="248" customWidth="1"/>
    <col min="5474" max="5474" width="7.875" style="248" customWidth="1"/>
    <col min="5475" max="5476" width="8.75" style="248" customWidth="1"/>
    <col min="5477" max="5477" width="8.375" style="248" customWidth="1"/>
    <col min="5478" max="5478" width="8" style="248" customWidth="1"/>
    <col min="5479" max="5479" width="7.875" style="248" customWidth="1"/>
    <col min="5480" max="5482" width="8.25" style="248" customWidth="1"/>
    <col min="5483" max="5485" width="8.125" style="248" customWidth="1"/>
    <col min="5486" max="5486" width="7.875" style="248" customWidth="1"/>
    <col min="5487" max="5487" width="8.875" style="248" customWidth="1"/>
    <col min="5488" max="5488" width="8.375" style="248" customWidth="1"/>
    <col min="5489" max="5489" width="8.25" style="248" customWidth="1"/>
    <col min="5490" max="5490" width="8.875" style="248" customWidth="1"/>
    <col min="5491" max="5491" width="8.125" style="248" customWidth="1"/>
    <col min="5492" max="5492" width="8.25" style="248" customWidth="1"/>
    <col min="5493" max="5493" width="8.875" style="248" customWidth="1"/>
    <col min="5494" max="5494" width="8" style="248" customWidth="1"/>
    <col min="5495" max="5497" width="7.875" style="248" customWidth="1"/>
    <col min="5498" max="5498" width="7.75" style="248" customWidth="1"/>
    <col min="5499" max="5502" width="8.875" style="248" customWidth="1"/>
    <col min="5503" max="5503" width="8.75" style="248" customWidth="1"/>
    <col min="5504" max="5504" width="8.625" style="248" customWidth="1"/>
    <col min="5505" max="5506" width="8.25" style="248" customWidth="1"/>
    <col min="5507" max="5507" width="7.625" style="248" customWidth="1"/>
    <col min="5508" max="5508" width="8" style="248" customWidth="1"/>
    <col min="5509" max="5509" width="7.125" style="248" customWidth="1"/>
    <col min="5510" max="5510" width="7.625" style="248" customWidth="1"/>
    <col min="5511" max="5511" width="8.875" style="248" customWidth="1"/>
    <col min="5512" max="5512" width="8.125" style="248" customWidth="1"/>
    <col min="5513" max="5517" width="8.875" style="248" customWidth="1"/>
    <col min="5518" max="5518" width="8" style="248" customWidth="1"/>
    <col min="5519" max="5519" width="7.75" style="248" customWidth="1"/>
    <col min="5520" max="5520" width="7.875" style="248" customWidth="1"/>
    <col min="5521" max="5521" width="7.375" style="248" customWidth="1"/>
    <col min="5522" max="5522" width="7.875" style="248" customWidth="1"/>
    <col min="5523" max="5529" width="8.875" style="248" customWidth="1"/>
    <col min="5530" max="5530" width="7.5" style="248" customWidth="1"/>
    <col min="5531" max="5531" width="7.25" style="248" customWidth="1"/>
    <col min="5532" max="5532" width="8.375" style="248" customWidth="1"/>
    <col min="5533" max="5533" width="7.25" style="248" customWidth="1"/>
    <col min="5534" max="5534" width="7.625" style="248" customWidth="1"/>
    <col min="5535" max="5632" width="9" style="248"/>
    <col min="5633" max="5633" width="4.5" style="248" bestFit="1" customWidth="1"/>
    <col min="5634" max="5634" width="69.125" style="248" customWidth="1"/>
    <col min="5635" max="5635" width="9.25" style="248" customWidth="1"/>
    <col min="5636" max="5636" width="8.625" style="248" customWidth="1"/>
    <col min="5637" max="5637" width="9.375" style="248" customWidth="1"/>
    <col min="5638" max="5638" width="10.25" style="248" customWidth="1"/>
    <col min="5639" max="5639" width="10.625" style="248" customWidth="1"/>
    <col min="5640" max="5640" width="10" style="248" customWidth="1"/>
    <col min="5641" max="5642" width="8.5" style="248" customWidth="1"/>
    <col min="5643" max="5643" width="7.5" style="248" customWidth="1"/>
    <col min="5644" max="5644" width="7.125" style="248" customWidth="1"/>
    <col min="5645" max="5645" width="8.125" style="248" customWidth="1"/>
    <col min="5646" max="5647" width="7.5" style="248" customWidth="1"/>
    <col min="5648" max="5648" width="8.625" style="248" customWidth="1"/>
    <col min="5649" max="5651" width="7.5" style="248" customWidth="1"/>
    <col min="5652" max="5652" width="8.375" style="248" customWidth="1"/>
    <col min="5653" max="5653" width="7.5" style="248" customWidth="1"/>
    <col min="5654" max="5654" width="8.25" style="248" customWidth="1"/>
    <col min="5655" max="5657" width="7.5" style="248" customWidth="1"/>
    <col min="5658" max="5658" width="8.25" style="248" customWidth="1"/>
    <col min="5659" max="5659" width="8.125" style="248" customWidth="1"/>
    <col min="5660" max="5660" width="8.25" style="248" customWidth="1"/>
    <col min="5661" max="5661" width="8.75" style="248" customWidth="1"/>
    <col min="5662" max="5662" width="7.125" style="248" customWidth="1"/>
    <col min="5663" max="5663" width="9.5" style="248" customWidth="1"/>
    <col min="5664" max="5664" width="8.625" style="248" customWidth="1"/>
    <col min="5665" max="5665" width="8.875" style="248" customWidth="1"/>
    <col min="5666" max="5666" width="8.125" style="248" customWidth="1"/>
    <col min="5667" max="5669" width="7.625" style="248" customWidth="1"/>
    <col min="5670" max="5670" width="6.5" style="248" customWidth="1"/>
    <col min="5671" max="5679" width="8.5" style="248" customWidth="1"/>
    <col min="5680" max="5680" width="7.5" style="248" customWidth="1"/>
    <col min="5681" max="5681" width="7.25" style="248" customWidth="1"/>
    <col min="5682" max="5682" width="8.5" style="248" customWidth="1"/>
    <col min="5683" max="5683" width="9.375" style="248" customWidth="1"/>
    <col min="5684" max="5686" width="8.5" style="248" customWidth="1"/>
    <col min="5687" max="5687" width="9.25" style="248" customWidth="1"/>
    <col min="5688" max="5690" width="8.5" style="248" customWidth="1"/>
    <col min="5691" max="5691" width="7.875" style="248" customWidth="1"/>
    <col min="5692" max="5692" width="8.5" style="248" customWidth="1"/>
    <col min="5693" max="5693" width="7.375" style="248" customWidth="1"/>
    <col min="5694" max="5694" width="7.625" style="248" customWidth="1"/>
    <col min="5695" max="5695" width="9.875" style="248" customWidth="1"/>
    <col min="5696" max="5696" width="8.25" style="248" customWidth="1"/>
    <col min="5697" max="5699" width="8.875" style="248" customWidth="1"/>
    <col min="5700" max="5700" width="8.75" style="248" customWidth="1"/>
    <col min="5701" max="5701" width="8" style="248" customWidth="1"/>
    <col min="5702" max="5702" width="8.25" style="248" customWidth="1"/>
    <col min="5703" max="5703" width="7.375" style="248" customWidth="1"/>
    <col min="5704" max="5704" width="8.875" style="248" customWidth="1"/>
    <col min="5705" max="5705" width="7.375" style="248" customWidth="1"/>
    <col min="5706" max="5706" width="6.625" style="248" customWidth="1"/>
    <col min="5707" max="5707" width="9.5" style="248" customWidth="1"/>
    <col min="5708" max="5708" width="8" style="248" customWidth="1"/>
    <col min="5709" max="5709" width="8.375" style="248" customWidth="1"/>
    <col min="5710" max="5710" width="8.5" style="248" customWidth="1"/>
    <col min="5711" max="5711" width="8" style="248" customWidth="1"/>
    <col min="5712" max="5712" width="7.875" style="248" customWidth="1"/>
    <col min="5713" max="5713" width="8" style="248" customWidth="1"/>
    <col min="5714" max="5714" width="8.5" style="248" customWidth="1"/>
    <col min="5715" max="5717" width="8.125" style="248" customWidth="1"/>
    <col min="5718" max="5718" width="8" style="248" customWidth="1"/>
    <col min="5719" max="5722" width="8.75" style="248" customWidth="1"/>
    <col min="5723" max="5723" width="7.625" style="248" customWidth="1"/>
    <col min="5724" max="5725" width="8.75" style="248" customWidth="1"/>
    <col min="5726" max="5726" width="7.75" style="248" customWidth="1"/>
    <col min="5727" max="5729" width="8" style="248" customWidth="1"/>
    <col min="5730" max="5730" width="7.875" style="248" customWidth="1"/>
    <col min="5731" max="5732" width="8.75" style="248" customWidth="1"/>
    <col min="5733" max="5733" width="8.375" style="248" customWidth="1"/>
    <col min="5734" max="5734" width="8" style="248" customWidth="1"/>
    <col min="5735" max="5735" width="7.875" style="248" customWidth="1"/>
    <col min="5736" max="5738" width="8.25" style="248" customWidth="1"/>
    <col min="5739" max="5741" width="8.125" style="248" customWidth="1"/>
    <col min="5742" max="5742" width="7.875" style="248" customWidth="1"/>
    <col min="5743" max="5743" width="8.875" style="248" customWidth="1"/>
    <col min="5744" max="5744" width="8.375" style="248" customWidth="1"/>
    <col min="5745" max="5745" width="8.25" style="248" customWidth="1"/>
    <col min="5746" max="5746" width="8.875" style="248" customWidth="1"/>
    <col min="5747" max="5747" width="8.125" style="248" customWidth="1"/>
    <col min="5748" max="5748" width="8.25" style="248" customWidth="1"/>
    <col min="5749" max="5749" width="8.875" style="248" customWidth="1"/>
    <col min="5750" max="5750" width="8" style="248" customWidth="1"/>
    <col min="5751" max="5753" width="7.875" style="248" customWidth="1"/>
    <col min="5754" max="5754" width="7.75" style="248" customWidth="1"/>
    <col min="5755" max="5758" width="8.875" style="248" customWidth="1"/>
    <col min="5759" max="5759" width="8.75" style="248" customWidth="1"/>
    <col min="5760" max="5760" width="8.625" style="248" customWidth="1"/>
    <col min="5761" max="5762" width="8.25" style="248" customWidth="1"/>
    <col min="5763" max="5763" width="7.625" style="248" customWidth="1"/>
    <col min="5764" max="5764" width="8" style="248" customWidth="1"/>
    <col min="5765" max="5765" width="7.125" style="248" customWidth="1"/>
    <col min="5766" max="5766" width="7.625" style="248" customWidth="1"/>
    <col min="5767" max="5767" width="8.875" style="248" customWidth="1"/>
    <col min="5768" max="5768" width="8.125" style="248" customWidth="1"/>
    <col min="5769" max="5773" width="8.875" style="248" customWidth="1"/>
    <col min="5774" max="5774" width="8" style="248" customWidth="1"/>
    <col min="5775" max="5775" width="7.75" style="248" customWidth="1"/>
    <col min="5776" max="5776" width="7.875" style="248" customWidth="1"/>
    <col min="5777" max="5777" width="7.375" style="248" customWidth="1"/>
    <col min="5778" max="5778" width="7.875" style="248" customWidth="1"/>
    <col min="5779" max="5785" width="8.875" style="248" customWidth="1"/>
    <col min="5786" max="5786" width="7.5" style="248" customWidth="1"/>
    <col min="5787" max="5787" width="7.25" style="248" customWidth="1"/>
    <col min="5788" max="5788" width="8.375" style="248" customWidth="1"/>
    <col min="5789" max="5789" width="7.25" style="248" customWidth="1"/>
    <col min="5790" max="5790" width="7.625" style="248" customWidth="1"/>
    <col min="5791" max="5888" width="9" style="248"/>
    <col min="5889" max="5889" width="4.5" style="248" bestFit="1" customWidth="1"/>
    <col min="5890" max="5890" width="69.125" style="248" customWidth="1"/>
    <col min="5891" max="5891" width="9.25" style="248" customWidth="1"/>
    <col min="5892" max="5892" width="8.625" style="248" customWidth="1"/>
    <col min="5893" max="5893" width="9.375" style="248" customWidth="1"/>
    <col min="5894" max="5894" width="10.25" style="248" customWidth="1"/>
    <col min="5895" max="5895" width="10.625" style="248" customWidth="1"/>
    <col min="5896" max="5896" width="10" style="248" customWidth="1"/>
    <col min="5897" max="5898" width="8.5" style="248" customWidth="1"/>
    <col min="5899" max="5899" width="7.5" style="248" customWidth="1"/>
    <col min="5900" max="5900" width="7.125" style="248" customWidth="1"/>
    <col min="5901" max="5901" width="8.125" style="248" customWidth="1"/>
    <col min="5902" max="5903" width="7.5" style="248" customWidth="1"/>
    <col min="5904" max="5904" width="8.625" style="248" customWidth="1"/>
    <col min="5905" max="5907" width="7.5" style="248" customWidth="1"/>
    <col min="5908" max="5908" width="8.375" style="248" customWidth="1"/>
    <col min="5909" max="5909" width="7.5" style="248" customWidth="1"/>
    <col min="5910" max="5910" width="8.25" style="248" customWidth="1"/>
    <col min="5911" max="5913" width="7.5" style="248" customWidth="1"/>
    <col min="5914" max="5914" width="8.25" style="248" customWidth="1"/>
    <col min="5915" max="5915" width="8.125" style="248" customWidth="1"/>
    <col min="5916" max="5916" width="8.25" style="248" customWidth="1"/>
    <col min="5917" max="5917" width="8.75" style="248" customWidth="1"/>
    <col min="5918" max="5918" width="7.125" style="248" customWidth="1"/>
    <col min="5919" max="5919" width="9.5" style="248" customWidth="1"/>
    <col min="5920" max="5920" width="8.625" style="248" customWidth="1"/>
    <col min="5921" max="5921" width="8.875" style="248" customWidth="1"/>
    <col min="5922" max="5922" width="8.125" style="248" customWidth="1"/>
    <col min="5923" max="5925" width="7.625" style="248" customWidth="1"/>
    <col min="5926" max="5926" width="6.5" style="248" customWidth="1"/>
    <col min="5927" max="5935" width="8.5" style="248" customWidth="1"/>
    <col min="5936" max="5936" width="7.5" style="248" customWidth="1"/>
    <col min="5937" max="5937" width="7.25" style="248" customWidth="1"/>
    <col min="5938" max="5938" width="8.5" style="248" customWidth="1"/>
    <col min="5939" max="5939" width="9.375" style="248" customWidth="1"/>
    <col min="5940" max="5942" width="8.5" style="248" customWidth="1"/>
    <col min="5943" max="5943" width="9.25" style="248" customWidth="1"/>
    <col min="5944" max="5946" width="8.5" style="248" customWidth="1"/>
    <col min="5947" max="5947" width="7.875" style="248" customWidth="1"/>
    <col min="5948" max="5948" width="8.5" style="248" customWidth="1"/>
    <col min="5949" max="5949" width="7.375" style="248" customWidth="1"/>
    <col min="5950" max="5950" width="7.625" style="248" customWidth="1"/>
    <col min="5951" max="5951" width="9.875" style="248" customWidth="1"/>
    <col min="5952" max="5952" width="8.25" style="248" customWidth="1"/>
    <col min="5953" max="5955" width="8.875" style="248" customWidth="1"/>
    <col min="5956" max="5956" width="8.75" style="248" customWidth="1"/>
    <col min="5957" max="5957" width="8" style="248" customWidth="1"/>
    <col min="5958" max="5958" width="8.25" style="248" customWidth="1"/>
    <col min="5959" max="5959" width="7.375" style="248" customWidth="1"/>
    <col min="5960" max="5960" width="8.875" style="248" customWidth="1"/>
    <col min="5961" max="5961" width="7.375" style="248" customWidth="1"/>
    <col min="5962" max="5962" width="6.625" style="248" customWidth="1"/>
    <col min="5963" max="5963" width="9.5" style="248" customWidth="1"/>
    <col min="5964" max="5964" width="8" style="248" customWidth="1"/>
    <col min="5965" max="5965" width="8.375" style="248" customWidth="1"/>
    <col min="5966" max="5966" width="8.5" style="248" customWidth="1"/>
    <col min="5967" max="5967" width="8" style="248" customWidth="1"/>
    <col min="5968" max="5968" width="7.875" style="248" customWidth="1"/>
    <col min="5969" max="5969" width="8" style="248" customWidth="1"/>
    <col min="5970" max="5970" width="8.5" style="248" customWidth="1"/>
    <col min="5971" max="5973" width="8.125" style="248" customWidth="1"/>
    <col min="5974" max="5974" width="8" style="248" customWidth="1"/>
    <col min="5975" max="5978" width="8.75" style="248" customWidth="1"/>
    <col min="5979" max="5979" width="7.625" style="248" customWidth="1"/>
    <col min="5980" max="5981" width="8.75" style="248" customWidth="1"/>
    <col min="5982" max="5982" width="7.75" style="248" customWidth="1"/>
    <col min="5983" max="5985" width="8" style="248" customWidth="1"/>
    <col min="5986" max="5986" width="7.875" style="248" customWidth="1"/>
    <col min="5987" max="5988" width="8.75" style="248" customWidth="1"/>
    <col min="5989" max="5989" width="8.375" style="248" customWidth="1"/>
    <col min="5990" max="5990" width="8" style="248" customWidth="1"/>
    <col min="5991" max="5991" width="7.875" style="248" customWidth="1"/>
    <col min="5992" max="5994" width="8.25" style="248" customWidth="1"/>
    <col min="5995" max="5997" width="8.125" style="248" customWidth="1"/>
    <col min="5998" max="5998" width="7.875" style="248" customWidth="1"/>
    <col min="5999" max="5999" width="8.875" style="248" customWidth="1"/>
    <col min="6000" max="6000" width="8.375" style="248" customWidth="1"/>
    <col min="6001" max="6001" width="8.25" style="248" customWidth="1"/>
    <col min="6002" max="6002" width="8.875" style="248" customWidth="1"/>
    <col min="6003" max="6003" width="8.125" style="248" customWidth="1"/>
    <col min="6004" max="6004" width="8.25" style="248" customWidth="1"/>
    <col min="6005" max="6005" width="8.875" style="248" customWidth="1"/>
    <col min="6006" max="6006" width="8" style="248" customWidth="1"/>
    <col min="6007" max="6009" width="7.875" style="248" customWidth="1"/>
    <col min="6010" max="6010" width="7.75" style="248" customWidth="1"/>
    <col min="6011" max="6014" width="8.875" style="248" customWidth="1"/>
    <col min="6015" max="6015" width="8.75" style="248" customWidth="1"/>
    <col min="6016" max="6016" width="8.625" style="248" customWidth="1"/>
    <col min="6017" max="6018" width="8.25" style="248" customWidth="1"/>
    <col min="6019" max="6019" width="7.625" style="248" customWidth="1"/>
    <col min="6020" max="6020" width="8" style="248" customWidth="1"/>
    <col min="6021" max="6021" width="7.125" style="248" customWidth="1"/>
    <col min="6022" max="6022" width="7.625" style="248" customWidth="1"/>
    <col min="6023" max="6023" width="8.875" style="248" customWidth="1"/>
    <col min="6024" max="6024" width="8.125" style="248" customWidth="1"/>
    <col min="6025" max="6029" width="8.875" style="248" customWidth="1"/>
    <col min="6030" max="6030" width="8" style="248" customWidth="1"/>
    <col min="6031" max="6031" width="7.75" style="248" customWidth="1"/>
    <col min="6032" max="6032" width="7.875" style="248" customWidth="1"/>
    <col min="6033" max="6033" width="7.375" style="248" customWidth="1"/>
    <col min="6034" max="6034" width="7.875" style="248" customWidth="1"/>
    <col min="6035" max="6041" width="8.875" style="248" customWidth="1"/>
    <col min="6042" max="6042" width="7.5" style="248" customWidth="1"/>
    <col min="6043" max="6043" width="7.25" style="248" customWidth="1"/>
    <col min="6044" max="6044" width="8.375" style="248" customWidth="1"/>
    <col min="6045" max="6045" width="7.25" style="248" customWidth="1"/>
    <col min="6046" max="6046" width="7.625" style="248" customWidth="1"/>
    <col min="6047" max="6144" width="9" style="248"/>
    <col min="6145" max="6145" width="4.5" style="248" bestFit="1" customWidth="1"/>
    <col min="6146" max="6146" width="69.125" style="248" customWidth="1"/>
    <col min="6147" max="6147" width="9.25" style="248" customWidth="1"/>
    <col min="6148" max="6148" width="8.625" style="248" customWidth="1"/>
    <col min="6149" max="6149" width="9.375" style="248" customWidth="1"/>
    <col min="6150" max="6150" width="10.25" style="248" customWidth="1"/>
    <col min="6151" max="6151" width="10.625" style="248" customWidth="1"/>
    <col min="6152" max="6152" width="10" style="248" customWidth="1"/>
    <col min="6153" max="6154" width="8.5" style="248" customWidth="1"/>
    <col min="6155" max="6155" width="7.5" style="248" customWidth="1"/>
    <col min="6156" max="6156" width="7.125" style="248" customWidth="1"/>
    <col min="6157" max="6157" width="8.125" style="248" customWidth="1"/>
    <col min="6158" max="6159" width="7.5" style="248" customWidth="1"/>
    <col min="6160" max="6160" width="8.625" style="248" customWidth="1"/>
    <col min="6161" max="6163" width="7.5" style="248" customWidth="1"/>
    <col min="6164" max="6164" width="8.375" style="248" customWidth="1"/>
    <col min="6165" max="6165" width="7.5" style="248" customWidth="1"/>
    <col min="6166" max="6166" width="8.25" style="248" customWidth="1"/>
    <col min="6167" max="6169" width="7.5" style="248" customWidth="1"/>
    <col min="6170" max="6170" width="8.25" style="248" customWidth="1"/>
    <col min="6171" max="6171" width="8.125" style="248" customWidth="1"/>
    <col min="6172" max="6172" width="8.25" style="248" customWidth="1"/>
    <col min="6173" max="6173" width="8.75" style="248" customWidth="1"/>
    <col min="6174" max="6174" width="7.125" style="248" customWidth="1"/>
    <col min="6175" max="6175" width="9.5" style="248" customWidth="1"/>
    <col min="6176" max="6176" width="8.625" style="248" customWidth="1"/>
    <col min="6177" max="6177" width="8.875" style="248" customWidth="1"/>
    <col min="6178" max="6178" width="8.125" style="248" customWidth="1"/>
    <col min="6179" max="6181" width="7.625" style="248" customWidth="1"/>
    <col min="6182" max="6182" width="6.5" style="248" customWidth="1"/>
    <col min="6183" max="6191" width="8.5" style="248" customWidth="1"/>
    <col min="6192" max="6192" width="7.5" style="248" customWidth="1"/>
    <col min="6193" max="6193" width="7.25" style="248" customWidth="1"/>
    <col min="6194" max="6194" width="8.5" style="248" customWidth="1"/>
    <col min="6195" max="6195" width="9.375" style="248" customWidth="1"/>
    <col min="6196" max="6198" width="8.5" style="248" customWidth="1"/>
    <col min="6199" max="6199" width="9.25" style="248" customWidth="1"/>
    <col min="6200" max="6202" width="8.5" style="248" customWidth="1"/>
    <col min="6203" max="6203" width="7.875" style="248" customWidth="1"/>
    <col min="6204" max="6204" width="8.5" style="248" customWidth="1"/>
    <col min="6205" max="6205" width="7.375" style="248" customWidth="1"/>
    <col min="6206" max="6206" width="7.625" style="248" customWidth="1"/>
    <col min="6207" max="6207" width="9.875" style="248" customWidth="1"/>
    <col min="6208" max="6208" width="8.25" style="248" customWidth="1"/>
    <col min="6209" max="6211" width="8.875" style="248" customWidth="1"/>
    <col min="6212" max="6212" width="8.75" style="248" customWidth="1"/>
    <col min="6213" max="6213" width="8" style="248" customWidth="1"/>
    <col min="6214" max="6214" width="8.25" style="248" customWidth="1"/>
    <col min="6215" max="6215" width="7.375" style="248" customWidth="1"/>
    <col min="6216" max="6216" width="8.875" style="248" customWidth="1"/>
    <col min="6217" max="6217" width="7.375" style="248" customWidth="1"/>
    <col min="6218" max="6218" width="6.625" style="248" customWidth="1"/>
    <col min="6219" max="6219" width="9.5" style="248" customWidth="1"/>
    <col min="6220" max="6220" width="8" style="248" customWidth="1"/>
    <col min="6221" max="6221" width="8.375" style="248" customWidth="1"/>
    <col min="6222" max="6222" width="8.5" style="248" customWidth="1"/>
    <col min="6223" max="6223" width="8" style="248" customWidth="1"/>
    <col min="6224" max="6224" width="7.875" style="248" customWidth="1"/>
    <col min="6225" max="6225" width="8" style="248" customWidth="1"/>
    <col min="6226" max="6226" width="8.5" style="248" customWidth="1"/>
    <col min="6227" max="6229" width="8.125" style="248" customWidth="1"/>
    <col min="6230" max="6230" width="8" style="248" customWidth="1"/>
    <col min="6231" max="6234" width="8.75" style="248" customWidth="1"/>
    <col min="6235" max="6235" width="7.625" style="248" customWidth="1"/>
    <col min="6236" max="6237" width="8.75" style="248" customWidth="1"/>
    <col min="6238" max="6238" width="7.75" style="248" customWidth="1"/>
    <col min="6239" max="6241" width="8" style="248" customWidth="1"/>
    <col min="6242" max="6242" width="7.875" style="248" customWidth="1"/>
    <col min="6243" max="6244" width="8.75" style="248" customWidth="1"/>
    <col min="6245" max="6245" width="8.375" style="248" customWidth="1"/>
    <col min="6246" max="6246" width="8" style="248" customWidth="1"/>
    <col min="6247" max="6247" width="7.875" style="248" customWidth="1"/>
    <col min="6248" max="6250" width="8.25" style="248" customWidth="1"/>
    <col min="6251" max="6253" width="8.125" style="248" customWidth="1"/>
    <col min="6254" max="6254" width="7.875" style="248" customWidth="1"/>
    <col min="6255" max="6255" width="8.875" style="248" customWidth="1"/>
    <col min="6256" max="6256" width="8.375" style="248" customWidth="1"/>
    <col min="6257" max="6257" width="8.25" style="248" customWidth="1"/>
    <col min="6258" max="6258" width="8.875" style="248" customWidth="1"/>
    <col min="6259" max="6259" width="8.125" style="248" customWidth="1"/>
    <col min="6260" max="6260" width="8.25" style="248" customWidth="1"/>
    <col min="6261" max="6261" width="8.875" style="248" customWidth="1"/>
    <col min="6262" max="6262" width="8" style="248" customWidth="1"/>
    <col min="6263" max="6265" width="7.875" style="248" customWidth="1"/>
    <col min="6266" max="6266" width="7.75" style="248" customWidth="1"/>
    <col min="6267" max="6270" width="8.875" style="248" customWidth="1"/>
    <col min="6271" max="6271" width="8.75" style="248" customWidth="1"/>
    <col min="6272" max="6272" width="8.625" style="248" customWidth="1"/>
    <col min="6273" max="6274" width="8.25" style="248" customWidth="1"/>
    <col min="6275" max="6275" width="7.625" style="248" customWidth="1"/>
    <col min="6276" max="6276" width="8" style="248" customWidth="1"/>
    <col min="6277" max="6277" width="7.125" style="248" customWidth="1"/>
    <col min="6278" max="6278" width="7.625" style="248" customWidth="1"/>
    <col min="6279" max="6279" width="8.875" style="248" customWidth="1"/>
    <col min="6280" max="6280" width="8.125" style="248" customWidth="1"/>
    <col min="6281" max="6285" width="8.875" style="248" customWidth="1"/>
    <col min="6286" max="6286" width="8" style="248" customWidth="1"/>
    <col min="6287" max="6287" width="7.75" style="248" customWidth="1"/>
    <col min="6288" max="6288" width="7.875" style="248" customWidth="1"/>
    <col min="6289" max="6289" width="7.375" style="248" customWidth="1"/>
    <col min="6290" max="6290" width="7.875" style="248" customWidth="1"/>
    <col min="6291" max="6297" width="8.875" style="248" customWidth="1"/>
    <col min="6298" max="6298" width="7.5" style="248" customWidth="1"/>
    <col min="6299" max="6299" width="7.25" style="248" customWidth="1"/>
    <col min="6300" max="6300" width="8.375" style="248" customWidth="1"/>
    <col min="6301" max="6301" width="7.25" style="248" customWidth="1"/>
    <col min="6302" max="6302" width="7.625" style="248" customWidth="1"/>
    <col min="6303" max="6400" width="9" style="248"/>
    <col min="6401" max="6401" width="4.5" style="248" bestFit="1" customWidth="1"/>
    <col min="6402" max="6402" width="69.125" style="248" customWidth="1"/>
    <col min="6403" max="6403" width="9.25" style="248" customWidth="1"/>
    <col min="6404" max="6404" width="8.625" style="248" customWidth="1"/>
    <col min="6405" max="6405" width="9.375" style="248" customWidth="1"/>
    <col min="6406" max="6406" width="10.25" style="248" customWidth="1"/>
    <col min="6407" max="6407" width="10.625" style="248" customWidth="1"/>
    <col min="6408" max="6408" width="10" style="248" customWidth="1"/>
    <col min="6409" max="6410" width="8.5" style="248" customWidth="1"/>
    <col min="6411" max="6411" width="7.5" style="248" customWidth="1"/>
    <col min="6412" max="6412" width="7.125" style="248" customWidth="1"/>
    <col min="6413" max="6413" width="8.125" style="248" customWidth="1"/>
    <col min="6414" max="6415" width="7.5" style="248" customWidth="1"/>
    <col min="6416" max="6416" width="8.625" style="248" customWidth="1"/>
    <col min="6417" max="6419" width="7.5" style="248" customWidth="1"/>
    <col min="6420" max="6420" width="8.375" style="248" customWidth="1"/>
    <col min="6421" max="6421" width="7.5" style="248" customWidth="1"/>
    <col min="6422" max="6422" width="8.25" style="248" customWidth="1"/>
    <col min="6423" max="6425" width="7.5" style="248" customWidth="1"/>
    <col min="6426" max="6426" width="8.25" style="248" customWidth="1"/>
    <col min="6427" max="6427" width="8.125" style="248" customWidth="1"/>
    <col min="6428" max="6428" width="8.25" style="248" customWidth="1"/>
    <col min="6429" max="6429" width="8.75" style="248" customWidth="1"/>
    <col min="6430" max="6430" width="7.125" style="248" customWidth="1"/>
    <col min="6431" max="6431" width="9.5" style="248" customWidth="1"/>
    <col min="6432" max="6432" width="8.625" style="248" customWidth="1"/>
    <col min="6433" max="6433" width="8.875" style="248" customWidth="1"/>
    <col min="6434" max="6434" width="8.125" style="248" customWidth="1"/>
    <col min="6435" max="6437" width="7.625" style="248" customWidth="1"/>
    <col min="6438" max="6438" width="6.5" style="248" customWidth="1"/>
    <col min="6439" max="6447" width="8.5" style="248" customWidth="1"/>
    <col min="6448" max="6448" width="7.5" style="248" customWidth="1"/>
    <col min="6449" max="6449" width="7.25" style="248" customWidth="1"/>
    <col min="6450" max="6450" width="8.5" style="248" customWidth="1"/>
    <col min="6451" max="6451" width="9.375" style="248" customWidth="1"/>
    <col min="6452" max="6454" width="8.5" style="248" customWidth="1"/>
    <col min="6455" max="6455" width="9.25" style="248" customWidth="1"/>
    <col min="6456" max="6458" width="8.5" style="248" customWidth="1"/>
    <col min="6459" max="6459" width="7.875" style="248" customWidth="1"/>
    <col min="6460" max="6460" width="8.5" style="248" customWidth="1"/>
    <col min="6461" max="6461" width="7.375" style="248" customWidth="1"/>
    <col min="6462" max="6462" width="7.625" style="248" customWidth="1"/>
    <col min="6463" max="6463" width="9.875" style="248" customWidth="1"/>
    <col min="6464" max="6464" width="8.25" style="248" customWidth="1"/>
    <col min="6465" max="6467" width="8.875" style="248" customWidth="1"/>
    <col min="6468" max="6468" width="8.75" style="248" customWidth="1"/>
    <col min="6469" max="6469" width="8" style="248" customWidth="1"/>
    <col min="6470" max="6470" width="8.25" style="248" customWidth="1"/>
    <col min="6471" max="6471" width="7.375" style="248" customWidth="1"/>
    <col min="6472" max="6472" width="8.875" style="248" customWidth="1"/>
    <col min="6473" max="6473" width="7.375" style="248" customWidth="1"/>
    <col min="6474" max="6474" width="6.625" style="248" customWidth="1"/>
    <col min="6475" max="6475" width="9.5" style="248" customWidth="1"/>
    <col min="6476" max="6476" width="8" style="248" customWidth="1"/>
    <col min="6477" max="6477" width="8.375" style="248" customWidth="1"/>
    <col min="6478" max="6478" width="8.5" style="248" customWidth="1"/>
    <col min="6479" max="6479" width="8" style="248" customWidth="1"/>
    <col min="6480" max="6480" width="7.875" style="248" customWidth="1"/>
    <col min="6481" max="6481" width="8" style="248" customWidth="1"/>
    <col min="6482" max="6482" width="8.5" style="248" customWidth="1"/>
    <col min="6483" max="6485" width="8.125" style="248" customWidth="1"/>
    <col min="6486" max="6486" width="8" style="248" customWidth="1"/>
    <col min="6487" max="6490" width="8.75" style="248" customWidth="1"/>
    <col min="6491" max="6491" width="7.625" style="248" customWidth="1"/>
    <col min="6492" max="6493" width="8.75" style="248" customWidth="1"/>
    <col min="6494" max="6494" width="7.75" style="248" customWidth="1"/>
    <col min="6495" max="6497" width="8" style="248" customWidth="1"/>
    <col min="6498" max="6498" width="7.875" style="248" customWidth="1"/>
    <col min="6499" max="6500" width="8.75" style="248" customWidth="1"/>
    <col min="6501" max="6501" width="8.375" style="248" customWidth="1"/>
    <col min="6502" max="6502" width="8" style="248" customWidth="1"/>
    <col min="6503" max="6503" width="7.875" style="248" customWidth="1"/>
    <col min="6504" max="6506" width="8.25" style="248" customWidth="1"/>
    <col min="6507" max="6509" width="8.125" style="248" customWidth="1"/>
    <col min="6510" max="6510" width="7.875" style="248" customWidth="1"/>
    <col min="6511" max="6511" width="8.875" style="248" customWidth="1"/>
    <col min="6512" max="6512" width="8.375" style="248" customWidth="1"/>
    <col min="6513" max="6513" width="8.25" style="248" customWidth="1"/>
    <col min="6514" max="6514" width="8.875" style="248" customWidth="1"/>
    <col min="6515" max="6515" width="8.125" style="248" customWidth="1"/>
    <col min="6516" max="6516" width="8.25" style="248" customWidth="1"/>
    <col min="6517" max="6517" width="8.875" style="248" customWidth="1"/>
    <col min="6518" max="6518" width="8" style="248" customWidth="1"/>
    <col min="6519" max="6521" width="7.875" style="248" customWidth="1"/>
    <col min="6522" max="6522" width="7.75" style="248" customWidth="1"/>
    <col min="6523" max="6526" width="8.875" style="248" customWidth="1"/>
    <col min="6527" max="6527" width="8.75" style="248" customWidth="1"/>
    <col min="6528" max="6528" width="8.625" style="248" customWidth="1"/>
    <col min="6529" max="6530" width="8.25" style="248" customWidth="1"/>
    <col min="6531" max="6531" width="7.625" style="248" customWidth="1"/>
    <col min="6532" max="6532" width="8" style="248" customWidth="1"/>
    <col min="6533" max="6533" width="7.125" style="248" customWidth="1"/>
    <col min="6534" max="6534" width="7.625" style="248" customWidth="1"/>
    <col min="6535" max="6535" width="8.875" style="248" customWidth="1"/>
    <col min="6536" max="6536" width="8.125" style="248" customWidth="1"/>
    <col min="6537" max="6541" width="8.875" style="248" customWidth="1"/>
    <col min="6542" max="6542" width="8" style="248" customWidth="1"/>
    <col min="6543" max="6543" width="7.75" style="248" customWidth="1"/>
    <col min="6544" max="6544" width="7.875" style="248" customWidth="1"/>
    <col min="6545" max="6545" width="7.375" style="248" customWidth="1"/>
    <col min="6546" max="6546" width="7.875" style="248" customWidth="1"/>
    <col min="6547" max="6553" width="8.875" style="248" customWidth="1"/>
    <col min="6554" max="6554" width="7.5" style="248" customWidth="1"/>
    <col min="6555" max="6555" width="7.25" style="248" customWidth="1"/>
    <col min="6556" max="6556" width="8.375" style="248" customWidth="1"/>
    <col min="6557" max="6557" width="7.25" style="248" customWidth="1"/>
    <col min="6558" max="6558" width="7.625" style="248" customWidth="1"/>
    <col min="6559" max="6656" width="9" style="248"/>
    <col min="6657" max="6657" width="4.5" style="248" bestFit="1" customWidth="1"/>
    <col min="6658" max="6658" width="69.125" style="248" customWidth="1"/>
    <col min="6659" max="6659" width="9.25" style="248" customWidth="1"/>
    <col min="6660" max="6660" width="8.625" style="248" customWidth="1"/>
    <col min="6661" max="6661" width="9.375" style="248" customWidth="1"/>
    <col min="6662" max="6662" width="10.25" style="248" customWidth="1"/>
    <col min="6663" max="6663" width="10.625" style="248" customWidth="1"/>
    <col min="6664" max="6664" width="10" style="248" customWidth="1"/>
    <col min="6665" max="6666" width="8.5" style="248" customWidth="1"/>
    <col min="6667" max="6667" width="7.5" style="248" customWidth="1"/>
    <col min="6668" max="6668" width="7.125" style="248" customWidth="1"/>
    <col min="6669" max="6669" width="8.125" style="248" customWidth="1"/>
    <col min="6670" max="6671" width="7.5" style="248" customWidth="1"/>
    <col min="6672" max="6672" width="8.625" style="248" customWidth="1"/>
    <col min="6673" max="6675" width="7.5" style="248" customWidth="1"/>
    <col min="6676" max="6676" width="8.375" style="248" customWidth="1"/>
    <col min="6677" max="6677" width="7.5" style="248" customWidth="1"/>
    <col min="6678" max="6678" width="8.25" style="248" customWidth="1"/>
    <col min="6679" max="6681" width="7.5" style="248" customWidth="1"/>
    <col min="6682" max="6682" width="8.25" style="248" customWidth="1"/>
    <col min="6683" max="6683" width="8.125" style="248" customWidth="1"/>
    <col min="6684" max="6684" width="8.25" style="248" customWidth="1"/>
    <col min="6685" max="6685" width="8.75" style="248" customWidth="1"/>
    <col min="6686" max="6686" width="7.125" style="248" customWidth="1"/>
    <col min="6687" max="6687" width="9.5" style="248" customWidth="1"/>
    <col min="6688" max="6688" width="8.625" style="248" customWidth="1"/>
    <col min="6689" max="6689" width="8.875" style="248" customWidth="1"/>
    <col min="6690" max="6690" width="8.125" style="248" customWidth="1"/>
    <col min="6691" max="6693" width="7.625" style="248" customWidth="1"/>
    <col min="6694" max="6694" width="6.5" style="248" customWidth="1"/>
    <col min="6695" max="6703" width="8.5" style="248" customWidth="1"/>
    <col min="6704" max="6704" width="7.5" style="248" customWidth="1"/>
    <col min="6705" max="6705" width="7.25" style="248" customWidth="1"/>
    <col min="6706" max="6706" width="8.5" style="248" customWidth="1"/>
    <col min="6707" max="6707" width="9.375" style="248" customWidth="1"/>
    <col min="6708" max="6710" width="8.5" style="248" customWidth="1"/>
    <col min="6711" max="6711" width="9.25" style="248" customWidth="1"/>
    <col min="6712" max="6714" width="8.5" style="248" customWidth="1"/>
    <col min="6715" max="6715" width="7.875" style="248" customWidth="1"/>
    <col min="6716" max="6716" width="8.5" style="248" customWidth="1"/>
    <col min="6717" max="6717" width="7.375" style="248" customWidth="1"/>
    <col min="6718" max="6718" width="7.625" style="248" customWidth="1"/>
    <col min="6719" max="6719" width="9.875" style="248" customWidth="1"/>
    <col min="6720" max="6720" width="8.25" style="248" customWidth="1"/>
    <col min="6721" max="6723" width="8.875" style="248" customWidth="1"/>
    <col min="6724" max="6724" width="8.75" style="248" customWidth="1"/>
    <col min="6725" max="6725" width="8" style="248" customWidth="1"/>
    <col min="6726" max="6726" width="8.25" style="248" customWidth="1"/>
    <col min="6727" max="6727" width="7.375" style="248" customWidth="1"/>
    <col min="6728" max="6728" width="8.875" style="248" customWidth="1"/>
    <col min="6729" max="6729" width="7.375" style="248" customWidth="1"/>
    <col min="6730" max="6730" width="6.625" style="248" customWidth="1"/>
    <col min="6731" max="6731" width="9.5" style="248" customWidth="1"/>
    <col min="6732" max="6732" width="8" style="248" customWidth="1"/>
    <col min="6733" max="6733" width="8.375" style="248" customWidth="1"/>
    <col min="6734" max="6734" width="8.5" style="248" customWidth="1"/>
    <col min="6735" max="6735" width="8" style="248" customWidth="1"/>
    <col min="6736" max="6736" width="7.875" style="248" customWidth="1"/>
    <col min="6737" max="6737" width="8" style="248" customWidth="1"/>
    <col min="6738" max="6738" width="8.5" style="248" customWidth="1"/>
    <col min="6739" max="6741" width="8.125" style="248" customWidth="1"/>
    <col min="6742" max="6742" width="8" style="248" customWidth="1"/>
    <col min="6743" max="6746" width="8.75" style="248" customWidth="1"/>
    <col min="6747" max="6747" width="7.625" style="248" customWidth="1"/>
    <col min="6748" max="6749" width="8.75" style="248" customWidth="1"/>
    <col min="6750" max="6750" width="7.75" style="248" customWidth="1"/>
    <col min="6751" max="6753" width="8" style="248" customWidth="1"/>
    <col min="6754" max="6754" width="7.875" style="248" customWidth="1"/>
    <col min="6755" max="6756" width="8.75" style="248" customWidth="1"/>
    <col min="6757" max="6757" width="8.375" style="248" customWidth="1"/>
    <col min="6758" max="6758" width="8" style="248" customWidth="1"/>
    <col min="6759" max="6759" width="7.875" style="248" customWidth="1"/>
    <col min="6760" max="6762" width="8.25" style="248" customWidth="1"/>
    <col min="6763" max="6765" width="8.125" style="248" customWidth="1"/>
    <col min="6766" max="6766" width="7.875" style="248" customWidth="1"/>
    <col min="6767" max="6767" width="8.875" style="248" customWidth="1"/>
    <col min="6768" max="6768" width="8.375" style="248" customWidth="1"/>
    <col min="6769" max="6769" width="8.25" style="248" customWidth="1"/>
    <col min="6770" max="6770" width="8.875" style="248" customWidth="1"/>
    <col min="6771" max="6771" width="8.125" style="248" customWidth="1"/>
    <col min="6772" max="6772" width="8.25" style="248" customWidth="1"/>
    <col min="6773" max="6773" width="8.875" style="248" customWidth="1"/>
    <col min="6774" max="6774" width="8" style="248" customWidth="1"/>
    <col min="6775" max="6777" width="7.875" style="248" customWidth="1"/>
    <col min="6778" max="6778" width="7.75" style="248" customWidth="1"/>
    <col min="6779" max="6782" width="8.875" style="248" customWidth="1"/>
    <col min="6783" max="6783" width="8.75" style="248" customWidth="1"/>
    <col min="6784" max="6784" width="8.625" style="248" customWidth="1"/>
    <col min="6785" max="6786" width="8.25" style="248" customWidth="1"/>
    <col min="6787" max="6787" width="7.625" style="248" customWidth="1"/>
    <col min="6788" max="6788" width="8" style="248" customWidth="1"/>
    <col min="6789" max="6789" width="7.125" style="248" customWidth="1"/>
    <col min="6790" max="6790" width="7.625" style="248" customWidth="1"/>
    <col min="6791" max="6791" width="8.875" style="248" customWidth="1"/>
    <col min="6792" max="6792" width="8.125" style="248" customWidth="1"/>
    <col min="6793" max="6797" width="8.875" style="248" customWidth="1"/>
    <col min="6798" max="6798" width="8" style="248" customWidth="1"/>
    <col min="6799" max="6799" width="7.75" style="248" customWidth="1"/>
    <col min="6800" max="6800" width="7.875" style="248" customWidth="1"/>
    <col min="6801" max="6801" width="7.375" style="248" customWidth="1"/>
    <col min="6802" max="6802" width="7.875" style="248" customWidth="1"/>
    <col min="6803" max="6809" width="8.875" style="248" customWidth="1"/>
    <col min="6810" max="6810" width="7.5" style="248" customWidth="1"/>
    <col min="6811" max="6811" width="7.25" style="248" customWidth="1"/>
    <col min="6812" max="6812" width="8.375" style="248" customWidth="1"/>
    <col min="6813" max="6813" width="7.25" style="248" customWidth="1"/>
    <col min="6814" max="6814" width="7.625" style="248" customWidth="1"/>
    <col min="6815" max="6912" width="9" style="248"/>
    <col min="6913" max="6913" width="4.5" style="248" bestFit="1" customWidth="1"/>
    <col min="6914" max="6914" width="69.125" style="248" customWidth="1"/>
    <col min="6915" max="6915" width="9.25" style="248" customWidth="1"/>
    <col min="6916" max="6916" width="8.625" style="248" customWidth="1"/>
    <col min="6917" max="6917" width="9.375" style="248" customWidth="1"/>
    <col min="6918" max="6918" width="10.25" style="248" customWidth="1"/>
    <col min="6919" max="6919" width="10.625" style="248" customWidth="1"/>
    <col min="6920" max="6920" width="10" style="248" customWidth="1"/>
    <col min="6921" max="6922" width="8.5" style="248" customWidth="1"/>
    <col min="6923" max="6923" width="7.5" style="248" customWidth="1"/>
    <col min="6924" max="6924" width="7.125" style="248" customWidth="1"/>
    <col min="6925" max="6925" width="8.125" style="248" customWidth="1"/>
    <col min="6926" max="6927" width="7.5" style="248" customWidth="1"/>
    <col min="6928" max="6928" width="8.625" style="248" customWidth="1"/>
    <col min="6929" max="6931" width="7.5" style="248" customWidth="1"/>
    <col min="6932" max="6932" width="8.375" style="248" customWidth="1"/>
    <col min="6933" max="6933" width="7.5" style="248" customWidth="1"/>
    <col min="6934" max="6934" width="8.25" style="248" customWidth="1"/>
    <col min="6935" max="6937" width="7.5" style="248" customWidth="1"/>
    <col min="6938" max="6938" width="8.25" style="248" customWidth="1"/>
    <col min="6939" max="6939" width="8.125" style="248" customWidth="1"/>
    <col min="6940" max="6940" width="8.25" style="248" customWidth="1"/>
    <col min="6941" max="6941" width="8.75" style="248" customWidth="1"/>
    <col min="6942" max="6942" width="7.125" style="248" customWidth="1"/>
    <col min="6943" max="6943" width="9.5" style="248" customWidth="1"/>
    <col min="6944" max="6944" width="8.625" style="248" customWidth="1"/>
    <col min="6945" max="6945" width="8.875" style="248" customWidth="1"/>
    <col min="6946" max="6946" width="8.125" style="248" customWidth="1"/>
    <col min="6947" max="6949" width="7.625" style="248" customWidth="1"/>
    <col min="6950" max="6950" width="6.5" style="248" customWidth="1"/>
    <col min="6951" max="6959" width="8.5" style="248" customWidth="1"/>
    <col min="6960" max="6960" width="7.5" style="248" customWidth="1"/>
    <col min="6961" max="6961" width="7.25" style="248" customWidth="1"/>
    <col min="6962" max="6962" width="8.5" style="248" customWidth="1"/>
    <col min="6963" max="6963" width="9.375" style="248" customWidth="1"/>
    <col min="6964" max="6966" width="8.5" style="248" customWidth="1"/>
    <col min="6967" max="6967" width="9.25" style="248" customWidth="1"/>
    <col min="6968" max="6970" width="8.5" style="248" customWidth="1"/>
    <col min="6971" max="6971" width="7.875" style="248" customWidth="1"/>
    <col min="6972" max="6972" width="8.5" style="248" customWidth="1"/>
    <col min="6973" max="6973" width="7.375" style="248" customWidth="1"/>
    <col min="6974" max="6974" width="7.625" style="248" customWidth="1"/>
    <col min="6975" max="6975" width="9.875" style="248" customWidth="1"/>
    <col min="6976" max="6976" width="8.25" style="248" customWidth="1"/>
    <col min="6977" max="6979" width="8.875" style="248" customWidth="1"/>
    <col min="6980" max="6980" width="8.75" style="248" customWidth="1"/>
    <col min="6981" max="6981" width="8" style="248" customWidth="1"/>
    <col min="6982" max="6982" width="8.25" style="248" customWidth="1"/>
    <col min="6983" max="6983" width="7.375" style="248" customWidth="1"/>
    <col min="6984" max="6984" width="8.875" style="248" customWidth="1"/>
    <col min="6985" max="6985" width="7.375" style="248" customWidth="1"/>
    <col min="6986" max="6986" width="6.625" style="248" customWidth="1"/>
    <col min="6987" max="6987" width="9.5" style="248" customWidth="1"/>
    <col min="6988" max="6988" width="8" style="248" customWidth="1"/>
    <col min="6989" max="6989" width="8.375" style="248" customWidth="1"/>
    <col min="6990" max="6990" width="8.5" style="248" customWidth="1"/>
    <col min="6991" max="6991" width="8" style="248" customWidth="1"/>
    <col min="6992" max="6992" width="7.875" style="248" customWidth="1"/>
    <col min="6993" max="6993" width="8" style="248" customWidth="1"/>
    <col min="6994" max="6994" width="8.5" style="248" customWidth="1"/>
    <col min="6995" max="6997" width="8.125" style="248" customWidth="1"/>
    <col min="6998" max="6998" width="8" style="248" customWidth="1"/>
    <col min="6999" max="7002" width="8.75" style="248" customWidth="1"/>
    <col min="7003" max="7003" width="7.625" style="248" customWidth="1"/>
    <col min="7004" max="7005" width="8.75" style="248" customWidth="1"/>
    <col min="7006" max="7006" width="7.75" style="248" customWidth="1"/>
    <col min="7007" max="7009" width="8" style="248" customWidth="1"/>
    <col min="7010" max="7010" width="7.875" style="248" customWidth="1"/>
    <col min="7011" max="7012" width="8.75" style="248" customWidth="1"/>
    <col min="7013" max="7013" width="8.375" style="248" customWidth="1"/>
    <col min="7014" max="7014" width="8" style="248" customWidth="1"/>
    <col min="7015" max="7015" width="7.875" style="248" customWidth="1"/>
    <col min="7016" max="7018" width="8.25" style="248" customWidth="1"/>
    <col min="7019" max="7021" width="8.125" style="248" customWidth="1"/>
    <col min="7022" max="7022" width="7.875" style="248" customWidth="1"/>
    <col min="7023" max="7023" width="8.875" style="248" customWidth="1"/>
    <col min="7024" max="7024" width="8.375" style="248" customWidth="1"/>
    <col min="7025" max="7025" width="8.25" style="248" customWidth="1"/>
    <col min="7026" max="7026" width="8.875" style="248" customWidth="1"/>
    <col min="7027" max="7027" width="8.125" style="248" customWidth="1"/>
    <col min="7028" max="7028" width="8.25" style="248" customWidth="1"/>
    <col min="7029" max="7029" width="8.875" style="248" customWidth="1"/>
    <col min="7030" max="7030" width="8" style="248" customWidth="1"/>
    <col min="7031" max="7033" width="7.875" style="248" customWidth="1"/>
    <col min="7034" max="7034" width="7.75" style="248" customWidth="1"/>
    <col min="7035" max="7038" width="8.875" style="248" customWidth="1"/>
    <col min="7039" max="7039" width="8.75" style="248" customWidth="1"/>
    <col min="7040" max="7040" width="8.625" style="248" customWidth="1"/>
    <col min="7041" max="7042" width="8.25" style="248" customWidth="1"/>
    <col min="7043" max="7043" width="7.625" style="248" customWidth="1"/>
    <col min="7044" max="7044" width="8" style="248" customWidth="1"/>
    <col min="7045" max="7045" width="7.125" style="248" customWidth="1"/>
    <col min="7046" max="7046" width="7.625" style="248" customWidth="1"/>
    <col min="7047" max="7047" width="8.875" style="248" customWidth="1"/>
    <col min="7048" max="7048" width="8.125" style="248" customWidth="1"/>
    <col min="7049" max="7053" width="8.875" style="248" customWidth="1"/>
    <col min="7054" max="7054" width="8" style="248" customWidth="1"/>
    <col min="7055" max="7055" width="7.75" style="248" customWidth="1"/>
    <col min="7056" max="7056" width="7.875" style="248" customWidth="1"/>
    <col min="7057" max="7057" width="7.375" style="248" customWidth="1"/>
    <col min="7058" max="7058" width="7.875" style="248" customWidth="1"/>
    <col min="7059" max="7065" width="8.875" style="248" customWidth="1"/>
    <col min="7066" max="7066" width="7.5" style="248" customWidth="1"/>
    <col min="7067" max="7067" width="7.25" style="248" customWidth="1"/>
    <col min="7068" max="7068" width="8.375" style="248" customWidth="1"/>
    <col min="7069" max="7069" width="7.25" style="248" customWidth="1"/>
    <col min="7070" max="7070" width="7.625" style="248" customWidth="1"/>
    <col min="7071" max="7168" width="9" style="248"/>
    <col min="7169" max="7169" width="4.5" style="248" bestFit="1" customWidth="1"/>
    <col min="7170" max="7170" width="69.125" style="248" customWidth="1"/>
    <col min="7171" max="7171" width="9.25" style="248" customWidth="1"/>
    <col min="7172" max="7172" width="8.625" style="248" customWidth="1"/>
    <col min="7173" max="7173" width="9.375" style="248" customWidth="1"/>
    <col min="7174" max="7174" width="10.25" style="248" customWidth="1"/>
    <col min="7175" max="7175" width="10.625" style="248" customWidth="1"/>
    <col min="7176" max="7176" width="10" style="248" customWidth="1"/>
    <col min="7177" max="7178" width="8.5" style="248" customWidth="1"/>
    <col min="7179" max="7179" width="7.5" style="248" customWidth="1"/>
    <col min="7180" max="7180" width="7.125" style="248" customWidth="1"/>
    <col min="7181" max="7181" width="8.125" style="248" customWidth="1"/>
    <col min="7182" max="7183" width="7.5" style="248" customWidth="1"/>
    <col min="7184" max="7184" width="8.625" style="248" customWidth="1"/>
    <col min="7185" max="7187" width="7.5" style="248" customWidth="1"/>
    <col min="7188" max="7188" width="8.375" style="248" customWidth="1"/>
    <col min="7189" max="7189" width="7.5" style="248" customWidth="1"/>
    <col min="7190" max="7190" width="8.25" style="248" customWidth="1"/>
    <col min="7191" max="7193" width="7.5" style="248" customWidth="1"/>
    <col min="7194" max="7194" width="8.25" style="248" customWidth="1"/>
    <col min="7195" max="7195" width="8.125" style="248" customWidth="1"/>
    <col min="7196" max="7196" width="8.25" style="248" customWidth="1"/>
    <col min="7197" max="7197" width="8.75" style="248" customWidth="1"/>
    <col min="7198" max="7198" width="7.125" style="248" customWidth="1"/>
    <col min="7199" max="7199" width="9.5" style="248" customWidth="1"/>
    <col min="7200" max="7200" width="8.625" style="248" customWidth="1"/>
    <col min="7201" max="7201" width="8.875" style="248" customWidth="1"/>
    <col min="7202" max="7202" width="8.125" style="248" customWidth="1"/>
    <col min="7203" max="7205" width="7.625" style="248" customWidth="1"/>
    <col min="7206" max="7206" width="6.5" style="248" customWidth="1"/>
    <col min="7207" max="7215" width="8.5" style="248" customWidth="1"/>
    <col min="7216" max="7216" width="7.5" style="248" customWidth="1"/>
    <col min="7217" max="7217" width="7.25" style="248" customWidth="1"/>
    <col min="7218" max="7218" width="8.5" style="248" customWidth="1"/>
    <col min="7219" max="7219" width="9.375" style="248" customWidth="1"/>
    <col min="7220" max="7222" width="8.5" style="248" customWidth="1"/>
    <col min="7223" max="7223" width="9.25" style="248" customWidth="1"/>
    <col min="7224" max="7226" width="8.5" style="248" customWidth="1"/>
    <col min="7227" max="7227" width="7.875" style="248" customWidth="1"/>
    <col min="7228" max="7228" width="8.5" style="248" customWidth="1"/>
    <col min="7229" max="7229" width="7.375" style="248" customWidth="1"/>
    <col min="7230" max="7230" width="7.625" style="248" customWidth="1"/>
    <col min="7231" max="7231" width="9.875" style="248" customWidth="1"/>
    <col min="7232" max="7232" width="8.25" style="248" customWidth="1"/>
    <col min="7233" max="7235" width="8.875" style="248" customWidth="1"/>
    <col min="7236" max="7236" width="8.75" style="248" customWidth="1"/>
    <col min="7237" max="7237" width="8" style="248" customWidth="1"/>
    <col min="7238" max="7238" width="8.25" style="248" customWidth="1"/>
    <col min="7239" max="7239" width="7.375" style="248" customWidth="1"/>
    <col min="7240" max="7240" width="8.875" style="248" customWidth="1"/>
    <col min="7241" max="7241" width="7.375" style="248" customWidth="1"/>
    <col min="7242" max="7242" width="6.625" style="248" customWidth="1"/>
    <col min="7243" max="7243" width="9.5" style="248" customWidth="1"/>
    <col min="7244" max="7244" width="8" style="248" customWidth="1"/>
    <col min="7245" max="7245" width="8.375" style="248" customWidth="1"/>
    <col min="7246" max="7246" width="8.5" style="248" customWidth="1"/>
    <col min="7247" max="7247" width="8" style="248" customWidth="1"/>
    <col min="7248" max="7248" width="7.875" style="248" customWidth="1"/>
    <col min="7249" max="7249" width="8" style="248" customWidth="1"/>
    <col min="7250" max="7250" width="8.5" style="248" customWidth="1"/>
    <col min="7251" max="7253" width="8.125" style="248" customWidth="1"/>
    <col min="7254" max="7254" width="8" style="248" customWidth="1"/>
    <col min="7255" max="7258" width="8.75" style="248" customWidth="1"/>
    <col min="7259" max="7259" width="7.625" style="248" customWidth="1"/>
    <col min="7260" max="7261" width="8.75" style="248" customWidth="1"/>
    <col min="7262" max="7262" width="7.75" style="248" customWidth="1"/>
    <col min="7263" max="7265" width="8" style="248" customWidth="1"/>
    <col min="7266" max="7266" width="7.875" style="248" customWidth="1"/>
    <col min="7267" max="7268" width="8.75" style="248" customWidth="1"/>
    <col min="7269" max="7269" width="8.375" style="248" customWidth="1"/>
    <col min="7270" max="7270" width="8" style="248" customWidth="1"/>
    <col min="7271" max="7271" width="7.875" style="248" customWidth="1"/>
    <col min="7272" max="7274" width="8.25" style="248" customWidth="1"/>
    <col min="7275" max="7277" width="8.125" style="248" customWidth="1"/>
    <col min="7278" max="7278" width="7.875" style="248" customWidth="1"/>
    <col min="7279" max="7279" width="8.875" style="248" customWidth="1"/>
    <col min="7280" max="7280" width="8.375" style="248" customWidth="1"/>
    <col min="7281" max="7281" width="8.25" style="248" customWidth="1"/>
    <col min="7282" max="7282" width="8.875" style="248" customWidth="1"/>
    <col min="7283" max="7283" width="8.125" style="248" customWidth="1"/>
    <col min="7284" max="7284" width="8.25" style="248" customWidth="1"/>
    <col min="7285" max="7285" width="8.875" style="248" customWidth="1"/>
    <col min="7286" max="7286" width="8" style="248" customWidth="1"/>
    <col min="7287" max="7289" width="7.875" style="248" customWidth="1"/>
    <col min="7290" max="7290" width="7.75" style="248" customWidth="1"/>
    <col min="7291" max="7294" width="8.875" style="248" customWidth="1"/>
    <col min="7295" max="7295" width="8.75" style="248" customWidth="1"/>
    <col min="7296" max="7296" width="8.625" style="248" customWidth="1"/>
    <col min="7297" max="7298" width="8.25" style="248" customWidth="1"/>
    <col min="7299" max="7299" width="7.625" style="248" customWidth="1"/>
    <col min="7300" max="7300" width="8" style="248" customWidth="1"/>
    <col min="7301" max="7301" width="7.125" style="248" customWidth="1"/>
    <col min="7302" max="7302" width="7.625" style="248" customWidth="1"/>
    <col min="7303" max="7303" width="8.875" style="248" customWidth="1"/>
    <col min="7304" max="7304" width="8.125" style="248" customWidth="1"/>
    <col min="7305" max="7309" width="8.875" style="248" customWidth="1"/>
    <col min="7310" max="7310" width="8" style="248" customWidth="1"/>
    <col min="7311" max="7311" width="7.75" style="248" customWidth="1"/>
    <col min="7312" max="7312" width="7.875" style="248" customWidth="1"/>
    <col min="7313" max="7313" width="7.375" style="248" customWidth="1"/>
    <col min="7314" max="7314" width="7.875" style="248" customWidth="1"/>
    <col min="7315" max="7321" width="8.875" style="248" customWidth="1"/>
    <col min="7322" max="7322" width="7.5" style="248" customWidth="1"/>
    <col min="7323" max="7323" width="7.25" style="248" customWidth="1"/>
    <col min="7324" max="7324" width="8.375" style="248" customWidth="1"/>
    <col min="7325" max="7325" width="7.25" style="248" customWidth="1"/>
    <col min="7326" max="7326" width="7.625" style="248" customWidth="1"/>
    <col min="7327" max="7424" width="9" style="248"/>
    <col min="7425" max="7425" width="4.5" style="248" bestFit="1" customWidth="1"/>
    <col min="7426" max="7426" width="69.125" style="248" customWidth="1"/>
    <col min="7427" max="7427" width="9.25" style="248" customWidth="1"/>
    <col min="7428" max="7428" width="8.625" style="248" customWidth="1"/>
    <col min="7429" max="7429" width="9.375" style="248" customWidth="1"/>
    <col min="7430" max="7430" width="10.25" style="248" customWidth="1"/>
    <col min="7431" max="7431" width="10.625" style="248" customWidth="1"/>
    <col min="7432" max="7432" width="10" style="248" customWidth="1"/>
    <col min="7433" max="7434" width="8.5" style="248" customWidth="1"/>
    <col min="7435" max="7435" width="7.5" style="248" customWidth="1"/>
    <col min="7436" max="7436" width="7.125" style="248" customWidth="1"/>
    <col min="7437" max="7437" width="8.125" style="248" customWidth="1"/>
    <col min="7438" max="7439" width="7.5" style="248" customWidth="1"/>
    <col min="7440" max="7440" width="8.625" style="248" customWidth="1"/>
    <col min="7441" max="7443" width="7.5" style="248" customWidth="1"/>
    <col min="7444" max="7444" width="8.375" style="248" customWidth="1"/>
    <col min="7445" max="7445" width="7.5" style="248" customWidth="1"/>
    <col min="7446" max="7446" width="8.25" style="248" customWidth="1"/>
    <col min="7447" max="7449" width="7.5" style="248" customWidth="1"/>
    <col min="7450" max="7450" width="8.25" style="248" customWidth="1"/>
    <col min="7451" max="7451" width="8.125" style="248" customWidth="1"/>
    <col min="7452" max="7452" width="8.25" style="248" customWidth="1"/>
    <col min="7453" max="7453" width="8.75" style="248" customWidth="1"/>
    <col min="7454" max="7454" width="7.125" style="248" customWidth="1"/>
    <col min="7455" max="7455" width="9.5" style="248" customWidth="1"/>
    <col min="7456" max="7456" width="8.625" style="248" customWidth="1"/>
    <col min="7457" max="7457" width="8.875" style="248" customWidth="1"/>
    <col min="7458" max="7458" width="8.125" style="248" customWidth="1"/>
    <col min="7459" max="7461" width="7.625" style="248" customWidth="1"/>
    <col min="7462" max="7462" width="6.5" style="248" customWidth="1"/>
    <col min="7463" max="7471" width="8.5" style="248" customWidth="1"/>
    <col min="7472" max="7472" width="7.5" style="248" customWidth="1"/>
    <col min="7473" max="7473" width="7.25" style="248" customWidth="1"/>
    <col min="7474" max="7474" width="8.5" style="248" customWidth="1"/>
    <col min="7475" max="7475" width="9.375" style="248" customWidth="1"/>
    <col min="7476" max="7478" width="8.5" style="248" customWidth="1"/>
    <col min="7479" max="7479" width="9.25" style="248" customWidth="1"/>
    <col min="7480" max="7482" width="8.5" style="248" customWidth="1"/>
    <col min="7483" max="7483" width="7.875" style="248" customWidth="1"/>
    <col min="7484" max="7484" width="8.5" style="248" customWidth="1"/>
    <col min="7485" max="7485" width="7.375" style="248" customWidth="1"/>
    <col min="7486" max="7486" width="7.625" style="248" customWidth="1"/>
    <col min="7487" max="7487" width="9.875" style="248" customWidth="1"/>
    <col min="7488" max="7488" width="8.25" style="248" customWidth="1"/>
    <col min="7489" max="7491" width="8.875" style="248" customWidth="1"/>
    <col min="7492" max="7492" width="8.75" style="248" customWidth="1"/>
    <col min="7493" max="7493" width="8" style="248" customWidth="1"/>
    <col min="7494" max="7494" width="8.25" style="248" customWidth="1"/>
    <col min="7495" max="7495" width="7.375" style="248" customWidth="1"/>
    <col min="7496" max="7496" width="8.875" style="248" customWidth="1"/>
    <col min="7497" max="7497" width="7.375" style="248" customWidth="1"/>
    <col min="7498" max="7498" width="6.625" style="248" customWidth="1"/>
    <col min="7499" max="7499" width="9.5" style="248" customWidth="1"/>
    <col min="7500" max="7500" width="8" style="248" customWidth="1"/>
    <col min="7501" max="7501" width="8.375" style="248" customWidth="1"/>
    <col min="7502" max="7502" width="8.5" style="248" customWidth="1"/>
    <col min="7503" max="7503" width="8" style="248" customWidth="1"/>
    <col min="7504" max="7504" width="7.875" style="248" customWidth="1"/>
    <col min="7505" max="7505" width="8" style="248" customWidth="1"/>
    <col min="7506" max="7506" width="8.5" style="248" customWidth="1"/>
    <col min="7507" max="7509" width="8.125" style="248" customWidth="1"/>
    <col min="7510" max="7510" width="8" style="248" customWidth="1"/>
    <col min="7511" max="7514" width="8.75" style="248" customWidth="1"/>
    <col min="7515" max="7515" width="7.625" style="248" customWidth="1"/>
    <col min="7516" max="7517" width="8.75" style="248" customWidth="1"/>
    <col min="7518" max="7518" width="7.75" style="248" customWidth="1"/>
    <col min="7519" max="7521" width="8" style="248" customWidth="1"/>
    <col min="7522" max="7522" width="7.875" style="248" customWidth="1"/>
    <col min="7523" max="7524" width="8.75" style="248" customWidth="1"/>
    <col min="7525" max="7525" width="8.375" style="248" customWidth="1"/>
    <col min="7526" max="7526" width="8" style="248" customWidth="1"/>
    <col min="7527" max="7527" width="7.875" style="248" customWidth="1"/>
    <col min="7528" max="7530" width="8.25" style="248" customWidth="1"/>
    <col min="7531" max="7533" width="8.125" style="248" customWidth="1"/>
    <col min="7534" max="7534" width="7.875" style="248" customWidth="1"/>
    <col min="7535" max="7535" width="8.875" style="248" customWidth="1"/>
    <col min="7536" max="7536" width="8.375" style="248" customWidth="1"/>
    <col min="7537" max="7537" width="8.25" style="248" customWidth="1"/>
    <col min="7538" max="7538" width="8.875" style="248" customWidth="1"/>
    <col min="7539" max="7539" width="8.125" style="248" customWidth="1"/>
    <col min="7540" max="7540" width="8.25" style="248" customWidth="1"/>
    <col min="7541" max="7541" width="8.875" style="248" customWidth="1"/>
    <col min="7542" max="7542" width="8" style="248" customWidth="1"/>
    <col min="7543" max="7545" width="7.875" style="248" customWidth="1"/>
    <col min="7546" max="7546" width="7.75" style="248" customWidth="1"/>
    <col min="7547" max="7550" width="8.875" style="248" customWidth="1"/>
    <col min="7551" max="7551" width="8.75" style="248" customWidth="1"/>
    <col min="7552" max="7552" width="8.625" style="248" customWidth="1"/>
    <col min="7553" max="7554" width="8.25" style="248" customWidth="1"/>
    <col min="7555" max="7555" width="7.625" style="248" customWidth="1"/>
    <col min="7556" max="7556" width="8" style="248" customWidth="1"/>
    <col min="7557" max="7557" width="7.125" style="248" customWidth="1"/>
    <col min="7558" max="7558" width="7.625" style="248" customWidth="1"/>
    <col min="7559" max="7559" width="8.875" style="248" customWidth="1"/>
    <col min="7560" max="7560" width="8.125" style="248" customWidth="1"/>
    <col min="7561" max="7565" width="8.875" style="248" customWidth="1"/>
    <col min="7566" max="7566" width="8" style="248" customWidth="1"/>
    <col min="7567" max="7567" width="7.75" style="248" customWidth="1"/>
    <col min="7568" max="7568" width="7.875" style="248" customWidth="1"/>
    <col min="7569" max="7569" width="7.375" style="248" customWidth="1"/>
    <col min="7570" max="7570" width="7.875" style="248" customWidth="1"/>
    <col min="7571" max="7577" width="8.875" style="248" customWidth="1"/>
    <col min="7578" max="7578" width="7.5" style="248" customWidth="1"/>
    <col min="7579" max="7579" width="7.25" style="248" customWidth="1"/>
    <col min="7580" max="7580" width="8.375" style="248" customWidth="1"/>
    <col min="7581" max="7581" width="7.25" style="248" customWidth="1"/>
    <col min="7582" max="7582" width="7.625" style="248" customWidth="1"/>
    <col min="7583" max="7680" width="9" style="248"/>
    <col min="7681" max="7681" width="4.5" style="248" bestFit="1" customWidth="1"/>
    <col min="7682" max="7682" width="69.125" style="248" customWidth="1"/>
    <col min="7683" max="7683" width="9.25" style="248" customWidth="1"/>
    <col min="7684" max="7684" width="8.625" style="248" customWidth="1"/>
    <col min="7685" max="7685" width="9.375" style="248" customWidth="1"/>
    <col min="7686" max="7686" width="10.25" style="248" customWidth="1"/>
    <col min="7687" max="7687" width="10.625" style="248" customWidth="1"/>
    <col min="7688" max="7688" width="10" style="248" customWidth="1"/>
    <col min="7689" max="7690" width="8.5" style="248" customWidth="1"/>
    <col min="7691" max="7691" width="7.5" style="248" customWidth="1"/>
    <col min="7692" max="7692" width="7.125" style="248" customWidth="1"/>
    <col min="7693" max="7693" width="8.125" style="248" customWidth="1"/>
    <col min="7694" max="7695" width="7.5" style="248" customWidth="1"/>
    <col min="7696" max="7696" width="8.625" style="248" customWidth="1"/>
    <col min="7697" max="7699" width="7.5" style="248" customWidth="1"/>
    <col min="7700" max="7700" width="8.375" style="248" customWidth="1"/>
    <col min="7701" max="7701" width="7.5" style="248" customWidth="1"/>
    <col min="7702" max="7702" width="8.25" style="248" customWidth="1"/>
    <col min="7703" max="7705" width="7.5" style="248" customWidth="1"/>
    <col min="7706" max="7706" width="8.25" style="248" customWidth="1"/>
    <col min="7707" max="7707" width="8.125" style="248" customWidth="1"/>
    <col min="7708" max="7708" width="8.25" style="248" customWidth="1"/>
    <col min="7709" max="7709" width="8.75" style="248" customWidth="1"/>
    <col min="7710" max="7710" width="7.125" style="248" customWidth="1"/>
    <col min="7711" max="7711" width="9.5" style="248" customWidth="1"/>
    <col min="7712" max="7712" width="8.625" style="248" customWidth="1"/>
    <col min="7713" max="7713" width="8.875" style="248" customWidth="1"/>
    <col min="7714" max="7714" width="8.125" style="248" customWidth="1"/>
    <col min="7715" max="7717" width="7.625" style="248" customWidth="1"/>
    <col min="7718" max="7718" width="6.5" style="248" customWidth="1"/>
    <col min="7719" max="7727" width="8.5" style="248" customWidth="1"/>
    <col min="7728" max="7728" width="7.5" style="248" customWidth="1"/>
    <col min="7729" max="7729" width="7.25" style="248" customWidth="1"/>
    <col min="7730" max="7730" width="8.5" style="248" customWidth="1"/>
    <col min="7731" max="7731" width="9.375" style="248" customWidth="1"/>
    <col min="7732" max="7734" width="8.5" style="248" customWidth="1"/>
    <col min="7735" max="7735" width="9.25" style="248" customWidth="1"/>
    <col min="7736" max="7738" width="8.5" style="248" customWidth="1"/>
    <col min="7739" max="7739" width="7.875" style="248" customWidth="1"/>
    <col min="7740" max="7740" width="8.5" style="248" customWidth="1"/>
    <col min="7741" max="7741" width="7.375" style="248" customWidth="1"/>
    <col min="7742" max="7742" width="7.625" style="248" customWidth="1"/>
    <col min="7743" max="7743" width="9.875" style="248" customWidth="1"/>
    <col min="7744" max="7744" width="8.25" style="248" customWidth="1"/>
    <col min="7745" max="7747" width="8.875" style="248" customWidth="1"/>
    <col min="7748" max="7748" width="8.75" style="248" customWidth="1"/>
    <col min="7749" max="7749" width="8" style="248" customWidth="1"/>
    <col min="7750" max="7750" width="8.25" style="248" customWidth="1"/>
    <col min="7751" max="7751" width="7.375" style="248" customWidth="1"/>
    <col min="7752" max="7752" width="8.875" style="248" customWidth="1"/>
    <col min="7753" max="7753" width="7.375" style="248" customWidth="1"/>
    <col min="7754" max="7754" width="6.625" style="248" customWidth="1"/>
    <col min="7755" max="7755" width="9.5" style="248" customWidth="1"/>
    <col min="7756" max="7756" width="8" style="248" customWidth="1"/>
    <col min="7757" max="7757" width="8.375" style="248" customWidth="1"/>
    <col min="7758" max="7758" width="8.5" style="248" customWidth="1"/>
    <col min="7759" max="7759" width="8" style="248" customWidth="1"/>
    <col min="7760" max="7760" width="7.875" style="248" customWidth="1"/>
    <col min="7761" max="7761" width="8" style="248" customWidth="1"/>
    <col min="7762" max="7762" width="8.5" style="248" customWidth="1"/>
    <col min="7763" max="7765" width="8.125" style="248" customWidth="1"/>
    <col min="7766" max="7766" width="8" style="248" customWidth="1"/>
    <col min="7767" max="7770" width="8.75" style="248" customWidth="1"/>
    <col min="7771" max="7771" width="7.625" style="248" customWidth="1"/>
    <col min="7772" max="7773" width="8.75" style="248" customWidth="1"/>
    <col min="7774" max="7774" width="7.75" style="248" customWidth="1"/>
    <col min="7775" max="7777" width="8" style="248" customWidth="1"/>
    <col min="7778" max="7778" width="7.875" style="248" customWidth="1"/>
    <col min="7779" max="7780" width="8.75" style="248" customWidth="1"/>
    <col min="7781" max="7781" width="8.375" style="248" customWidth="1"/>
    <col min="7782" max="7782" width="8" style="248" customWidth="1"/>
    <col min="7783" max="7783" width="7.875" style="248" customWidth="1"/>
    <col min="7784" max="7786" width="8.25" style="248" customWidth="1"/>
    <col min="7787" max="7789" width="8.125" style="248" customWidth="1"/>
    <col min="7790" max="7790" width="7.875" style="248" customWidth="1"/>
    <col min="7791" max="7791" width="8.875" style="248" customWidth="1"/>
    <col min="7792" max="7792" width="8.375" style="248" customWidth="1"/>
    <col min="7793" max="7793" width="8.25" style="248" customWidth="1"/>
    <col min="7794" max="7794" width="8.875" style="248" customWidth="1"/>
    <col min="7795" max="7795" width="8.125" style="248" customWidth="1"/>
    <col min="7796" max="7796" width="8.25" style="248" customWidth="1"/>
    <col min="7797" max="7797" width="8.875" style="248" customWidth="1"/>
    <col min="7798" max="7798" width="8" style="248" customWidth="1"/>
    <col min="7799" max="7801" width="7.875" style="248" customWidth="1"/>
    <col min="7802" max="7802" width="7.75" style="248" customWidth="1"/>
    <col min="7803" max="7806" width="8.875" style="248" customWidth="1"/>
    <col min="7807" max="7807" width="8.75" style="248" customWidth="1"/>
    <col min="7808" max="7808" width="8.625" style="248" customWidth="1"/>
    <col min="7809" max="7810" width="8.25" style="248" customWidth="1"/>
    <col min="7811" max="7811" width="7.625" style="248" customWidth="1"/>
    <col min="7812" max="7812" width="8" style="248" customWidth="1"/>
    <col min="7813" max="7813" width="7.125" style="248" customWidth="1"/>
    <col min="7814" max="7814" width="7.625" style="248" customWidth="1"/>
    <col min="7815" max="7815" width="8.875" style="248" customWidth="1"/>
    <col min="7816" max="7816" width="8.125" style="248" customWidth="1"/>
    <col min="7817" max="7821" width="8.875" style="248" customWidth="1"/>
    <col min="7822" max="7822" width="8" style="248" customWidth="1"/>
    <col min="7823" max="7823" width="7.75" style="248" customWidth="1"/>
    <col min="7824" max="7824" width="7.875" style="248" customWidth="1"/>
    <col min="7825" max="7825" width="7.375" style="248" customWidth="1"/>
    <col min="7826" max="7826" width="7.875" style="248" customWidth="1"/>
    <col min="7827" max="7833" width="8.875" style="248" customWidth="1"/>
    <col min="7834" max="7834" width="7.5" style="248" customWidth="1"/>
    <col min="7835" max="7835" width="7.25" style="248" customWidth="1"/>
    <col min="7836" max="7836" width="8.375" style="248" customWidth="1"/>
    <col min="7837" max="7837" width="7.25" style="248" customWidth="1"/>
    <col min="7838" max="7838" width="7.625" style="248" customWidth="1"/>
    <col min="7839" max="7936" width="9" style="248"/>
    <col min="7937" max="7937" width="4.5" style="248" bestFit="1" customWidth="1"/>
    <col min="7938" max="7938" width="69.125" style="248" customWidth="1"/>
    <col min="7939" max="7939" width="9.25" style="248" customWidth="1"/>
    <col min="7940" max="7940" width="8.625" style="248" customWidth="1"/>
    <col min="7941" max="7941" width="9.375" style="248" customWidth="1"/>
    <col min="7942" max="7942" width="10.25" style="248" customWidth="1"/>
    <col min="7943" max="7943" width="10.625" style="248" customWidth="1"/>
    <col min="7944" max="7944" width="10" style="248" customWidth="1"/>
    <col min="7945" max="7946" width="8.5" style="248" customWidth="1"/>
    <col min="7947" max="7947" width="7.5" style="248" customWidth="1"/>
    <col min="7948" max="7948" width="7.125" style="248" customWidth="1"/>
    <col min="7949" max="7949" width="8.125" style="248" customWidth="1"/>
    <col min="7950" max="7951" width="7.5" style="248" customWidth="1"/>
    <col min="7952" max="7952" width="8.625" style="248" customWidth="1"/>
    <col min="7953" max="7955" width="7.5" style="248" customWidth="1"/>
    <col min="7956" max="7956" width="8.375" style="248" customWidth="1"/>
    <col min="7957" max="7957" width="7.5" style="248" customWidth="1"/>
    <col min="7958" max="7958" width="8.25" style="248" customWidth="1"/>
    <col min="7959" max="7961" width="7.5" style="248" customWidth="1"/>
    <col min="7962" max="7962" width="8.25" style="248" customWidth="1"/>
    <col min="7963" max="7963" width="8.125" style="248" customWidth="1"/>
    <col min="7964" max="7964" width="8.25" style="248" customWidth="1"/>
    <col min="7965" max="7965" width="8.75" style="248" customWidth="1"/>
    <col min="7966" max="7966" width="7.125" style="248" customWidth="1"/>
    <col min="7967" max="7967" width="9.5" style="248" customWidth="1"/>
    <col min="7968" max="7968" width="8.625" style="248" customWidth="1"/>
    <col min="7969" max="7969" width="8.875" style="248" customWidth="1"/>
    <col min="7970" max="7970" width="8.125" style="248" customWidth="1"/>
    <col min="7971" max="7973" width="7.625" style="248" customWidth="1"/>
    <col min="7974" max="7974" width="6.5" style="248" customWidth="1"/>
    <col min="7975" max="7983" width="8.5" style="248" customWidth="1"/>
    <col min="7984" max="7984" width="7.5" style="248" customWidth="1"/>
    <col min="7985" max="7985" width="7.25" style="248" customWidth="1"/>
    <col min="7986" max="7986" width="8.5" style="248" customWidth="1"/>
    <col min="7987" max="7987" width="9.375" style="248" customWidth="1"/>
    <col min="7988" max="7990" width="8.5" style="248" customWidth="1"/>
    <col min="7991" max="7991" width="9.25" style="248" customWidth="1"/>
    <col min="7992" max="7994" width="8.5" style="248" customWidth="1"/>
    <col min="7995" max="7995" width="7.875" style="248" customWidth="1"/>
    <col min="7996" max="7996" width="8.5" style="248" customWidth="1"/>
    <col min="7997" max="7997" width="7.375" style="248" customWidth="1"/>
    <col min="7998" max="7998" width="7.625" style="248" customWidth="1"/>
    <col min="7999" max="7999" width="9.875" style="248" customWidth="1"/>
    <col min="8000" max="8000" width="8.25" style="248" customWidth="1"/>
    <col min="8001" max="8003" width="8.875" style="248" customWidth="1"/>
    <col min="8004" max="8004" width="8.75" style="248" customWidth="1"/>
    <col min="8005" max="8005" width="8" style="248" customWidth="1"/>
    <col min="8006" max="8006" width="8.25" style="248" customWidth="1"/>
    <col min="8007" max="8007" width="7.375" style="248" customWidth="1"/>
    <col min="8008" max="8008" width="8.875" style="248" customWidth="1"/>
    <col min="8009" max="8009" width="7.375" style="248" customWidth="1"/>
    <col min="8010" max="8010" width="6.625" style="248" customWidth="1"/>
    <col min="8011" max="8011" width="9.5" style="248" customWidth="1"/>
    <col min="8012" max="8012" width="8" style="248" customWidth="1"/>
    <col min="8013" max="8013" width="8.375" style="248" customWidth="1"/>
    <col min="8014" max="8014" width="8.5" style="248" customWidth="1"/>
    <col min="8015" max="8015" width="8" style="248" customWidth="1"/>
    <col min="8016" max="8016" width="7.875" style="248" customWidth="1"/>
    <col min="8017" max="8017" width="8" style="248" customWidth="1"/>
    <col min="8018" max="8018" width="8.5" style="248" customWidth="1"/>
    <col min="8019" max="8021" width="8.125" style="248" customWidth="1"/>
    <col min="8022" max="8022" width="8" style="248" customWidth="1"/>
    <col min="8023" max="8026" width="8.75" style="248" customWidth="1"/>
    <col min="8027" max="8027" width="7.625" style="248" customWidth="1"/>
    <col min="8028" max="8029" width="8.75" style="248" customWidth="1"/>
    <col min="8030" max="8030" width="7.75" style="248" customWidth="1"/>
    <col min="8031" max="8033" width="8" style="248" customWidth="1"/>
    <col min="8034" max="8034" width="7.875" style="248" customWidth="1"/>
    <col min="8035" max="8036" width="8.75" style="248" customWidth="1"/>
    <col min="8037" max="8037" width="8.375" style="248" customWidth="1"/>
    <col min="8038" max="8038" width="8" style="248" customWidth="1"/>
    <col min="8039" max="8039" width="7.875" style="248" customWidth="1"/>
    <col min="8040" max="8042" width="8.25" style="248" customWidth="1"/>
    <col min="8043" max="8045" width="8.125" style="248" customWidth="1"/>
    <col min="8046" max="8046" width="7.875" style="248" customWidth="1"/>
    <col min="8047" max="8047" width="8.875" style="248" customWidth="1"/>
    <col min="8048" max="8048" width="8.375" style="248" customWidth="1"/>
    <col min="8049" max="8049" width="8.25" style="248" customWidth="1"/>
    <col min="8050" max="8050" width="8.875" style="248" customWidth="1"/>
    <col min="8051" max="8051" width="8.125" style="248" customWidth="1"/>
    <col min="8052" max="8052" width="8.25" style="248" customWidth="1"/>
    <col min="8053" max="8053" width="8.875" style="248" customWidth="1"/>
    <col min="8054" max="8054" width="8" style="248" customWidth="1"/>
    <col min="8055" max="8057" width="7.875" style="248" customWidth="1"/>
    <col min="8058" max="8058" width="7.75" style="248" customWidth="1"/>
    <col min="8059" max="8062" width="8.875" style="248" customWidth="1"/>
    <col min="8063" max="8063" width="8.75" style="248" customWidth="1"/>
    <col min="8064" max="8064" width="8.625" style="248" customWidth="1"/>
    <col min="8065" max="8066" width="8.25" style="248" customWidth="1"/>
    <col min="8067" max="8067" width="7.625" style="248" customWidth="1"/>
    <col min="8068" max="8068" width="8" style="248" customWidth="1"/>
    <col min="8069" max="8069" width="7.125" style="248" customWidth="1"/>
    <col min="8070" max="8070" width="7.625" style="248" customWidth="1"/>
    <col min="8071" max="8071" width="8.875" style="248" customWidth="1"/>
    <col min="8072" max="8072" width="8.125" style="248" customWidth="1"/>
    <col min="8073" max="8077" width="8.875" style="248" customWidth="1"/>
    <col min="8078" max="8078" width="8" style="248" customWidth="1"/>
    <col min="8079" max="8079" width="7.75" style="248" customWidth="1"/>
    <col min="8080" max="8080" width="7.875" style="248" customWidth="1"/>
    <col min="8081" max="8081" width="7.375" style="248" customWidth="1"/>
    <col min="8082" max="8082" width="7.875" style="248" customWidth="1"/>
    <col min="8083" max="8089" width="8.875" style="248" customWidth="1"/>
    <col min="8090" max="8090" width="7.5" style="248" customWidth="1"/>
    <col min="8091" max="8091" width="7.25" style="248" customWidth="1"/>
    <col min="8092" max="8092" width="8.375" style="248" customWidth="1"/>
    <col min="8093" max="8093" width="7.25" style="248" customWidth="1"/>
    <col min="8094" max="8094" width="7.625" style="248" customWidth="1"/>
    <col min="8095" max="8192" width="9" style="248"/>
    <col min="8193" max="8193" width="4.5" style="248" bestFit="1" customWidth="1"/>
    <col min="8194" max="8194" width="69.125" style="248" customWidth="1"/>
    <col min="8195" max="8195" width="9.25" style="248" customWidth="1"/>
    <col min="8196" max="8196" width="8.625" style="248" customWidth="1"/>
    <col min="8197" max="8197" width="9.375" style="248" customWidth="1"/>
    <col min="8198" max="8198" width="10.25" style="248" customWidth="1"/>
    <col min="8199" max="8199" width="10.625" style="248" customWidth="1"/>
    <col min="8200" max="8200" width="10" style="248" customWidth="1"/>
    <col min="8201" max="8202" width="8.5" style="248" customWidth="1"/>
    <col min="8203" max="8203" width="7.5" style="248" customWidth="1"/>
    <col min="8204" max="8204" width="7.125" style="248" customWidth="1"/>
    <col min="8205" max="8205" width="8.125" style="248" customWidth="1"/>
    <col min="8206" max="8207" width="7.5" style="248" customWidth="1"/>
    <col min="8208" max="8208" width="8.625" style="248" customWidth="1"/>
    <col min="8209" max="8211" width="7.5" style="248" customWidth="1"/>
    <col min="8212" max="8212" width="8.375" style="248" customWidth="1"/>
    <col min="8213" max="8213" width="7.5" style="248" customWidth="1"/>
    <col min="8214" max="8214" width="8.25" style="248" customWidth="1"/>
    <col min="8215" max="8217" width="7.5" style="248" customWidth="1"/>
    <col min="8218" max="8218" width="8.25" style="248" customWidth="1"/>
    <col min="8219" max="8219" width="8.125" style="248" customWidth="1"/>
    <col min="8220" max="8220" width="8.25" style="248" customWidth="1"/>
    <col min="8221" max="8221" width="8.75" style="248" customWidth="1"/>
    <col min="8222" max="8222" width="7.125" style="248" customWidth="1"/>
    <col min="8223" max="8223" width="9.5" style="248" customWidth="1"/>
    <col min="8224" max="8224" width="8.625" style="248" customWidth="1"/>
    <col min="8225" max="8225" width="8.875" style="248" customWidth="1"/>
    <col min="8226" max="8226" width="8.125" style="248" customWidth="1"/>
    <col min="8227" max="8229" width="7.625" style="248" customWidth="1"/>
    <col min="8230" max="8230" width="6.5" style="248" customWidth="1"/>
    <col min="8231" max="8239" width="8.5" style="248" customWidth="1"/>
    <col min="8240" max="8240" width="7.5" style="248" customWidth="1"/>
    <col min="8241" max="8241" width="7.25" style="248" customWidth="1"/>
    <col min="8242" max="8242" width="8.5" style="248" customWidth="1"/>
    <col min="8243" max="8243" width="9.375" style="248" customWidth="1"/>
    <col min="8244" max="8246" width="8.5" style="248" customWidth="1"/>
    <col min="8247" max="8247" width="9.25" style="248" customWidth="1"/>
    <col min="8248" max="8250" width="8.5" style="248" customWidth="1"/>
    <col min="8251" max="8251" width="7.875" style="248" customWidth="1"/>
    <col min="8252" max="8252" width="8.5" style="248" customWidth="1"/>
    <col min="8253" max="8253" width="7.375" style="248" customWidth="1"/>
    <col min="8254" max="8254" width="7.625" style="248" customWidth="1"/>
    <col min="8255" max="8255" width="9.875" style="248" customWidth="1"/>
    <col min="8256" max="8256" width="8.25" style="248" customWidth="1"/>
    <col min="8257" max="8259" width="8.875" style="248" customWidth="1"/>
    <col min="8260" max="8260" width="8.75" style="248" customWidth="1"/>
    <col min="8261" max="8261" width="8" style="248" customWidth="1"/>
    <col min="8262" max="8262" width="8.25" style="248" customWidth="1"/>
    <col min="8263" max="8263" width="7.375" style="248" customWidth="1"/>
    <col min="8264" max="8264" width="8.875" style="248" customWidth="1"/>
    <col min="8265" max="8265" width="7.375" style="248" customWidth="1"/>
    <col min="8266" max="8266" width="6.625" style="248" customWidth="1"/>
    <col min="8267" max="8267" width="9.5" style="248" customWidth="1"/>
    <col min="8268" max="8268" width="8" style="248" customWidth="1"/>
    <col min="8269" max="8269" width="8.375" style="248" customWidth="1"/>
    <col min="8270" max="8270" width="8.5" style="248" customWidth="1"/>
    <col min="8271" max="8271" width="8" style="248" customWidth="1"/>
    <col min="8272" max="8272" width="7.875" style="248" customWidth="1"/>
    <col min="8273" max="8273" width="8" style="248" customWidth="1"/>
    <col min="8274" max="8274" width="8.5" style="248" customWidth="1"/>
    <col min="8275" max="8277" width="8.125" style="248" customWidth="1"/>
    <col min="8278" max="8278" width="8" style="248" customWidth="1"/>
    <col min="8279" max="8282" width="8.75" style="248" customWidth="1"/>
    <col min="8283" max="8283" width="7.625" style="248" customWidth="1"/>
    <col min="8284" max="8285" width="8.75" style="248" customWidth="1"/>
    <col min="8286" max="8286" width="7.75" style="248" customWidth="1"/>
    <col min="8287" max="8289" width="8" style="248" customWidth="1"/>
    <col min="8290" max="8290" width="7.875" style="248" customWidth="1"/>
    <col min="8291" max="8292" width="8.75" style="248" customWidth="1"/>
    <col min="8293" max="8293" width="8.375" style="248" customWidth="1"/>
    <col min="8294" max="8294" width="8" style="248" customWidth="1"/>
    <col min="8295" max="8295" width="7.875" style="248" customWidth="1"/>
    <col min="8296" max="8298" width="8.25" style="248" customWidth="1"/>
    <col min="8299" max="8301" width="8.125" style="248" customWidth="1"/>
    <col min="8302" max="8302" width="7.875" style="248" customWidth="1"/>
    <col min="8303" max="8303" width="8.875" style="248" customWidth="1"/>
    <col min="8304" max="8304" width="8.375" style="248" customWidth="1"/>
    <col min="8305" max="8305" width="8.25" style="248" customWidth="1"/>
    <col min="8306" max="8306" width="8.875" style="248" customWidth="1"/>
    <col min="8307" max="8307" width="8.125" style="248" customWidth="1"/>
    <col min="8308" max="8308" width="8.25" style="248" customWidth="1"/>
    <col min="8309" max="8309" width="8.875" style="248" customWidth="1"/>
    <col min="8310" max="8310" width="8" style="248" customWidth="1"/>
    <col min="8311" max="8313" width="7.875" style="248" customWidth="1"/>
    <col min="8314" max="8314" width="7.75" style="248" customWidth="1"/>
    <col min="8315" max="8318" width="8.875" style="248" customWidth="1"/>
    <col min="8319" max="8319" width="8.75" style="248" customWidth="1"/>
    <col min="8320" max="8320" width="8.625" style="248" customWidth="1"/>
    <col min="8321" max="8322" width="8.25" style="248" customWidth="1"/>
    <col min="8323" max="8323" width="7.625" style="248" customWidth="1"/>
    <col min="8324" max="8324" width="8" style="248" customWidth="1"/>
    <col min="8325" max="8325" width="7.125" style="248" customWidth="1"/>
    <col min="8326" max="8326" width="7.625" style="248" customWidth="1"/>
    <col min="8327" max="8327" width="8.875" style="248" customWidth="1"/>
    <col min="8328" max="8328" width="8.125" style="248" customWidth="1"/>
    <col min="8329" max="8333" width="8.875" style="248" customWidth="1"/>
    <col min="8334" max="8334" width="8" style="248" customWidth="1"/>
    <col min="8335" max="8335" width="7.75" style="248" customWidth="1"/>
    <col min="8336" max="8336" width="7.875" style="248" customWidth="1"/>
    <col min="8337" max="8337" width="7.375" style="248" customWidth="1"/>
    <col min="8338" max="8338" width="7.875" style="248" customWidth="1"/>
    <col min="8339" max="8345" width="8.875" style="248" customWidth="1"/>
    <col min="8346" max="8346" width="7.5" style="248" customWidth="1"/>
    <col min="8347" max="8347" width="7.25" style="248" customWidth="1"/>
    <col min="8348" max="8348" width="8.375" style="248" customWidth="1"/>
    <col min="8349" max="8349" width="7.25" style="248" customWidth="1"/>
    <col min="8350" max="8350" width="7.625" style="248" customWidth="1"/>
    <col min="8351" max="8448" width="9" style="248"/>
    <col min="8449" max="8449" width="4.5" style="248" bestFit="1" customWidth="1"/>
    <col min="8450" max="8450" width="69.125" style="248" customWidth="1"/>
    <col min="8451" max="8451" width="9.25" style="248" customWidth="1"/>
    <col min="8452" max="8452" width="8.625" style="248" customWidth="1"/>
    <col min="8453" max="8453" width="9.375" style="248" customWidth="1"/>
    <col min="8454" max="8454" width="10.25" style="248" customWidth="1"/>
    <col min="8455" max="8455" width="10.625" style="248" customWidth="1"/>
    <col min="8456" max="8456" width="10" style="248" customWidth="1"/>
    <col min="8457" max="8458" width="8.5" style="248" customWidth="1"/>
    <col min="8459" max="8459" width="7.5" style="248" customWidth="1"/>
    <col min="8460" max="8460" width="7.125" style="248" customWidth="1"/>
    <col min="8461" max="8461" width="8.125" style="248" customWidth="1"/>
    <col min="8462" max="8463" width="7.5" style="248" customWidth="1"/>
    <col min="8464" max="8464" width="8.625" style="248" customWidth="1"/>
    <col min="8465" max="8467" width="7.5" style="248" customWidth="1"/>
    <col min="8468" max="8468" width="8.375" style="248" customWidth="1"/>
    <col min="8469" max="8469" width="7.5" style="248" customWidth="1"/>
    <col min="8470" max="8470" width="8.25" style="248" customWidth="1"/>
    <col min="8471" max="8473" width="7.5" style="248" customWidth="1"/>
    <col min="8474" max="8474" width="8.25" style="248" customWidth="1"/>
    <col min="8475" max="8475" width="8.125" style="248" customWidth="1"/>
    <col min="8476" max="8476" width="8.25" style="248" customWidth="1"/>
    <col min="8477" max="8477" width="8.75" style="248" customWidth="1"/>
    <col min="8478" max="8478" width="7.125" style="248" customWidth="1"/>
    <col min="8479" max="8479" width="9.5" style="248" customWidth="1"/>
    <col min="8480" max="8480" width="8.625" style="248" customWidth="1"/>
    <col min="8481" max="8481" width="8.875" style="248" customWidth="1"/>
    <col min="8482" max="8482" width="8.125" style="248" customWidth="1"/>
    <col min="8483" max="8485" width="7.625" style="248" customWidth="1"/>
    <col min="8486" max="8486" width="6.5" style="248" customWidth="1"/>
    <col min="8487" max="8495" width="8.5" style="248" customWidth="1"/>
    <col min="8496" max="8496" width="7.5" style="248" customWidth="1"/>
    <col min="8497" max="8497" width="7.25" style="248" customWidth="1"/>
    <col min="8498" max="8498" width="8.5" style="248" customWidth="1"/>
    <col min="8499" max="8499" width="9.375" style="248" customWidth="1"/>
    <col min="8500" max="8502" width="8.5" style="248" customWidth="1"/>
    <col min="8503" max="8503" width="9.25" style="248" customWidth="1"/>
    <col min="8504" max="8506" width="8.5" style="248" customWidth="1"/>
    <col min="8507" max="8507" width="7.875" style="248" customWidth="1"/>
    <col min="8508" max="8508" width="8.5" style="248" customWidth="1"/>
    <col min="8509" max="8509" width="7.375" style="248" customWidth="1"/>
    <col min="8510" max="8510" width="7.625" style="248" customWidth="1"/>
    <col min="8511" max="8511" width="9.875" style="248" customWidth="1"/>
    <col min="8512" max="8512" width="8.25" style="248" customWidth="1"/>
    <col min="8513" max="8515" width="8.875" style="248" customWidth="1"/>
    <col min="8516" max="8516" width="8.75" style="248" customWidth="1"/>
    <col min="8517" max="8517" width="8" style="248" customWidth="1"/>
    <col min="8518" max="8518" width="8.25" style="248" customWidth="1"/>
    <col min="8519" max="8519" width="7.375" style="248" customWidth="1"/>
    <col min="8520" max="8520" width="8.875" style="248" customWidth="1"/>
    <col min="8521" max="8521" width="7.375" style="248" customWidth="1"/>
    <col min="8522" max="8522" width="6.625" style="248" customWidth="1"/>
    <col min="8523" max="8523" width="9.5" style="248" customWidth="1"/>
    <col min="8524" max="8524" width="8" style="248" customWidth="1"/>
    <col min="8525" max="8525" width="8.375" style="248" customWidth="1"/>
    <col min="8526" max="8526" width="8.5" style="248" customWidth="1"/>
    <col min="8527" max="8527" width="8" style="248" customWidth="1"/>
    <col min="8528" max="8528" width="7.875" style="248" customWidth="1"/>
    <col min="8529" max="8529" width="8" style="248" customWidth="1"/>
    <col min="8530" max="8530" width="8.5" style="248" customWidth="1"/>
    <col min="8531" max="8533" width="8.125" style="248" customWidth="1"/>
    <col min="8534" max="8534" width="8" style="248" customWidth="1"/>
    <col min="8535" max="8538" width="8.75" style="248" customWidth="1"/>
    <col min="8539" max="8539" width="7.625" style="248" customWidth="1"/>
    <col min="8540" max="8541" width="8.75" style="248" customWidth="1"/>
    <col min="8542" max="8542" width="7.75" style="248" customWidth="1"/>
    <col min="8543" max="8545" width="8" style="248" customWidth="1"/>
    <col min="8546" max="8546" width="7.875" style="248" customWidth="1"/>
    <col min="8547" max="8548" width="8.75" style="248" customWidth="1"/>
    <col min="8549" max="8549" width="8.375" style="248" customWidth="1"/>
    <col min="8550" max="8550" width="8" style="248" customWidth="1"/>
    <col min="8551" max="8551" width="7.875" style="248" customWidth="1"/>
    <col min="8552" max="8554" width="8.25" style="248" customWidth="1"/>
    <col min="8555" max="8557" width="8.125" style="248" customWidth="1"/>
    <col min="8558" max="8558" width="7.875" style="248" customWidth="1"/>
    <col min="8559" max="8559" width="8.875" style="248" customWidth="1"/>
    <col min="8560" max="8560" width="8.375" style="248" customWidth="1"/>
    <col min="8561" max="8561" width="8.25" style="248" customWidth="1"/>
    <col min="8562" max="8562" width="8.875" style="248" customWidth="1"/>
    <col min="8563" max="8563" width="8.125" style="248" customWidth="1"/>
    <col min="8564" max="8564" width="8.25" style="248" customWidth="1"/>
    <col min="8565" max="8565" width="8.875" style="248" customWidth="1"/>
    <col min="8566" max="8566" width="8" style="248" customWidth="1"/>
    <col min="8567" max="8569" width="7.875" style="248" customWidth="1"/>
    <col min="8570" max="8570" width="7.75" style="248" customWidth="1"/>
    <col min="8571" max="8574" width="8.875" style="248" customWidth="1"/>
    <col min="8575" max="8575" width="8.75" style="248" customWidth="1"/>
    <col min="8576" max="8576" width="8.625" style="248" customWidth="1"/>
    <col min="8577" max="8578" width="8.25" style="248" customWidth="1"/>
    <col min="8579" max="8579" width="7.625" style="248" customWidth="1"/>
    <col min="8580" max="8580" width="8" style="248" customWidth="1"/>
    <col min="8581" max="8581" width="7.125" style="248" customWidth="1"/>
    <col min="8582" max="8582" width="7.625" style="248" customWidth="1"/>
    <col min="8583" max="8583" width="8.875" style="248" customWidth="1"/>
    <col min="8584" max="8584" width="8.125" style="248" customWidth="1"/>
    <col min="8585" max="8589" width="8.875" style="248" customWidth="1"/>
    <col min="8590" max="8590" width="8" style="248" customWidth="1"/>
    <col min="8591" max="8591" width="7.75" style="248" customWidth="1"/>
    <col min="8592" max="8592" width="7.875" style="248" customWidth="1"/>
    <col min="8593" max="8593" width="7.375" style="248" customWidth="1"/>
    <col min="8594" max="8594" width="7.875" style="248" customWidth="1"/>
    <col min="8595" max="8601" width="8.875" style="248" customWidth="1"/>
    <col min="8602" max="8602" width="7.5" style="248" customWidth="1"/>
    <col min="8603" max="8603" width="7.25" style="248" customWidth="1"/>
    <col min="8604" max="8604" width="8.375" style="248" customWidth="1"/>
    <col min="8605" max="8605" width="7.25" style="248" customWidth="1"/>
    <col min="8606" max="8606" width="7.625" style="248" customWidth="1"/>
    <col min="8607" max="8704" width="9" style="248"/>
    <col min="8705" max="8705" width="4.5" style="248" bestFit="1" customWidth="1"/>
    <col min="8706" max="8706" width="69.125" style="248" customWidth="1"/>
    <col min="8707" max="8707" width="9.25" style="248" customWidth="1"/>
    <col min="8708" max="8708" width="8.625" style="248" customWidth="1"/>
    <col min="8709" max="8709" width="9.375" style="248" customWidth="1"/>
    <col min="8710" max="8710" width="10.25" style="248" customWidth="1"/>
    <col min="8711" max="8711" width="10.625" style="248" customWidth="1"/>
    <col min="8712" max="8712" width="10" style="248" customWidth="1"/>
    <col min="8713" max="8714" width="8.5" style="248" customWidth="1"/>
    <col min="8715" max="8715" width="7.5" style="248" customWidth="1"/>
    <col min="8716" max="8716" width="7.125" style="248" customWidth="1"/>
    <col min="8717" max="8717" width="8.125" style="248" customWidth="1"/>
    <col min="8718" max="8719" width="7.5" style="248" customWidth="1"/>
    <col min="8720" max="8720" width="8.625" style="248" customWidth="1"/>
    <col min="8721" max="8723" width="7.5" style="248" customWidth="1"/>
    <col min="8724" max="8724" width="8.375" style="248" customWidth="1"/>
    <col min="8725" max="8725" width="7.5" style="248" customWidth="1"/>
    <col min="8726" max="8726" width="8.25" style="248" customWidth="1"/>
    <col min="8727" max="8729" width="7.5" style="248" customWidth="1"/>
    <col min="8730" max="8730" width="8.25" style="248" customWidth="1"/>
    <col min="8731" max="8731" width="8.125" style="248" customWidth="1"/>
    <col min="8732" max="8732" width="8.25" style="248" customWidth="1"/>
    <col min="8733" max="8733" width="8.75" style="248" customWidth="1"/>
    <col min="8734" max="8734" width="7.125" style="248" customWidth="1"/>
    <col min="8735" max="8735" width="9.5" style="248" customWidth="1"/>
    <col min="8736" max="8736" width="8.625" style="248" customWidth="1"/>
    <col min="8737" max="8737" width="8.875" style="248" customWidth="1"/>
    <col min="8738" max="8738" width="8.125" style="248" customWidth="1"/>
    <col min="8739" max="8741" width="7.625" style="248" customWidth="1"/>
    <col min="8742" max="8742" width="6.5" style="248" customWidth="1"/>
    <col min="8743" max="8751" width="8.5" style="248" customWidth="1"/>
    <col min="8752" max="8752" width="7.5" style="248" customWidth="1"/>
    <col min="8753" max="8753" width="7.25" style="248" customWidth="1"/>
    <col min="8754" max="8754" width="8.5" style="248" customWidth="1"/>
    <col min="8755" max="8755" width="9.375" style="248" customWidth="1"/>
    <col min="8756" max="8758" width="8.5" style="248" customWidth="1"/>
    <col min="8759" max="8759" width="9.25" style="248" customWidth="1"/>
    <col min="8760" max="8762" width="8.5" style="248" customWidth="1"/>
    <col min="8763" max="8763" width="7.875" style="248" customWidth="1"/>
    <col min="8764" max="8764" width="8.5" style="248" customWidth="1"/>
    <col min="8765" max="8765" width="7.375" style="248" customWidth="1"/>
    <col min="8766" max="8766" width="7.625" style="248" customWidth="1"/>
    <col min="8767" max="8767" width="9.875" style="248" customWidth="1"/>
    <col min="8768" max="8768" width="8.25" style="248" customWidth="1"/>
    <col min="8769" max="8771" width="8.875" style="248" customWidth="1"/>
    <col min="8772" max="8772" width="8.75" style="248" customWidth="1"/>
    <col min="8773" max="8773" width="8" style="248" customWidth="1"/>
    <col min="8774" max="8774" width="8.25" style="248" customWidth="1"/>
    <col min="8775" max="8775" width="7.375" style="248" customWidth="1"/>
    <col min="8776" max="8776" width="8.875" style="248" customWidth="1"/>
    <col min="8777" max="8777" width="7.375" style="248" customWidth="1"/>
    <col min="8778" max="8778" width="6.625" style="248" customWidth="1"/>
    <col min="8779" max="8779" width="9.5" style="248" customWidth="1"/>
    <col min="8780" max="8780" width="8" style="248" customWidth="1"/>
    <col min="8781" max="8781" width="8.375" style="248" customWidth="1"/>
    <col min="8782" max="8782" width="8.5" style="248" customWidth="1"/>
    <col min="8783" max="8783" width="8" style="248" customWidth="1"/>
    <col min="8784" max="8784" width="7.875" style="248" customWidth="1"/>
    <col min="8785" max="8785" width="8" style="248" customWidth="1"/>
    <col min="8786" max="8786" width="8.5" style="248" customWidth="1"/>
    <col min="8787" max="8789" width="8.125" style="248" customWidth="1"/>
    <col min="8790" max="8790" width="8" style="248" customWidth="1"/>
    <col min="8791" max="8794" width="8.75" style="248" customWidth="1"/>
    <col min="8795" max="8795" width="7.625" style="248" customWidth="1"/>
    <col min="8796" max="8797" width="8.75" style="248" customWidth="1"/>
    <col min="8798" max="8798" width="7.75" style="248" customWidth="1"/>
    <col min="8799" max="8801" width="8" style="248" customWidth="1"/>
    <col min="8802" max="8802" width="7.875" style="248" customWidth="1"/>
    <col min="8803" max="8804" width="8.75" style="248" customWidth="1"/>
    <col min="8805" max="8805" width="8.375" style="248" customWidth="1"/>
    <col min="8806" max="8806" width="8" style="248" customWidth="1"/>
    <col min="8807" max="8807" width="7.875" style="248" customWidth="1"/>
    <col min="8808" max="8810" width="8.25" style="248" customWidth="1"/>
    <col min="8811" max="8813" width="8.125" style="248" customWidth="1"/>
    <col min="8814" max="8814" width="7.875" style="248" customWidth="1"/>
    <col min="8815" max="8815" width="8.875" style="248" customWidth="1"/>
    <col min="8816" max="8816" width="8.375" style="248" customWidth="1"/>
    <col min="8817" max="8817" width="8.25" style="248" customWidth="1"/>
    <col min="8818" max="8818" width="8.875" style="248" customWidth="1"/>
    <col min="8819" max="8819" width="8.125" style="248" customWidth="1"/>
    <col min="8820" max="8820" width="8.25" style="248" customWidth="1"/>
    <col min="8821" max="8821" width="8.875" style="248" customWidth="1"/>
    <col min="8822" max="8822" width="8" style="248" customWidth="1"/>
    <col min="8823" max="8825" width="7.875" style="248" customWidth="1"/>
    <col min="8826" max="8826" width="7.75" style="248" customWidth="1"/>
    <col min="8827" max="8830" width="8.875" style="248" customWidth="1"/>
    <col min="8831" max="8831" width="8.75" style="248" customWidth="1"/>
    <col min="8832" max="8832" width="8.625" style="248" customWidth="1"/>
    <col min="8833" max="8834" width="8.25" style="248" customWidth="1"/>
    <col min="8835" max="8835" width="7.625" style="248" customWidth="1"/>
    <col min="8836" max="8836" width="8" style="248" customWidth="1"/>
    <col min="8837" max="8837" width="7.125" style="248" customWidth="1"/>
    <col min="8838" max="8838" width="7.625" style="248" customWidth="1"/>
    <col min="8839" max="8839" width="8.875" style="248" customWidth="1"/>
    <col min="8840" max="8840" width="8.125" style="248" customWidth="1"/>
    <col min="8841" max="8845" width="8.875" style="248" customWidth="1"/>
    <col min="8846" max="8846" width="8" style="248" customWidth="1"/>
    <col min="8847" max="8847" width="7.75" style="248" customWidth="1"/>
    <col min="8848" max="8848" width="7.875" style="248" customWidth="1"/>
    <col min="8849" max="8849" width="7.375" style="248" customWidth="1"/>
    <col min="8850" max="8850" width="7.875" style="248" customWidth="1"/>
    <col min="8851" max="8857" width="8.875" style="248" customWidth="1"/>
    <col min="8858" max="8858" width="7.5" style="248" customWidth="1"/>
    <col min="8859" max="8859" width="7.25" style="248" customWidth="1"/>
    <col min="8860" max="8860" width="8.375" style="248" customWidth="1"/>
    <col min="8861" max="8861" width="7.25" style="248" customWidth="1"/>
    <col min="8862" max="8862" width="7.625" style="248" customWidth="1"/>
    <col min="8863" max="8960" width="9" style="248"/>
    <col min="8961" max="8961" width="4.5" style="248" bestFit="1" customWidth="1"/>
    <col min="8962" max="8962" width="69.125" style="248" customWidth="1"/>
    <col min="8963" max="8963" width="9.25" style="248" customWidth="1"/>
    <col min="8964" max="8964" width="8.625" style="248" customWidth="1"/>
    <col min="8965" max="8965" width="9.375" style="248" customWidth="1"/>
    <col min="8966" max="8966" width="10.25" style="248" customWidth="1"/>
    <col min="8967" max="8967" width="10.625" style="248" customWidth="1"/>
    <col min="8968" max="8968" width="10" style="248" customWidth="1"/>
    <col min="8969" max="8970" width="8.5" style="248" customWidth="1"/>
    <col min="8971" max="8971" width="7.5" style="248" customWidth="1"/>
    <col min="8972" max="8972" width="7.125" style="248" customWidth="1"/>
    <col min="8973" max="8973" width="8.125" style="248" customWidth="1"/>
    <col min="8974" max="8975" width="7.5" style="248" customWidth="1"/>
    <col min="8976" max="8976" width="8.625" style="248" customWidth="1"/>
    <col min="8977" max="8979" width="7.5" style="248" customWidth="1"/>
    <col min="8980" max="8980" width="8.375" style="248" customWidth="1"/>
    <col min="8981" max="8981" width="7.5" style="248" customWidth="1"/>
    <col min="8982" max="8982" width="8.25" style="248" customWidth="1"/>
    <col min="8983" max="8985" width="7.5" style="248" customWidth="1"/>
    <col min="8986" max="8986" width="8.25" style="248" customWidth="1"/>
    <col min="8987" max="8987" width="8.125" style="248" customWidth="1"/>
    <col min="8988" max="8988" width="8.25" style="248" customWidth="1"/>
    <col min="8989" max="8989" width="8.75" style="248" customWidth="1"/>
    <col min="8990" max="8990" width="7.125" style="248" customWidth="1"/>
    <col min="8991" max="8991" width="9.5" style="248" customWidth="1"/>
    <col min="8992" max="8992" width="8.625" style="248" customWidth="1"/>
    <col min="8993" max="8993" width="8.875" style="248" customWidth="1"/>
    <col min="8994" max="8994" width="8.125" style="248" customWidth="1"/>
    <col min="8995" max="8997" width="7.625" style="248" customWidth="1"/>
    <col min="8998" max="8998" width="6.5" style="248" customWidth="1"/>
    <col min="8999" max="9007" width="8.5" style="248" customWidth="1"/>
    <col min="9008" max="9008" width="7.5" style="248" customWidth="1"/>
    <col min="9009" max="9009" width="7.25" style="248" customWidth="1"/>
    <col min="9010" max="9010" width="8.5" style="248" customWidth="1"/>
    <col min="9011" max="9011" width="9.375" style="248" customWidth="1"/>
    <col min="9012" max="9014" width="8.5" style="248" customWidth="1"/>
    <col min="9015" max="9015" width="9.25" style="248" customWidth="1"/>
    <col min="9016" max="9018" width="8.5" style="248" customWidth="1"/>
    <col min="9019" max="9019" width="7.875" style="248" customWidth="1"/>
    <col min="9020" max="9020" width="8.5" style="248" customWidth="1"/>
    <col min="9021" max="9021" width="7.375" style="248" customWidth="1"/>
    <col min="9022" max="9022" width="7.625" style="248" customWidth="1"/>
    <col min="9023" max="9023" width="9.875" style="248" customWidth="1"/>
    <col min="9024" max="9024" width="8.25" style="248" customWidth="1"/>
    <col min="9025" max="9027" width="8.875" style="248" customWidth="1"/>
    <col min="9028" max="9028" width="8.75" style="248" customWidth="1"/>
    <col min="9029" max="9029" width="8" style="248" customWidth="1"/>
    <col min="9030" max="9030" width="8.25" style="248" customWidth="1"/>
    <col min="9031" max="9031" width="7.375" style="248" customWidth="1"/>
    <col min="9032" max="9032" width="8.875" style="248" customWidth="1"/>
    <col min="9033" max="9033" width="7.375" style="248" customWidth="1"/>
    <col min="9034" max="9034" width="6.625" style="248" customWidth="1"/>
    <col min="9035" max="9035" width="9.5" style="248" customWidth="1"/>
    <col min="9036" max="9036" width="8" style="248" customWidth="1"/>
    <col min="9037" max="9037" width="8.375" style="248" customWidth="1"/>
    <col min="9038" max="9038" width="8.5" style="248" customWidth="1"/>
    <col min="9039" max="9039" width="8" style="248" customWidth="1"/>
    <col min="9040" max="9040" width="7.875" style="248" customWidth="1"/>
    <col min="9041" max="9041" width="8" style="248" customWidth="1"/>
    <col min="9042" max="9042" width="8.5" style="248" customWidth="1"/>
    <col min="9043" max="9045" width="8.125" style="248" customWidth="1"/>
    <col min="9046" max="9046" width="8" style="248" customWidth="1"/>
    <col min="9047" max="9050" width="8.75" style="248" customWidth="1"/>
    <col min="9051" max="9051" width="7.625" style="248" customWidth="1"/>
    <col min="9052" max="9053" width="8.75" style="248" customWidth="1"/>
    <col min="9054" max="9054" width="7.75" style="248" customWidth="1"/>
    <col min="9055" max="9057" width="8" style="248" customWidth="1"/>
    <col min="9058" max="9058" width="7.875" style="248" customWidth="1"/>
    <col min="9059" max="9060" width="8.75" style="248" customWidth="1"/>
    <col min="9061" max="9061" width="8.375" style="248" customWidth="1"/>
    <col min="9062" max="9062" width="8" style="248" customWidth="1"/>
    <col min="9063" max="9063" width="7.875" style="248" customWidth="1"/>
    <col min="9064" max="9066" width="8.25" style="248" customWidth="1"/>
    <col min="9067" max="9069" width="8.125" style="248" customWidth="1"/>
    <col min="9070" max="9070" width="7.875" style="248" customWidth="1"/>
    <col min="9071" max="9071" width="8.875" style="248" customWidth="1"/>
    <col min="9072" max="9072" width="8.375" style="248" customWidth="1"/>
    <col min="9073" max="9073" width="8.25" style="248" customWidth="1"/>
    <col min="9074" max="9074" width="8.875" style="248" customWidth="1"/>
    <col min="9075" max="9075" width="8.125" style="248" customWidth="1"/>
    <col min="9076" max="9076" width="8.25" style="248" customWidth="1"/>
    <col min="9077" max="9077" width="8.875" style="248" customWidth="1"/>
    <col min="9078" max="9078" width="8" style="248" customWidth="1"/>
    <col min="9079" max="9081" width="7.875" style="248" customWidth="1"/>
    <col min="9082" max="9082" width="7.75" style="248" customWidth="1"/>
    <col min="9083" max="9086" width="8.875" style="248" customWidth="1"/>
    <col min="9087" max="9087" width="8.75" style="248" customWidth="1"/>
    <col min="9088" max="9088" width="8.625" style="248" customWidth="1"/>
    <col min="9089" max="9090" width="8.25" style="248" customWidth="1"/>
    <col min="9091" max="9091" width="7.625" style="248" customWidth="1"/>
    <col min="9092" max="9092" width="8" style="248" customWidth="1"/>
    <col min="9093" max="9093" width="7.125" style="248" customWidth="1"/>
    <col min="9094" max="9094" width="7.625" style="248" customWidth="1"/>
    <col min="9095" max="9095" width="8.875" style="248" customWidth="1"/>
    <col min="9096" max="9096" width="8.125" style="248" customWidth="1"/>
    <col min="9097" max="9101" width="8.875" style="248" customWidth="1"/>
    <col min="9102" max="9102" width="8" style="248" customWidth="1"/>
    <col min="9103" max="9103" width="7.75" style="248" customWidth="1"/>
    <col min="9104" max="9104" width="7.875" style="248" customWidth="1"/>
    <col min="9105" max="9105" width="7.375" style="248" customWidth="1"/>
    <col min="9106" max="9106" width="7.875" style="248" customWidth="1"/>
    <col min="9107" max="9113" width="8.875" style="248" customWidth="1"/>
    <col min="9114" max="9114" width="7.5" style="248" customWidth="1"/>
    <col min="9115" max="9115" width="7.25" style="248" customWidth="1"/>
    <col min="9116" max="9116" width="8.375" style="248" customWidth="1"/>
    <col min="9117" max="9117" width="7.25" style="248" customWidth="1"/>
    <col min="9118" max="9118" width="7.625" style="248" customWidth="1"/>
    <col min="9119" max="9216" width="9" style="248"/>
    <col min="9217" max="9217" width="4.5" style="248" bestFit="1" customWidth="1"/>
    <col min="9218" max="9218" width="69.125" style="248" customWidth="1"/>
    <col min="9219" max="9219" width="9.25" style="248" customWidth="1"/>
    <col min="9220" max="9220" width="8.625" style="248" customWidth="1"/>
    <col min="9221" max="9221" width="9.375" style="248" customWidth="1"/>
    <col min="9222" max="9222" width="10.25" style="248" customWidth="1"/>
    <col min="9223" max="9223" width="10.625" style="248" customWidth="1"/>
    <col min="9224" max="9224" width="10" style="248" customWidth="1"/>
    <col min="9225" max="9226" width="8.5" style="248" customWidth="1"/>
    <col min="9227" max="9227" width="7.5" style="248" customWidth="1"/>
    <col min="9228" max="9228" width="7.125" style="248" customWidth="1"/>
    <col min="9229" max="9229" width="8.125" style="248" customWidth="1"/>
    <col min="9230" max="9231" width="7.5" style="248" customWidth="1"/>
    <col min="9232" max="9232" width="8.625" style="248" customWidth="1"/>
    <col min="9233" max="9235" width="7.5" style="248" customWidth="1"/>
    <col min="9236" max="9236" width="8.375" style="248" customWidth="1"/>
    <col min="9237" max="9237" width="7.5" style="248" customWidth="1"/>
    <col min="9238" max="9238" width="8.25" style="248" customWidth="1"/>
    <col min="9239" max="9241" width="7.5" style="248" customWidth="1"/>
    <col min="9242" max="9242" width="8.25" style="248" customWidth="1"/>
    <col min="9243" max="9243" width="8.125" style="248" customWidth="1"/>
    <col min="9244" max="9244" width="8.25" style="248" customWidth="1"/>
    <col min="9245" max="9245" width="8.75" style="248" customWidth="1"/>
    <col min="9246" max="9246" width="7.125" style="248" customWidth="1"/>
    <col min="9247" max="9247" width="9.5" style="248" customWidth="1"/>
    <col min="9248" max="9248" width="8.625" style="248" customWidth="1"/>
    <col min="9249" max="9249" width="8.875" style="248" customWidth="1"/>
    <col min="9250" max="9250" width="8.125" style="248" customWidth="1"/>
    <col min="9251" max="9253" width="7.625" style="248" customWidth="1"/>
    <col min="9254" max="9254" width="6.5" style="248" customWidth="1"/>
    <col min="9255" max="9263" width="8.5" style="248" customWidth="1"/>
    <col min="9264" max="9264" width="7.5" style="248" customWidth="1"/>
    <col min="9265" max="9265" width="7.25" style="248" customWidth="1"/>
    <col min="9266" max="9266" width="8.5" style="248" customWidth="1"/>
    <col min="9267" max="9267" width="9.375" style="248" customWidth="1"/>
    <col min="9268" max="9270" width="8.5" style="248" customWidth="1"/>
    <col min="9271" max="9271" width="9.25" style="248" customWidth="1"/>
    <col min="9272" max="9274" width="8.5" style="248" customWidth="1"/>
    <col min="9275" max="9275" width="7.875" style="248" customWidth="1"/>
    <col min="9276" max="9276" width="8.5" style="248" customWidth="1"/>
    <col min="9277" max="9277" width="7.375" style="248" customWidth="1"/>
    <col min="9278" max="9278" width="7.625" style="248" customWidth="1"/>
    <col min="9279" max="9279" width="9.875" style="248" customWidth="1"/>
    <col min="9280" max="9280" width="8.25" style="248" customWidth="1"/>
    <col min="9281" max="9283" width="8.875" style="248" customWidth="1"/>
    <col min="9284" max="9284" width="8.75" style="248" customWidth="1"/>
    <col min="9285" max="9285" width="8" style="248" customWidth="1"/>
    <col min="9286" max="9286" width="8.25" style="248" customWidth="1"/>
    <col min="9287" max="9287" width="7.375" style="248" customWidth="1"/>
    <col min="9288" max="9288" width="8.875" style="248" customWidth="1"/>
    <col min="9289" max="9289" width="7.375" style="248" customWidth="1"/>
    <col min="9290" max="9290" width="6.625" style="248" customWidth="1"/>
    <col min="9291" max="9291" width="9.5" style="248" customWidth="1"/>
    <col min="9292" max="9292" width="8" style="248" customWidth="1"/>
    <col min="9293" max="9293" width="8.375" style="248" customWidth="1"/>
    <col min="9294" max="9294" width="8.5" style="248" customWidth="1"/>
    <col min="9295" max="9295" width="8" style="248" customWidth="1"/>
    <col min="9296" max="9296" width="7.875" style="248" customWidth="1"/>
    <col min="9297" max="9297" width="8" style="248" customWidth="1"/>
    <col min="9298" max="9298" width="8.5" style="248" customWidth="1"/>
    <col min="9299" max="9301" width="8.125" style="248" customWidth="1"/>
    <col min="9302" max="9302" width="8" style="248" customWidth="1"/>
    <col min="9303" max="9306" width="8.75" style="248" customWidth="1"/>
    <col min="9307" max="9307" width="7.625" style="248" customWidth="1"/>
    <col min="9308" max="9309" width="8.75" style="248" customWidth="1"/>
    <col min="9310" max="9310" width="7.75" style="248" customWidth="1"/>
    <col min="9311" max="9313" width="8" style="248" customWidth="1"/>
    <col min="9314" max="9314" width="7.875" style="248" customWidth="1"/>
    <col min="9315" max="9316" width="8.75" style="248" customWidth="1"/>
    <col min="9317" max="9317" width="8.375" style="248" customWidth="1"/>
    <col min="9318" max="9318" width="8" style="248" customWidth="1"/>
    <col min="9319" max="9319" width="7.875" style="248" customWidth="1"/>
    <col min="9320" max="9322" width="8.25" style="248" customWidth="1"/>
    <col min="9323" max="9325" width="8.125" style="248" customWidth="1"/>
    <col min="9326" max="9326" width="7.875" style="248" customWidth="1"/>
    <col min="9327" max="9327" width="8.875" style="248" customWidth="1"/>
    <col min="9328" max="9328" width="8.375" style="248" customWidth="1"/>
    <col min="9329" max="9329" width="8.25" style="248" customWidth="1"/>
    <col min="9330" max="9330" width="8.875" style="248" customWidth="1"/>
    <col min="9331" max="9331" width="8.125" style="248" customWidth="1"/>
    <col min="9332" max="9332" width="8.25" style="248" customWidth="1"/>
    <col min="9333" max="9333" width="8.875" style="248" customWidth="1"/>
    <col min="9334" max="9334" width="8" style="248" customWidth="1"/>
    <col min="9335" max="9337" width="7.875" style="248" customWidth="1"/>
    <col min="9338" max="9338" width="7.75" style="248" customWidth="1"/>
    <col min="9339" max="9342" width="8.875" style="248" customWidth="1"/>
    <col min="9343" max="9343" width="8.75" style="248" customWidth="1"/>
    <col min="9344" max="9344" width="8.625" style="248" customWidth="1"/>
    <col min="9345" max="9346" width="8.25" style="248" customWidth="1"/>
    <col min="9347" max="9347" width="7.625" style="248" customWidth="1"/>
    <col min="9348" max="9348" width="8" style="248" customWidth="1"/>
    <col min="9349" max="9349" width="7.125" style="248" customWidth="1"/>
    <col min="9350" max="9350" width="7.625" style="248" customWidth="1"/>
    <col min="9351" max="9351" width="8.875" style="248" customWidth="1"/>
    <col min="9352" max="9352" width="8.125" style="248" customWidth="1"/>
    <col min="9353" max="9357" width="8.875" style="248" customWidth="1"/>
    <col min="9358" max="9358" width="8" style="248" customWidth="1"/>
    <col min="9359" max="9359" width="7.75" style="248" customWidth="1"/>
    <col min="9360" max="9360" width="7.875" style="248" customWidth="1"/>
    <col min="9361" max="9361" width="7.375" style="248" customWidth="1"/>
    <col min="9362" max="9362" width="7.875" style="248" customWidth="1"/>
    <col min="9363" max="9369" width="8.875" style="248" customWidth="1"/>
    <col min="9370" max="9370" width="7.5" style="248" customWidth="1"/>
    <col min="9371" max="9371" width="7.25" style="248" customWidth="1"/>
    <col min="9372" max="9372" width="8.375" style="248" customWidth="1"/>
    <col min="9373" max="9373" width="7.25" style="248" customWidth="1"/>
    <col min="9374" max="9374" width="7.625" style="248" customWidth="1"/>
    <col min="9375" max="9472" width="9" style="248"/>
    <col min="9473" max="9473" width="4.5" style="248" bestFit="1" customWidth="1"/>
    <col min="9474" max="9474" width="69.125" style="248" customWidth="1"/>
    <col min="9475" max="9475" width="9.25" style="248" customWidth="1"/>
    <col min="9476" max="9476" width="8.625" style="248" customWidth="1"/>
    <col min="9477" max="9477" width="9.375" style="248" customWidth="1"/>
    <col min="9478" max="9478" width="10.25" style="248" customWidth="1"/>
    <col min="9479" max="9479" width="10.625" style="248" customWidth="1"/>
    <col min="9480" max="9480" width="10" style="248" customWidth="1"/>
    <col min="9481" max="9482" width="8.5" style="248" customWidth="1"/>
    <col min="9483" max="9483" width="7.5" style="248" customWidth="1"/>
    <col min="9484" max="9484" width="7.125" style="248" customWidth="1"/>
    <col min="9485" max="9485" width="8.125" style="248" customWidth="1"/>
    <col min="9486" max="9487" width="7.5" style="248" customWidth="1"/>
    <col min="9488" max="9488" width="8.625" style="248" customWidth="1"/>
    <col min="9489" max="9491" width="7.5" style="248" customWidth="1"/>
    <col min="9492" max="9492" width="8.375" style="248" customWidth="1"/>
    <col min="9493" max="9493" width="7.5" style="248" customWidth="1"/>
    <col min="9494" max="9494" width="8.25" style="248" customWidth="1"/>
    <col min="9495" max="9497" width="7.5" style="248" customWidth="1"/>
    <col min="9498" max="9498" width="8.25" style="248" customWidth="1"/>
    <col min="9499" max="9499" width="8.125" style="248" customWidth="1"/>
    <col min="9500" max="9500" width="8.25" style="248" customWidth="1"/>
    <col min="9501" max="9501" width="8.75" style="248" customWidth="1"/>
    <col min="9502" max="9502" width="7.125" style="248" customWidth="1"/>
    <col min="9503" max="9503" width="9.5" style="248" customWidth="1"/>
    <col min="9504" max="9504" width="8.625" style="248" customWidth="1"/>
    <col min="9505" max="9505" width="8.875" style="248" customWidth="1"/>
    <col min="9506" max="9506" width="8.125" style="248" customWidth="1"/>
    <col min="9507" max="9509" width="7.625" style="248" customWidth="1"/>
    <col min="9510" max="9510" width="6.5" style="248" customWidth="1"/>
    <col min="9511" max="9519" width="8.5" style="248" customWidth="1"/>
    <col min="9520" max="9520" width="7.5" style="248" customWidth="1"/>
    <col min="9521" max="9521" width="7.25" style="248" customWidth="1"/>
    <col min="9522" max="9522" width="8.5" style="248" customWidth="1"/>
    <col min="9523" max="9523" width="9.375" style="248" customWidth="1"/>
    <col min="9524" max="9526" width="8.5" style="248" customWidth="1"/>
    <col min="9527" max="9527" width="9.25" style="248" customWidth="1"/>
    <col min="9528" max="9530" width="8.5" style="248" customWidth="1"/>
    <col min="9531" max="9531" width="7.875" style="248" customWidth="1"/>
    <col min="9532" max="9532" width="8.5" style="248" customWidth="1"/>
    <col min="9533" max="9533" width="7.375" style="248" customWidth="1"/>
    <col min="9534" max="9534" width="7.625" style="248" customWidth="1"/>
    <col min="9535" max="9535" width="9.875" style="248" customWidth="1"/>
    <col min="9536" max="9536" width="8.25" style="248" customWidth="1"/>
    <col min="9537" max="9539" width="8.875" style="248" customWidth="1"/>
    <col min="9540" max="9540" width="8.75" style="248" customWidth="1"/>
    <col min="9541" max="9541" width="8" style="248" customWidth="1"/>
    <col min="9542" max="9542" width="8.25" style="248" customWidth="1"/>
    <col min="9543" max="9543" width="7.375" style="248" customWidth="1"/>
    <col min="9544" max="9544" width="8.875" style="248" customWidth="1"/>
    <col min="9545" max="9545" width="7.375" style="248" customWidth="1"/>
    <col min="9546" max="9546" width="6.625" style="248" customWidth="1"/>
    <col min="9547" max="9547" width="9.5" style="248" customWidth="1"/>
    <col min="9548" max="9548" width="8" style="248" customWidth="1"/>
    <col min="9549" max="9549" width="8.375" style="248" customWidth="1"/>
    <col min="9550" max="9550" width="8.5" style="248" customWidth="1"/>
    <col min="9551" max="9551" width="8" style="248" customWidth="1"/>
    <col min="9552" max="9552" width="7.875" style="248" customWidth="1"/>
    <col min="9553" max="9553" width="8" style="248" customWidth="1"/>
    <col min="9554" max="9554" width="8.5" style="248" customWidth="1"/>
    <col min="9555" max="9557" width="8.125" style="248" customWidth="1"/>
    <col min="9558" max="9558" width="8" style="248" customWidth="1"/>
    <col min="9559" max="9562" width="8.75" style="248" customWidth="1"/>
    <col min="9563" max="9563" width="7.625" style="248" customWidth="1"/>
    <col min="9564" max="9565" width="8.75" style="248" customWidth="1"/>
    <col min="9566" max="9566" width="7.75" style="248" customWidth="1"/>
    <col min="9567" max="9569" width="8" style="248" customWidth="1"/>
    <col min="9570" max="9570" width="7.875" style="248" customWidth="1"/>
    <col min="9571" max="9572" width="8.75" style="248" customWidth="1"/>
    <col min="9573" max="9573" width="8.375" style="248" customWidth="1"/>
    <col min="9574" max="9574" width="8" style="248" customWidth="1"/>
    <col min="9575" max="9575" width="7.875" style="248" customWidth="1"/>
    <col min="9576" max="9578" width="8.25" style="248" customWidth="1"/>
    <col min="9579" max="9581" width="8.125" style="248" customWidth="1"/>
    <col min="9582" max="9582" width="7.875" style="248" customWidth="1"/>
    <col min="9583" max="9583" width="8.875" style="248" customWidth="1"/>
    <col min="9584" max="9584" width="8.375" style="248" customWidth="1"/>
    <col min="9585" max="9585" width="8.25" style="248" customWidth="1"/>
    <col min="9586" max="9586" width="8.875" style="248" customWidth="1"/>
    <col min="9587" max="9587" width="8.125" style="248" customWidth="1"/>
    <col min="9588" max="9588" width="8.25" style="248" customWidth="1"/>
    <col min="9589" max="9589" width="8.875" style="248" customWidth="1"/>
    <col min="9590" max="9590" width="8" style="248" customWidth="1"/>
    <col min="9591" max="9593" width="7.875" style="248" customWidth="1"/>
    <col min="9594" max="9594" width="7.75" style="248" customWidth="1"/>
    <col min="9595" max="9598" width="8.875" style="248" customWidth="1"/>
    <col min="9599" max="9599" width="8.75" style="248" customWidth="1"/>
    <col min="9600" max="9600" width="8.625" style="248" customWidth="1"/>
    <col min="9601" max="9602" width="8.25" style="248" customWidth="1"/>
    <col min="9603" max="9603" width="7.625" style="248" customWidth="1"/>
    <col min="9604" max="9604" width="8" style="248" customWidth="1"/>
    <col min="9605" max="9605" width="7.125" style="248" customWidth="1"/>
    <col min="9606" max="9606" width="7.625" style="248" customWidth="1"/>
    <col min="9607" max="9607" width="8.875" style="248" customWidth="1"/>
    <col min="9608" max="9608" width="8.125" style="248" customWidth="1"/>
    <col min="9609" max="9613" width="8.875" style="248" customWidth="1"/>
    <col min="9614" max="9614" width="8" style="248" customWidth="1"/>
    <col min="9615" max="9615" width="7.75" style="248" customWidth="1"/>
    <col min="9616" max="9616" width="7.875" style="248" customWidth="1"/>
    <col min="9617" max="9617" width="7.375" style="248" customWidth="1"/>
    <col min="9618" max="9618" width="7.875" style="248" customWidth="1"/>
    <col min="9619" max="9625" width="8.875" style="248" customWidth="1"/>
    <col min="9626" max="9626" width="7.5" style="248" customWidth="1"/>
    <col min="9627" max="9627" width="7.25" style="248" customWidth="1"/>
    <col min="9628" max="9628" width="8.375" style="248" customWidth="1"/>
    <col min="9629" max="9629" width="7.25" style="248" customWidth="1"/>
    <col min="9630" max="9630" width="7.625" style="248" customWidth="1"/>
    <col min="9631" max="9728" width="9" style="248"/>
    <col min="9729" max="9729" width="4.5" style="248" bestFit="1" customWidth="1"/>
    <col min="9730" max="9730" width="69.125" style="248" customWidth="1"/>
    <col min="9731" max="9731" width="9.25" style="248" customWidth="1"/>
    <col min="9732" max="9732" width="8.625" style="248" customWidth="1"/>
    <col min="9733" max="9733" width="9.375" style="248" customWidth="1"/>
    <col min="9734" max="9734" width="10.25" style="248" customWidth="1"/>
    <col min="9735" max="9735" width="10.625" style="248" customWidth="1"/>
    <col min="9736" max="9736" width="10" style="248" customWidth="1"/>
    <col min="9737" max="9738" width="8.5" style="248" customWidth="1"/>
    <col min="9739" max="9739" width="7.5" style="248" customWidth="1"/>
    <col min="9740" max="9740" width="7.125" style="248" customWidth="1"/>
    <col min="9741" max="9741" width="8.125" style="248" customWidth="1"/>
    <col min="9742" max="9743" width="7.5" style="248" customWidth="1"/>
    <col min="9744" max="9744" width="8.625" style="248" customWidth="1"/>
    <col min="9745" max="9747" width="7.5" style="248" customWidth="1"/>
    <col min="9748" max="9748" width="8.375" style="248" customWidth="1"/>
    <col min="9749" max="9749" width="7.5" style="248" customWidth="1"/>
    <col min="9750" max="9750" width="8.25" style="248" customWidth="1"/>
    <col min="9751" max="9753" width="7.5" style="248" customWidth="1"/>
    <col min="9754" max="9754" width="8.25" style="248" customWidth="1"/>
    <col min="9755" max="9755" width="8.125" style="248" customWidth="1"/>
    <col min="9756" max="9756" width="8.25" style="248" customWidth="1"/>
    <col min="9757" max="9757" width="8.75" style="248" customWidth="1"/>
    <col min="9758" max="9758" width="7.125" style="248" customWidth="1"/>
    <col min="9759" max="9759" width="9.5" style="248" customWidth="1"/>
    <col min="9760" max="9760" width="8.625" style="248" customWidth="1"/>
    <col min="9761" max="9761" width="8.875" style="248" customWidth="1"/>
    <col min="9762" max="9762" width="8.125" style="248" customWidth="1"/>
    <col min="9763" max="9765" width="7.625" style="248" customWidth="1"/>
    <col min="9766" max="9766" width="6.5" style="248" customWidth="1"/>
    <col min="9767" max="9775" width="8.5" style="248" customWidth="1"/>
    <col min="9776" max="9776" width="7.5" style="248" customWidth="1"/>
    <col min="9777" max="9777" width="7.25" style="248" customWidth="1"/>
    <col min="9778" max="9778" width="8.5" style="248" customWidth="1"/>
    <col min="9779" max="9779" width="9.375" style="248" customWidth="1"/>
    <col min="9780" max="9782" width="8.5" style="248" customWidth="1"/>
    <col min="9783" max="9783" width="9.25" style="248" customWidth="1"/>
    <col min="9784" max="9786" width="8.5" style="248" customWidth="1"/>
    <col min="9787" max="9787" width="7.875" style="248" customWidth="1"/>
    <col min="9788" max="9788" width="8.5" style="248" customWidth="1"/>
    <col min="9789" max="9789" width="7.375" style="248" customWidth="1"/>
    <col min="9790" max="9790" width="7.625" style="248" customWidth="1"/>
    <col min="9791" max="9791" width="9.875" style="248" customWidth="1"/>
    <col min="9792" max="9792" width="8.25" style="248" customWidth="1"/>
    <col min="9793" max="9795" width="8.875" style="248" customWidth="1"/>
    <col min="9796" max="9796" width="8.75" style="248" customWidth="1"/>
    <col min="9797" max="9797" width="8" style="248" customWidth="1"/>
    <col min="9798" max="9798" width="8.25" style="248" customWidth="1"/>
    <col min="9799" max="9799" width="7.375" style="248" customWidth="1"/>
    <col min="9800" max="9800" width="8.875" style="248" customWidth="1"/>
    <col min="9801" max="9801" width="7.375" style="248" customWidth="1"/>
    <col min="9802" max="9802" width="6.625" style="248" customWidth="1"/>
    <col min="9803" max="9803" width="9.5" style="248" customWidth="1"/>
    <col min="9804" max="9804" width="8" style="248" customWidth="1"/>
    <col min="9805" max="9805" width="8.375" style="248" customWidth="1"/>
    <col min="9806" max="9806" width="8.5" style="248" customWidth="1"/>
    <col min="9807" max="9807" width="8" style="248" customWidth="1"/>
    <col min="9808" max="9808" width="7.875" style="248" customWidth="1"/>
    <col min="9809" max="9809" width="8" style="248" customWidth="1"/>
    <col min="9810" max="9810" width="8.5" style="248" customWidth="1"/>
    <col min="9811" max="9813" width="8.125" style="248" customWidth="1"/>
    <col min="9814" max="9814" width="8" style="248" customWidth="1"/>
    <col min="9815" max="9818" width="8.75" style="248" customWidth="1"/>
    <col min="9819" max="9819" width="7.625" style="248" customWidth="1"/>
    <col min="9820" max="9821" width="8.75" style="248" customWidth="1"/>
    <col min="9822" max="9822" width="7.75" style="248" customWidth="1"/>
    <col min="9823" max="9825" width="8" style="248" customWidth="1"/>
    <col min="9826" max="9826" width="7.875" style="248" customWidth="1"/>
    <col min="9827" max="9828" width="8.75" style="248" customWidth="1"/>
    <col min="9829" max="9829" width="8.375" style="248" customWidth="1"/>
    <col min="9830" max="9830" width="8" style="248" customWidth="1"/>
    <col min="9831" max="9831" width="7.875" style="248" customWidth="1"/>
    <col min="9832" max="9834" width="8.25" style="248" customWidth="1"/>
    <col min="9835" max="9837" width="8.125" style="248" customWidth="1"/>
    <col min="9838" max="9838" width="7.875" style="248" customWidth="1"/>
    <col min="9839" max="9839" width="8.875" style="248" customWidth="1"/>
    <col min="9840" max="9840" width="8.375" style="248" customWidth="1"/>
    <col min="9841" max="9841" width="8.25" style="248" customWidth="1"/>
    <col min="9842" max="9842" width="8.875" style="248" customWidth="1"/>
    <col min="9843" max="9843" width="8.125" style="248" customWidth="1"/>
    <col min="9844" max="9844" width="8.25" style="248" customWidth="1"/>
    <col min="9845" max="9845" width="8.875" style="248" customWidth="1"/>
    <col min="9846" max="9846" width="8" style="248" customWidth="1"/>
    <col min="9847" max="9849" width="7.875" style="248" customWidth="1"/>
    <col min="9850" max="9850" width="7.75" style="248" customWidth="1"/>
    <col min="9851" max="9854" width="8.875" style="248" customWidth="1"/>
    <col min="9855" max="9855" width="8.75" style="248" customWidth="1"/>
    <col min="9856" max="9856" width="8.625" style="248" customWidth="1"/>
    <col min="9857" max="9858" width="8.25" style="248" customWidth="1"/>
    <col min="9859" max="9859" width="7.625" style="248" customWidth="1"/>
    <col min="9860" max="9860" width="8" style="248" customWidth="1"/>
    <col min="9861" max="9861" width="7.125" style="248" customWidth="1"/>
    <col min="9862" max="9862" width="7.625" style="248" customWidth="1"/>
    <col min="9863" max="9863" width="8.875" style="248" customWidth="1"/>
    <col min="9864" max="9864" width="8.125" style="248" customWidth="1"/>
    <col min="9865" max="9869" width="8.875" style="248" customWidth="1"/>
    <col min="9870" max="9870" width="8" style="248" customWidth="1"/>
    <col min="9871" max="9871" width="7.75" style="248" customWidth="1"/>
    <col min="9872" max="9872" width="7.875" style="248" customWidth="1"/>
    <col min="9873" max="9873" width="7.375" style="248" customWidth="1"/>
    <col min="9874" max="9874" width="7.875" style="248" customWidth="1"/>
    <col min="9875" max="9881" width="8.875" style="248" customWidth="1"/>
    <col min="9882" max="9882" width="7.5" style="248" customWidth="1"/>
    <col min="9883" max="9883" width="7.25" style="248" customWidth="1"/>
    <col min="9884" max="9884" width="8.375" style="248" customWidth="1"/>
    <col min="9885" max="9885" width="7.25" style="248" customWidth="1"/>
    <col min="9886" max="9886" width="7.625" style="248" customWidth="1"/>
    <col min="9887" max="9984" width="9" style="248"/>
    <col min="9985" max="9985" width="4.5" style="248" bestFit="1" customWidth="1"/>
    <col min="9986" max="9986" width="69.125" style="248" customWidth="1"/>
    <col min="9987" max="9987" width="9.25" style="248" customWidth="1"/>
    <col min="9988" max="9988" width="8.625" style="248" customWidth="1"/>
    <col min="9989" max="9989" width="9.375" style="248" customWidth="1"/>
    <col min="9990" max="9990" width="10.25" style="248" customWidth="1"/>
    <col min="9991" max="9991" width="10.625" style="248" customWidth="1"/>
    <col min="9992" max="9992" width="10" style="248" customWidth="1"/>
    <col min="9993" max="9994" width="8.5" style="248" customWidth="1"/>
    <col min="9995" max="9995" width="7.5" style="248" customWidth="1"/>
    <col min="9996" max="9996" width="7.125" style="248" customWidth="1"/>
    <col min="9997" max="9997" width="8.125" style="248" customWidth="1"/>
    <col min="9998" max="9999" width="7.5" style="248" customWidth="1"/>
    <col min="10000" max="10000" width="8.625" style="248" customWidth="1"/>
    <col min="10001" max="10003" width="7.5" style="248" customWidth="1"/>
    <col min="10004" max="10004" width="8.375" style="248" customWidth="1"/>
    <col min="10005" max="10005" width="7.5" style="248" customWidth="1"/>
    <col min="10006" max="10006" width="8.25" style="248" customWidth="1"/>
    <col min="10007" max="10009" width="7.5" style="248" customWidth="1"/>
    <col min="10010" max="10010" width="8.25" style="248" customWidth="1"/>
    <col min="10011" max="10011" width="8.125" style="248" customWidth="1"/>
    <col min="10012" max="10012" width="8.25" style="248" customWidth="1"/>
    <col min="10013" max="10013" width="8.75" style="248" customWidth="1"/>
    <col min="10014" max="10014" width="7.125" style="248" customWidth="1"/>
    <col min="10015" max="10015" width="9.5" style="248" customWidth="1"/>
    <col min="10016" max="10016" width="8.625" style="248" customWidth="1"/>
    <col min="10017" max="10017" width="8.875" style="248" customWidth="1"/>
    <col min="10018" max="10018" width="8.125" style="248" customWidth="1"/>
    <col min="10019" max="10021" width="7.625" style="248" customWidth="1"/>
    <col min="10022" max="10022" width="6.5" style="248" customWidth="1"/>
    <col min="10023" max="10031" width="8.5" style="248" customWidth="1"/>
    <col min="10032" max="10032" width="7.5" style="248" customWidth="1"/>
    <col min="10033" max="10033" width="7.25" style="248" customWidth="1"/>
    <col min="10034" max="10034" width="8.5" style="248" customWidth="1"/>
    <col min="10035" max="10035" width="9.375" style="248" customWidth="1"/>
    <col min="10036" max="10038" width="8.5" style="248" customWidth="1"/>
    <col min="10039" max="10039" width="9.25" style="248" customWidth="1"/>
    <col min="10040" max="10042" width="8.5" style="248" customWidth="1"/>
    <col min="10043" max="10043" width="7.875" style="248" customWidth="1"/>
    <col min="10044" max="10044" width="8.5" style="248" customWidth="1"/>
    <col min="10045" max="10045" width="7.375" style="248" customWidth="1"/>
    <col min="10046" max="10046" width="7.625" style="248" customWidth="1"/>
    <col min="10047" max="10047" width="9.875" style="248" customWidth="1"/>
    <col min="10048" max="10048" width="8.25" style="248" customWidth="1"/>
    <col min="10049" max="10051" width="8.875" style="248" customWidth="1"/>
    <col min="10052" max="10052" width="8.75" style="248" customWidth="1"/>
    <col min="10053" max="10053" width="8" style="248" customWidth="1"/>
    <col min="10054" max="10054" width="8.25" style="248" customWidth="1"/>
    <col min="10055" max="10055" width="7.375" style="248" customWidth="1"/>
    <col min="10056" max="10056" width="8.875" style="248" customWidth="1"/>
    <col min="10057" max="10057" width="7.375" style="248" customWidth="1"/>
    <col min="10058" max="10058" width="6.625" style="248" customWidth="1"/>
    <col min="10059" max="10059" width="9.5" style="248" customWidth="1"/>
    <col min="10060" max="10060" width="8" style="248" customWidth="1"/>
    <col min="10061" max="10061" width="8.375" style="248" customWidth="1"/>
    <col min="10062" max="10062" width="8.5" style="248" customWidth="1"/>
    <col min="10063" max="10063" width="8" style="248" customWidth="1"/>
    <col min="10064" max="10064" width="7.875" style="248" customWidth="1"/>
    <col min="10065" max="10065" width="8" style="248" customWidth="1"/>
    <col min="10066" max="10066" width="8.5" style="248" customWidth="1"/>
    <col min="10067" max="10069" width="8.125" style="248" customWidth="1"/>
    <col min="10070" max="10070" width="8" style="248" customWidth="1"/>
    <col min="10071" max="10074" width="8.75" style="248" customWidth="1"/>
    <col min="10075" max="10075" width="7.625" style="248" customWidth="1"/>
    <col min="10076" max="10077" width="8.75" style="248" customWidth="1"/>
    <col min="10078" max="10078" width="7.75" style="248" customWidth="1"/>
    <col min="10079" max="10081" width="8" style="248" customWidth="1"/>
    <col min="10082" max="10082" width="7.875" style="248" customWidth="1"/>
    <col min="10083" max="10084" width="8.75" style="248" customWidth="1"/>
    <col min="10085" max="10085" width="8.375" style="248" customWidth="1"/>
    <col min="10086" max="10086" width="8" style="248" customWidth="1"/>
    <col min="10087" max="10087" width="7.875" style="248" customWidth="1"/>
    <col min="10088" max="10090" width="8.25" style="248" customWidth="1"/>
    <col min="10091" max="10093" width="8.125" style="248" customWidth="1"/>
    <col min="10094" max="10094" width="7.875" style="248" customWidth="1"/>
    <col min="10095" max="10095" width="8.875" style="248" customWidth="1"/>
    <col min="10096" max="10096" width="8.375" style="248" customWidth="1"/>
    <col min="10097" max="10097" width="8.25" style="248" customWidth="1"/>
    <col min="10098" max="10098" width="8.875" style="248" customWidth="1"/>
    <col min="10099" max="10099" width="8.125" style="248" customWidth="1"/>
    <col min="10100" max="10100" width="8.25" style="248" customWidth="1"/>
    <col min="10101" max="10101" width="8.875" style="248" customWidth="1"/>
    <col min="10102" max="10102" width="8" style="248" customWidth="1"/>
    <col min="10103" max="10105" width="7.875" style="248" customWidth="1"/>
    <col min="10106" max="10106" width="7.75" style="248" customWidth="1"/>
    <col min="10107" max="10110" width="8.875" style="248" customWidth="1"/>
    <col min="10111" max="10111" width="8.75" style="248" customWidth="1"/>
    <col min="10112" max="10112" width="8.625" style="248" customWidth="1"/>
    <col min="10113" max="10114" width="8.25" style="248" customWidth="1"/>
    <col min="10115" max="10115" width="7.625" style="248" customWidth="1"/>
    <col min="10116" max="10116" width="8" style="248" customWidth="1"/>
    <col min="10117" max="10117" width="7.125" style="248" customWidth="1"/>
    <col min="10118" max="10118" width="7.625" style="248" customWidth="1"/>
    <col min="10119" max="10119" width="8.875" style="248" customWidth="1"/>
    <col min="10120" max="10120" width="8.125" style="248" customWidth="1"/>
    <col min="10121" max="10125" width="8.875" style="248" customWidth="1"/>
    <col min="10126" max="10126" width="8" style="248" customWidth="1"/>
    <col min="10127" max="10127" width="7.75" style="248" customWidth="1"/>
    <col min="10128" max="10128" width="7.875" style="248" customWidth="1"/>
    <col min="10129" max="10129" width="7.375" style="248" customWidth="1"/>
    <col min="10130" max="10130" width="7.875" style="248" customWidth="1"/>
    <col min="10131" max="10137" width="8.875" style="248" customWidth="1"/>
    <col min="10138" max="10138" width="7.5" style="248" customWidth="1"/>
    <col min="10139" max="10139" width="7.25" style="248" customWidth="1"/>
    <col min="10140" max="10140" width="8.375" style="248" customWidth="1"/>
    <col min="10141" max="10141" width="7.25" style="248" customWidth="1"/>
    <col min="10142" max="10142" width="7.625" style="248" customWidth="1"/>
    <col min="10143" max="10240" width="9" style="248"/>
    <col min="10241" max="10241" width="4.5" style="248" bestFit="1" customWidth="1"/>
    <col min="10242" max="10242" width="69.125" style="248" customWidth="1"/>
    <col min="10243" max="10243" width="9.25" style="248" customWidth="1"/>
    <col min="10244" max="10244" width="8.625" style="248" customWidth="1"/>
    <col min="10245" max="10245" width="9.375" style="248" customWidth="1"/>
    <col min="10246" max="10246" width="10.25" style="248" customWidth="1"/>
    <col min="10247" max="10247" width="10.625" style="248" customWidth="1"/>
    <col min="10248" max="10248" width="10" style="248" customWidth="1"/>
    <col min="10249" max="10250" width="8.5" style="248" customWidth="1"/>
    <col min="10251" max="10251" width="7.5" style="248" customWidth="1"/>
    <col min="10252" max="10252" width="7.125" style="248" customWidth="1"/>
    <col min="10253" max="10253" width="8.125" style="248" customWidth="1"/>
    <col min="10254" max="10255" width="7.5" style="248" customWidth="1"/>
    <col min="10256" max="10256" width="8.625" style="248" customWidth="1"/>
    <col min="10257" max="10259" width="7.5" style="248" customWidth="1"/>
    <col min="10260" max="10260" width="8.375" style="248" customWidth="1"/>
    <col min="10261" max="10261" width="7.5" style="248" customWidth="1"/>
    <col min="10262" max="10262" width="8.25" style="248" customWidth="1"/>
    <col min="10263" max="10265" width="7.5" style="248" customWidth="1"/>
    <col min="10266" max="10266" width="8.25" style="248" customWidth="1"/>
    <col min="10267" max="10267" width="8.125" style="248" customWidth="1"/>
    <col min="10268" max="10268" width="8.25" style="248" customWidth="1"/>
    <col min="10269" max="10269" width="8.75" style="248" customWidth="1"/>
    <col min="10270" max="10270" width="7.125" style="248" customWidth="1"/>
    <col min="10271" max="10271" width="9.5" style="248" customWidth="1"/>
    <col min="10272" max="10272" width="8.625" style="248" customWidth="1"/>
    <col min="10273" max="10273" width="8.875" style="248" customWidth="1"/>
    <col min="10274" max="10274" width="8.125" style="248" customWidth="1"/>
    <col min="10275" max="10277" width="7.625" style="248" customWidth="1"/>
    <col min="10278" max="10278" width="6.5" style="248" customWidth="1"/>
    <col min="10279" max="10287" width="8.5" style="248" customWidth="1"/>
    <col min="10288" max="10288" width="7.5" style="248" customWidth="1"/>
    <col min="10289" max="10289" width="7.25" style="248" customWidth="1"/>
    <col min="10290" max="10290" width="8.5" style="248" customWidth="1"/>
    <col min="10291" max="10291" width="9.375" style="248" customWidth="1"/>
    <col min="10292" max="10294" width="8.5" style="248" customWidth="1"/>
    <col min="10295" max="10295" width="9.25" style="248" customWidth="1"/>
    <col min="10296" max="10298" width="8.5" style="248" customWidth="1"/>
    <col min="10299" max="10299" width="7.875" style="248" customWidth="1"/>
    <col min="10300" max="10300" width="8.5" style="248" customWidth="1"/>
    <col min="10301" max="10301" width="7.375" style="248" customWidth="1"/>
    <col min="10302" max="10302" width="7.625" style="248" customWidth="1"/>
    <col min="10303" max="10303" width="9.875" style="248" customWidth="1"/>
    <col min="10304" max="10304" width="8.25" style="248" customWidth="1"/>
    <col min="10305" max="10307" width="8.875" style="248" customWidth="1"/>
    <col min="10308" max="10308" width="8.75" style="248" customWidth="1"/>
    <col min="10309" max="10309" width="8" style="248" customWidth="1"/>
    <col min="10310" max="10310" width="8.25" style="248" customWidth="1"/>
    <col min="10311" max="10311" width="7.375" style="248" customWidth="1"/>
    <col min="10312" max="10312" width="8.875" style="248" customWidth="1"/>
    <col min="10313" max="10313" width="7.375" style="248" customWidth="1"/>
    <col min="10314" max="10314" width="6.625" style="248" customWidth="1"/>
    <col min="10315" max="10315" width="9.5" style="248" customWidth="1"/>
    <col min="10316" max="10316" width="8" style="248" customWidth="1"/>
    <col min="10317" max="10317" width="8.375" style="248" customWidth="1"/>
    <col min="10318" max="10318" width="8.5" style="248" customWidth="1"/>
    <col min="10319" max="10319" width="8" style="248" customWidth="1"/>
    <col min="10320" max="10320" width="7.875" style="248" customWidth="1"/>
    <col min="10321" max="10321" width="8" style="248" customWidth="1"/>
    <col min="10322" max="10322" width="8.5" style="248" customWidth="1"/>
    <col min="10323" max="10325" width="8.125" style="248" customWidth="1"/>
    <col min="10326" max="10326" width="8" style="248" customWidth="1"/>
    <col min="10327" max="10330" width="8.75" style="248" customWidth="1"/>
    <col min="10331" max="10331" width="7.625" style="248" customWidth="1"/>
    <col min="10332" max="10333" width="8.75" style="248" customWidth="1"/>
    <col min="10334" max="10334" width="7.75" style="248" customWidth="1"/>
    <col min="10335" max="10337" width="8" style="248" customWidth="1"/>
    <col min="10338" max="10338" width="7.875" style="248" customWidth="1"/>
    <col min="10339" max="10340" width="8.75" style="248" customWidth="1"/>
    <col min="10341" max="10341" width="8.375" style="248" customWidth="1"/>
    <col min="10342" max="10342" width="8" style="248" customWidth="1"/>
    <col min="10343" max="10343" width="7.875" style="248" customWidth="1"/>
    <col min="10344" max="10346" width="8.25" style="248" customWidth="1"/>
    <col min="10347" max="10349" width="8.125" style="248" customWidth="1"/>
    <col min="10350" max="10350" width="7.875" style="248" customWidth="1"/>
    <col min="10351" max="10351" width="8.875" style="248" customWidth="1"/>
    <col min="10352" max="10352" width="8.375" style="248" customWidth="1"/>
    <col min="10353" max="10353" width="8.25" style="248" customWidth="1"/>
    <col min="10354" max="10354" width="8.875" style="248" customWidth="1"/>
    <col min="10355" max="10355" width="8.125" style="248" customWidth="1"/>
    <col min="10356" max="10356" width="8.25" style="248" customWidth="1"/>
    <col min="10357" max="10357" width="8.875" style="248" customWidth="1"/>
    <col min="10358" max="10358" width="8" style="248" customWidth="1"/>
    <col min="10359" max="10361" width="7.875" style="248" customWidth="1"/>
    <col min="10362" max="10362" width="7.75" style="248" customWidth="1"/>
    <col min="10363" max="10366" width="8.875" style="248" customWidth="1"/>
    <col min="10367" max="10367" width="8.75" style="248" customWidth="1"/>
    <col min="10368" max="10368" width="8.625" style="248" customWidth="1"/>
    <col min="10369" max="10370" width="8.25" style="248" customWidth="1"/>
    <col min="10371" max="10371" width="7.625" style="248" customWidth="1"/>
    <col min="10372" max="10372" width="8" style="248" customWidth="1"/>
    <col min="10373" max="10373" width="7.125" style="248" customWidth="1"/>
    <col min="10374" max="10374" width="7.625" style="248" customWidth="1"/>
    <col min="10375" max="10375" width="8.875" style="248" customWidth="1"/>
    <col min="10376" max="10376" width="8.125" style="248" customWidth="1"/>
    <col min="10377" max="10381" width="8.875" style="248" customWidth="1"/>
    <col min="10382" max="10382" width="8" style="248" customWidth="1"/>
    <col min="10383" max="10383" width="7.75" style="248" customWidth="1"/>
    <col min="10384" max="10384" width="7.875" style="248" customWidth="1"/>
    <col min="10385" max="10385" width="7.375" style="248" customWidth="1"/>
    <col min="10386" max="10386" width="7.875" style="248" customWidth="1"/>
    <col min="10387" max="10393" width="8.875" style="248" customWidth="1"/>
    <col min="10394" max="10394" width="7.5" style="248" customWidth="1"/>
    <col min="10395" max="10395" width="7.25" style="248" customWidth="1"/>
    <col min="10396" max="10396" width="8.375" style="248" customWidth="1"/>
    <col min="10397" max="10397" width="7.25" style="248" customWidth="1"/>
    <col min="10398" max="10398" width="7.625" style="248" customWidth="1"/>
    <col min="10399" max="10496" width="9" style="248"/>
    <col min="10497" max="10497" width="4.5" style="248" bestFit="1" customWidth="1"/>
    <col min="10498" max="10498" width="69.125" style="248" customWidth="1"/>
    <col min="10499" max="10499" width="9.25" style="248" customWidth="1"/>
    <col min="10500" max="10500" width="8.625" style="248" customWidth="1"/>
    <col min="10501" max="10501" width="9.375" style="248" customWidth="1"/>
    <col min="10502" max="10502" width="10.25" style="248" customWidth="1"/>
    <col min="10503" max="10503" width="10.625" style="248" customWidth="1"/>
    <col min="10504" max="10504" width="10" style="248" customWidth="1"/>
    <col min="10505" max="10506" width="8.5" style="248" customWidth="1"/>
    <col min="10507" max="10507" width="7.5" style="248" customWidth="1"/>
    <col min="10508" max="10508" width="7.125" style="248" customWidth="1"/>
    <col min="10509" max="10509" width="8.125" style="248" customWidth="1"/>
    <col min="10510" max="10511" width="7.5" style="248" customWidth="1"/>
    <col min="10512" max="10512" width="8.625" style="248" customWidth="1"/>
    <col min="10513" max="10515" width="7.5" style="248" customWidth="1"/>
    <col min="10516" max="10516" width="8.375" style="248" customWidth="1"/>
    <col min="10517" max="10517" width="7.5" style="248" customWidth="1"/>
    <col min="10518" max="10518" width="8.25" style="248" customWidth="1"/>
    <col min="10519" max="10521" width="7.5" style="248" customWidth="1"/>
    <col min="10522" max="10522" width="8.25" style="248" customWidth="1"/>
    <col min="10523" max="10523" width="8.125" style="248" customWidth="1"/>
    <col min="10524" max="10524" width="8.25" style="248" customWidth="1"/>
    <col min="10525" max="10525" width="8.75" style="248" customWidth="1"/>
    <col min="10526" max="10526" width="7.125" style="248" customWidth="1"/>
    <col min="10527" max="10527" width="9.5" style="248" customWidth="1"/>
    <col min="10528" max="10528" width="8.625" style="248" customWidth="1"/>
    <col min="10529" max="10529" width="8.875" style="248" customWidth="1"/>
    <col min="10530" max="10530" width="8.125" style="248" customWidth="1"/>
    <col min="10531" max="10533" width="7.625" style="248" customWidth="1"/>
    <col min="10534" max="10534" width="6.5" style="248" customWidth="1"/>
    <col min="10535" max="10543" width="8.5" style="248" customWidth="1"/>
    <col min="10544" max="10544" width="7.5" style="248" customWidth="1"/>
    <col min="10545" max="10545" width="7.25" style="248" customWidth="1"/>
    <col min="10546" max="10546" width="8.5" style="248" customWidth="1"/>
    <col min="10547" max="10547" width="9.375" style="248" customWidth="1"/>
    <col min="10548" max="10550" width="8.5" style="248" customWidth="1"/>
    <col min="10551" max="10551" width="9.25" style="248" customWidth="1"/>
    <col min="10552" max="10554" width="8.5" style="248" customWidth="1"/>
    <col min="10555" max="10555" width="7.875" style="248" customWidth="1"/>
    <col min="10556" max="10556" width="8.5" style="248" customWidth="1"/>
    <col min="10557" max="10557" width="7.375" style="248" customWidth="1"/>
    <col min="10558" max="10558" width="7.625" style="248" customWidth="1"/>
    <col min="10559" max="10559" width="9.875" style="248" customWidth="1"/>
    <col min="10560" max="10560" width="8.25" style="248" customWidth="1"/>
    <col min="10561" max="10563" width="8.875" style="248" customWidth="1"/>
    <col min="10564" max="10564" width="8.75" style="248" customWidth="1"/>
    <col min="10565" max="10565" width="8" style="248" customWidth="1"/>
    <col min="10566" max="10566" width="8.25" style="248" customWidth="1"/>
    <col min="10567" max="10567" width="7.375" style="248" customWidth="1"/>
    <col min="10568" max="10568" width="8.875" style="248" customWidth="1"/>
    <col min="10569" max="10569" width="7.375" style="248" customWidth="1"/>
    <col min="10570" max="10570" width="6.625" style="248" customWidth="1"/>
    <col min="10571" max="10571" width="9.5" style="248" customWidth="1"/>
    <col min="10572" max="10572" width="8" style="248" customWidth="1"/>
    <col min="10573" max="10573" width="8.375" style="248" customWidth="1"/>
    <col min="10574" max="10574" width="8.5" style="248" customWidth="1"/>
    <col min="10575" max="10575" width="8" style="248" customWidth="1"/>
    <col min="10576" max="10576" width="7.875" style="248" customWidth="1"/>
    <col min="10577" max="10577" width="8" style="248" customWidth="1"/>
    <col min="10578" max="10578" width="8.5" style="248" customWidth="1"/>
    <col min="10579" max="10581" width="8.125" style="248" customWidth="1"/>
    <col min="10582" max="10582" width="8" style="248" customWidth="1"/>
    <col min="10583" max="10586" width="8.75" style="248" customWidth="1"/>
    <col min="10587" max="10587" width="7.625" style="248" customWidth="1"/>
    <col min="10588" max="10589" width="8.75" style="248" customWidth="1"/>
    <col min="10590" max="10590" width="7.75" style="248" customWidth="1"/>
    <col min="10591" max="10593" width="8" style="248" customWidth="1"/>
    <col min="10594" max="10594" width="7.875" style="248" customWidth="1"/>
    <col min="10595" max="10596" width="8.75" style="248" customWidth="1"/>
    <col min="10597" max="10597" width="8.375" style="248" customWidth="1"/>
    <col min="10598" max="10598" width="8" style="248" customWidth="1"/>
    <col min="10599" max="10599" width="7.875" style="248" customWidth="1"/>
    <col min="10600" max="10602" width="8.25" style="248" customWidth="1"/>
    <col min="10603" max="10605" width="8.125" style="248" customWidth="1"/>
    <col min="10606" max="10606" width="7.875" style="248" customWidth="1"/>
    <col min="10607" max="10607" width="8.875" style="248" customWidth="1"/>
    <col min="10608" max="10608" width="8.375" style="248" customWidth="1"/>
    <col min="10609" max="10609" width="8.25" style="248" customWidth="1"/>
    <col min="10610" max="10610" width="8.875" style="248" customWidth="1"/>
    <col min="10611" max="10611" width="8.125" style="248" customWidth="1"/>
    <col min="10612" max="10612" width="8.25" style="248" customWidth="1"/>
    <col min="10613" max="10613" width="8.875" style="248" customWidth="1"/>
    <col min="10614" max="10614" width="8" style="248" customWidth="1"/>
    <col min="10615" max="10617" width="7.875" style="248" customWidth="1"/>
    <col min="10618" max="10618" width="7.75" style="248" customWidth="1"/>
    <col min="10619" max="10622" width="8.875" style="248" customWidth="1"/>
    <col min="10623" max="10623" width="8.75" style="248" customWidth="1"/>
    <col min="10624" max="10624" width="8.625" style="248" customWidth="1"/>
    <col min="10625" max="10626" width="8.25" style="248" customWidth="1"/>
    <col min="10627" max="10627" width="7.625" style="248" customWidth="1"/>
    <col min="10628" max="10628" width="8" style="248" customWidth="1"/>
    <col min="10629" max="10629" width="7.125" style="248" customWidth="1"/>
    <col min="10630" max="10630" width="7.625" style="248" customWidth="1"/>
    <col min="10631" max="10631" width="8.875" style="248" customWidth="1"/>
    <col min="10632" max="10632" width="8.125" style="248" customWidth="1"/>
    <col min="10633" max="10637" width="8.875" style="248" customWidth="1"/>
    <col min="10638" max="10638" width="8" style="248" customWidth="1"/>
    <col min="10639" max="10639" width="7.75" style="248" customWidth="1"/>
    <col min="10640" max="10640" width="7.875" style="248" customWidth="1"/>
    <col min="10641" max="10641" width="7.375" style="248" customWidth="1"/>
    <col min="10642" max="10642" width="7.875" style="248" customWidth="1"/>
    <col min="10643" max="10649" width="8.875" style="248" customWidth="1"/>
    <col min="10650" max="10650" width="7.5" style="248" customWidth="1"/>
    <col min="10651" max="10651" width="7.25" style="248" customWidth="1"/>
    <col min="10652" max="10652" width="8.375" style="248" customWidth="1"/>
    <col min="10653" max="10653" width="7.25" style="248" customWidth="1"/>
    <col min="10654" max="10654" width="7.625" style="248" customWidth="1"/>
    <col min="10655" max="10752" width="9" style="248"/>
    <col min="10753" max="10753" width="4.5" style="248" bestFit="1" customWidth="1"/>
    <col min="10754" max="10754" width="69.125" style="248" customWidth="1"/>
    <col min="10755" max="10755" width="9.25" style="248" customWidth="1"/>
    <col min="10756" max="10756" width="8.625" style="248" customWidth="1"/>
    <col min="10757" max="10757" width="9.375" style="248" customWidth="1"/>
    <col min="10758" max="10758" width="10.25" style="248" customWidth="1"/>
    <col min="10759" max="10759" width="10.625" style="248" customWidth="1"/>
    <col min="10760" max="10760" width="10" style="248" customWidth="1"/>
    <col min="10761" max="10762" width="8.5" style="248" customWidth="1"/>
    <col min="10763" max="10763" width="7.5" style="248" customWidth="1"/>
    <col min="10764" max="10764" width="7.125" style="248" customWidth="1"/>
    <col min="10765" max="10765" width="8.125" style="248" customWidth="1"/>
    <col min="10766" max="10767" width="7.5" style="248" customWidth="1"/>
    <col min="10768" max="10768" width="8.625" style="248" customWidth="1"/>
    <col min="10769" max="10771" width="7.5" style="248" customWidth="1"/>
    <col min="10772" max="10772" width="8.375" style="248" customWidth="1"/>
    <col min="10773" max="10773" width="7.5" style="248" customWidth="1"/>
    <col min="10774" max="10774" width="8.25" style="248" customWidth="1"/>
    <col min="10775" max="10777" width="7.5" style="248" customWidth="1"/>
    <col min="10778" max="10778" width="8.25" style="248" customWidth="1"/>
    <col min="10779" max="10779" width="8.125" style="248" customWidth="1"/>
    <col min="10780" max="10780" width="8.25" style="248" customWidth="1"/>
    <col min="10781" max="10781" width="8.75" style="248" customWidth="1"/>
    <col min="10782" max="10782" width="7.125" style="248" customWidth="1"/>
    <col min="10783" max="10783" width="9.5" style="248" customWidth="1"/>
    <col min="10784" max="10784" width="8.625" style="248" customWidth="1"/>
    <col min="10785" max="10785" width="8.875" style="248" customWidth="1"/>
    <col min="10786" max="10786" width="8.125" style="248" customWidth="1"/>
    <col min="10787" max="10789" width="7.625" style="248" customWidth="1"/>
    <col min="10790" max="10790" width="6.5" style="248" customWidth="1"/>
    <col min="10791" max="10799" width="8.5" style="248" customWidth="1"/>
    <col min="10800" max="10800" width="7.5" style="248" customWidth="1"/>
    <col min="10801" max="10801" width="7.25" style="248" customWidth="1"/>
    <col min="10802" max="10802" width="8.5" style="248" customWidth="1"/>
    <col min="10803" max="10803" width="9.375" style="248" customWidth="1"/>
    <col min="10804" max="10806" width="8.5" style="248" customWidth="1"/>
    <col min="10807" max="10807" width="9.25" style="248" customWidth="1"/>
    <col min="10808" max="10810" width="8.5" style="248" customWidth="1"/>
    <col min="10811" max="10811" width="7.875" style="248" customWidth="1"/>
    <col min="10812" max="10812" width="8.5" style="248" customWidth="1"/>
    <col min="10813" max="10813" width="7.375" style="248" customWidth="1"/>
    <col min="10814" max="10814" width="7.625" style="248" customWidth="1"/>
    <col min="10815" max="10815" width="9.875" style="248" customWidth="1"/>
    <col min="10816" max="10816" width="8.25" style="248" customWidth="1"/>
    <col min="10817" max="10819" width="8.875" style="248" customWidth="1"/>
    <col min="10820" max="10820" width="8.75" style="248" customWidth="1"/>
    <col min="10821" max="10821" width="8" style="248" customWidth="1"/>
    <col min="10822" max="10822" width="8.25" style="248" customWidth="1"/>
    <col min="10823" max="10823" width="7.375" style="248" customWidth="1"/>
    <col min="10824" max="10824" width="8.875" style="248" customWidth="1"/>
    <col min="10825" max="10825" width="7.375" style="248" customWidth="1"/>
    <col min="10826" max="10826" width="6.625" style="248" customWidth="1"/>
    <col min="10827" max="10827" width="9.5" style="248" customWidth="1"/>
    <col min="10828" max="10828" width="8" style="248" customWidth="1"/>
    <col min="10829" max="10829" width="8.375" style="248" customWidth="1"/>
    <col min="10830" max="10830" width="8.5" style="248" customWidth="1"/>
    <col min="10831" max="10831" width="8" style="248" customWidth="1"/>
    <col min="10832" max="10832" width="7.875" style="248" customWidth="1"/>
    <col min="10833" max="10833" width="8" style="248" customWidth="1"/>
    <col min="10834" max="10834" width="8.5" style="248" customWidth="1"/>
    <col min="10835" max="10837" width="8.125" style="248" customWidth="1"/>
    <col min="10838" max="10838" width="8" style="248" customWidth="1"/>
    <col min="10839" max="10842" width="8.75" style="248" customWidth="1"/>
    <col min="10843" max="10843" width="7.625" style="248" customWidth="1"/>
    <col min="10844" max="10845" width="8.75" style="248" customWidth="1"/>
    <col min="10846" max="10846" width="7.75" style="248" customWidth="1"/>
    <col min="10847" max="10849" width="8" style="248" customWidth="1"/>
    <col min="10850" max="10850" width="7.875" style="248" customWidth="1"/>
    <col min="10851" max="10852" width="8.75" style="248" customWidth="1"/>
    <col min="10853" max="10853" width="8.375" style="248" customWidth="1"/>
    <col min="10854" max="10854" width="8" style="248" customWidth="1"/>
    <col min="10855" max="10855" width="7.875" style="248" customWidth="1"/>
    <col min="10856" max="10858" width="8.25" style="248" customWidth="1"/>
    <col min="10859" max="10861" width="8.125" style="248" customWidth="1"/>
    <col min="10862" max="10862" width="7.875" style="248" customWidth="1"/>
    <col min="10863" max="10863" width="8.875" style="248" customWidth="1"/>
    <col min="10864" max="10864" width="8.375" style="248" customWidth="1"/>
    <col min="10865" max="10865" width="8.25" style="248" customWidth="1"/>
    <col min="10866" max="10866" width="8.875" style="248" customWidth="1"/>
    <col min="10867" max="10867" width="8.125" style="248" customWidth="1"/>
    <col min="10868" max="10868" width="8.25" style="248" customWidth="1"/>
    <col min="10869" max="10869" width="8.875" style="248" customWidth="1"/>
    <col min="10870" max="10870" width="8" style="248" customWidth="1"/>
    <col min="10871" max="10873" width="7.875" style="248" customWidth="1"/>
    <col min="10874" max="10874" width="7.75" style="248" customWidth="1"/>
    <col min="10875" max="10878" width="8.875" style="248" customWidth="1"/>
    <col min="10879" max="10879" width="8.75" style="248" customWidth="1"/>
    <col min="10880" max="10880" width="8.625" style="248" customWidth="1"/>
    <col min="10881" max="10882" width="8.25" style="248" customWidth="1"/>
    <col min="10883" max="10883" width="7.625" style="248" customWidth="1"/>
    <col min="10884" max="10884" width="8" style="248" customWidth="1"/>
    <col min="10885" max="10885" width="7.125" style="248" customWidth="1"/>
    <col min="10886" max="10886" width="7.625" style="248" customWidth="1"/>
    <col min="10887" max="10887" width="8.875" style="248" customWidth="1"/>
    <col min="10888" max="10888" width="8.125" style="248" customWidth="1"/>
    <col min="10889" max="10893" width="8.875" style="248" customWidth="1"/>
    <col min="10894" max="10894" width="8" style="248" customWidth="1"/>
    <col min="10895" max="10895" width="7.75" style="248" customWidth="1"/>
    <col min="10896" max="10896" width="7.875" style="248" customWidth="1"/>
    <col min="10897" max="10897" width="7.375" style="248" customWidth="1"/>
    <col min="10898" max="10898" width="7.875" style="248" customWidth="1"/>
    <col min="10899" max="10905" width="8.875" style="248" customWidth="1"/>
    <col min="10906" max="10906" width="7.5" style="248" customWidth="1"/>
    <col min="10907" max="10907" width="7.25" style="248" customWidth="1"/>
    <col min="10908" max="10908" width="8.375" style="248" customWidth="1"/>
    <col min="10909" max="10909" width="7.25" style="248" customWidth="1"/>
    <col min="10910" max="10910" width="7.625" style="248" customWidth="1"/>
    <col min="10911" max="11008" width="9" style="248"/>
    <col min="11009" max="11009" width="4.5" style="248" bestFit="1" customWidth="1"/>
    <col min="11010" max="11010" width="69.125" style="248" customWidth="1"/>
    <col min="11011" max="11011" width="9.25" style="248" customWidth="1"/>
    <col min="11012" max="11012" width="8.625" style="248" customWidth="1"/>
    <col min="11013" max="11013" width="9.375" style="248" customWidth="1"/>
    <col min="11014" max="11014" width="10.25" style="248" customWidth="1"/>
    <col min="11015" max="11015" width="10.625" style="248" customWidth="1"/>
    <col min="11016" max="11016" width="10" style="248" customWidth="1"/>
    <col min="11017" max="11018" width="8.5" style="248" customWidth="1"/>
    <col min="11019" max="11019" width="7.5" style="248" customWidth="1"/>
    <col min="11020" max="11020" width="7.125" style="248" customWidth="1"/>
    <col min="11021" max="11021" width="8.125" style="248" customWidth="1"/>
    <col min="11022" max="11023" width="7.5" style="248" customWidth="1"/>
    <col min="11024" max="11024" width="8.625" style="248" customWidth="1"/>
    <col min="11025" max="11027" width="7.5" style="248" customWidth="1"/>
    <col min="11028" max="11028" width="8.375" style="248" customWidth="1"/>
    <col min="11029" max="11029" width="7.5" style="248" customWidth="1"/>
    <col min="11030" max="11030" width="8.25" style="248" customWidth="1"/>
    <col min="11031" max="11033" width="7.5" style="248" customWidth="1"/>
    <col min="11034" max="11034" width="8.25" style="248" customWidth="1"/>
    <col min="11035" max="11035" width="8.125" style="248" customWidth="1"/>
    <col min="11036" max="11036" width="8.25" style="248" customWidth="1"/>
    <col min="11037" max="11037" width="8.75" style="248" customWidth="1"/>
    <col min="11038" max="11038" width="7.125" style="248" customWidth="1"/>
    <col min="11039" max="11039" width="9.5" style="248" customWidth="1"/>
    <col min="11040" max="11040" width="8.625" style="248" customWidth="1"/>
    <col min="11041" max="11041" width="8.875" style="248" customWidth="1"/>
    <col min="11042" max="11042" width="8.125" style="248" customWidth="1"/>
    <col min="11043" max="11045" width="7.625" style="248" customWidth="1"/>
    <col min="11046" max="11046" width="6.5" style="248" customWidth="1"/>
    <col min="11047" max="11055" width="8.5" style="248" customWidth="1"/>
    <col min="11056" max="11056" width="7.5" style="248" customWidth="1"/>
    <col min="11057" max="11057" width="7.25" style="248" customWidth="1"/>
    <col min="11058" max="11058" width="8.5" style="248" customWidth="1"/>
    <col min="11059" max="11059" width="9.375" style="248" customWidth="1"/>
    <col min="11060" max="11062" width="8.5" style="248" customWidth="1"/>
    <col min="11063" max="11063" width="9.25" style="248" customWidth="1"/>
    <col min="11064" max="11066" width="8.5" style="248" customWidth="1"/>
    <col min="11067" max="11067" width="7.875" style="248" customWidth="1"/>
    <col min="11068" max="11068" width="8.5" style="248" customWidth="1"/>
    <col min="11069" max="11069" width="7.375" style="248" customWidth="1"/>
    <col min="11070" max="11070" width="7.625" style="248" customWidth="1"/>
    <col min="11071" max="11071" width="9.875" style="248" customWidth="1"/>
    <col min="11072" max="11072" width="8.25" style="248" customWidth="1"/>
    <col min="11073" max="11075" width="8.875" style="248" customWidth="1"/>
    <col min="11076" max="11076" width="8.75" style="248" customWidth="1"/>
    <col min="11077" max="11077" width="8" style="248" customWidth="1"/>
    <col min="11078" max="11078" width="8.25" style="248" customWidth="1"/>
    <col min="11079" max="11079" width="7.375" style="248" customWidth="1"/>
    <col min="11080" max="11080" width="8.875" style="248" customWidth="1"/>
    <col min="11081" max="11081" width="7.375" style="248" customWidth="1"/>
    <col min="11082" max="11082" width="6.625" style="248" customWidth="1"/>
    <col min="11083" max="11083" width="9.5" style="248" customWidth="1"/>
    <col min="11084" max="11084" width="8" style="248" customWidth="1"/>
    <col min="11085" max="11085" width="8.375" style="248" customWidth="1"/>
    <col min="11086" max="11086" width="8.5" style="248" customWidth="1"/>
    <col min="11087" max="11087" width="8" style="248" customWidth="1"/>
    <col min="11088" max="11088" width="7.875" style="248" customWidth="1"/>
    <col min="11089" max="11089" width="8" style="248" customWidth="1"/>
    <col min="11090" max="11090" width="8.5" style="248" customWidth="1"/>
    <col min="11091" max="11093" width="8.125" style="248" customWidth="1"/>
    <col min="11094" max="11094" width="8" style="248" customWidth="1"/>
    <col min="11095" max="11098" width="8.75" style="248" customWidth="1"/>
    <col min="11099" max="11099" width="7.625" style="248" customWidth="1"/>
    <col min="11100" max="11101" width="8.75" style="248" customWidth="1"/>
    <col min="11102" max="11102" width="7.75" style="248" customWidth="1"/>
    <col min="11103" max="11105" width="8" style="248" customWidth="1"/>
    <col min="11106" max="11106" width="7.875" style="248" customWidth="1"/>
    <col min="11107" max="11108" width="8.75" style="248" customWidth="1"/>
    <col min="11109" max="11109" width="8.375" style="248" customWidth="1"/>
    <col min="11110" max="11110" width="8" style="248" customWidth="1"/>
    <col min="11111" max="11111" width="7.875" style="248" customWidth="1"/>
    <col min="11112" max="11114" width="8.25" style="248" customWidth="1"/>
    <col min="11115" max="11117" width="8.125" style="248" customWidth="1"/>
    <col min="11118" max="11118" width="7.875" style="248" customWidth="1"/>
    <col min="11119" max="11119" width="8.875" style="248" customWidth="1"/>
    <col min="11120" max="11120" width="8.375" style="248" customWidth="1"/>
    <col min="11121" max="11121" width="8.25" style="248" customWidth="1"/>
    <col min="11122" max="11122" width="8.875" style="248" customWidth="1"/>
    <col min="11123" max="11123" width="8.125" style="248" customWidth="1"/>
    <col min="11124" max="11124" width="8.25" style="248" customWidth="1"/>
    <col min="11125" max="11125" width="8.875" style="248" customWidth="1"/>
    <col min="11126" max="11126" width="8" style="248" customWidth="1"/>
    <col min="11127" max="11129" width="7.875" style="248" customWidth="1"/>
    <col min="11130" max="11130" width="7.75" style="248" customWidth="1"/>
    <col min="11131" max="11134" width="8.875" style="248" customWidth="1"/>
    <col min="11135" max="11135" width="8.75" style="248" customWidth="1"/>
    <col min="11136" max="11136" width="8.625" style="248" customWidth="1"/>
    <col min="11137" max="11138" width="8.25" style="248" customWidth="1"/>
    <col min="11139" max="11139" width="7.625" style="248" customWidth="1"/>
    <col min="11140" max="11140" width="8" style="248" customWidth="1"/>
    <col min="11141" max="11141" width="7.125" style="248" customWidth="1"/>
    <col min="11142" max="11142" width="7.625" style="248" customWidth="1"/>
    <col min="11143" max="11143" width="8.875" style="248" customWidth="1"/>
    <col min="11144" max="11144" width="8.125" style="248" customWidth="1"/>
    <col min="11145" max="11149" width="8.875" style="248" customWidth="1"/>
    <col min="11150" max="11150" width="8" style="248" customWidth="1"/>
    <col min="11151" max="11151" width="7.75" style="248" customWidth="1"/>
    <col min="11152" max="11152" width="7.875" style="248" customWidth="1"/>
    <col min="11153" max="11153" width="7.375" style="248" customWidth="1"/>
    <col min="11154" max="11154" width="7.875" style="248" customWidth="1"/>
    <col min="11155" max="11161" width="8.875" style="248" customWidth="1"/>
    <col min="11162" max="11162" width="7.5" style="248" customWidth="1"/>
    <col min="11163" max="11163" width="7.25" style="248" customWidth="1"/>
    <col min="11164" max="11164" width="8.375" style="248" customWidth="1"/>
    <col min="11165" max="11165" width="7.25" style="248" customWidth="1"/>
    <col min="11166" max="11166" width="7.625" style="248" customWidth="1"/>
    <col min="11167" max="11264" width="9" style="248"/>
    <col min="11265" max="11265" width="4.5" style="248" bestFit="1" customWidth="1"/>
    <col min="11266" max="11266" width="69.125" style="248" customWidth="1"/>
    <col min="11267" max="11267" width="9.25" style="248" customWidth="1"/>
    <col min="11268" max="11268" width="8.625" style="248" customWidth="1"/>
    <col min="11269" max="11269" width="9.375" style="248" customWidth="1"/>
    <col min="11270" max="11270" width="10.25" style="248" customWidth="1"/>
    <col min="11271" max="11271" width="10.625" style="248" customWidth="1"/>
    <col min="11272" max="11272" width="10" style="248" customWidth="1"/>
    <col min="11273" max="11274" width="8.5" style="248" customWidth="1"/>
    <col min="11275" max="11275" width="7.5" style="248" customWidth="1"/>
    <col min="11276" max="11276" width="7.125" style="248" customWidth="1"/>
    <col min="11277" max="11277" width="8.125" style="248" customWidth="1"/>
    <col min="11278" max="11279" width="7.5" style="248" customWidth="1"/>
    <col min="11280" max="11280" width="8.625" style="248" customWidth="1"/>
    <col min="11281" max="11283" width="7.5" style="248" customWidth="1"/>
    <col min="11284" max="11284" width="8.375" style="248" customWidth="1"/>
    <col min="11285" max="11285" width="7.5" style="248" customWidth="1"/>
    <col min="11286" max="11286" width="8.25" style="248" customWidth="1"/>
    <col min="11287" max="11289" width="7.5" style="248" customWidth="1"/>
    <col min="11290" max="11290" width="8.25" style="248" customWidth="1"/>
    <col min="11291" max="11291" width="8.125" style="248" customWidth="1"/>
    <col min="11292" max="11292" width="8.25" style="248" customWidth="1"/>
    <col min="11293" max="11293" width="8.75" style="248" customWidth="1"/>
    <col min="11294" max="11294" width="7.125" style="248" customWidth="1"/>
    <col min="11295" max="11295" width="9.5" style="248" customWidth="1"/>
    <col min="11296" max="11296" width="8.625" style="248" customWidth="1"/>
    <col min="11297" max="11297" width="8.875" style="248" customWidth="1"/>
    <col min="11298" max="11298" width="8.125" style="248" customWidth="1"/>
    <col min="11299" max="11301" width="7.625" style="248" customWidth="1"/>
    <col min="11302" max="11302" width="6.5" style="248" customWidth="1"/>
    <col min="11303" max="11311" width="8.5" style="248" customWidth="1"/>
    <col min="11312" max="11312" width="7.5" style="248" customWidth="1"/>
    <col min="11313" max="11313" width="7.25" style="248" customWidth="1"/>
    <col min="11314" max="11314" width="8.5" style="248" customWidth="1"/>
    <col min="11315" max="11315" width="9.375" style="248" customWidth="1"/>
    <col min="11316" max="11318" width="8.5" style="248" customWidth="1"/>
    <col min="11319" max="11319" width="9.25" style="248" customWidth="1"/>
    <col min="11320" max="11322" width="8.5" style="248" customWidth="1"/>
    <col min="11323" max="11323" width="7.875" style="248" customWidth="1"/>
    <col min="11324" max="11324" width="8.5" style="248" customWidth="1"/>
    <col min="11325" max="11325" width="7.375" style="248" customWidth="1"/>
    <col min="11326" max="11326" width="7.625" style="248" customWidth="1"/>
    <col min="11327" max="11327" width="9.875" style="248" customWidth="1"/>
    <col min="11328" max="11328" width="8.25" style="248" customWidth="1"/>
    <col min="11329" max="11331" width="8.875" style="248" customWidth="1"/>
    <col min="11332" max="11332" width="8.75" style="248" customWidth="1"/>
    <col min="11333" max="11333" width="8" style="248" customWidth="1"/>
    <col min="11334" max="11334" width="8.25" style="248" customWidth="1"/>
    <col min="11335" max="11335" width="7.375" style="248" customWidth="1"/>
    <col min="11336" max="11336" width="8.875" style="248" customWidth="1"/>
    <col min="11337" max="11337" width="7.375" style="248" customWidth="1"/>
    <col min="11338" max="11338" width="6.625" style="248" customWidth="1"/>
    <col min="11339" max="11339" width="9.5" style="248" customWidth="1"/>
    <col min="11340" max="11340" width="8" style="248" customWidth="1"/>
    <col min="11341" max="11341" width="8.375" style="248" customWidth="1"/>
    <col min="11342" max="11342" width="8.5" style="248" customWidth="1"/>
    <col min="11343" max="11343" width="8" style="248" customWidth="1"/>
    <col min="11344" max="11344" width="7.875" style="248" customWidth="1"/>
    <col min="11345" max="11345" width="8" style="248" customWidth="1"/>
    <col min="11346" max="11346" width="8.5" style="248" customWidth="1"/>
    <col min="11347" max="11349" width="8.125" style="248" customWidth="1"/>
    <col min="11350" max="11350" width="8" style="248" customWidth="1"/>
    <col min="11351" max="11354" width="8.75" style="248" customWidth="1"/>
    <col min="11355" max="11355" width="7.625" style="248" customWidth="1"/>
    <col min="11356" max="11357" width="8.75" style="248" customWidth="1"/>
    <col min="11358" max="11358" width="7.75" style="248" customWidth="1"/>
    <col min="11359" max="11361" width="8" style="248" customWidth="1"/>
    <col min="11362" max="11362" width="7.875" style="248" customWidth="1"/>
    <col min="11363" max="11364" width="8.75" style="248" customWidth="1"/>
    <col min="11365" max="11365" width="8.375" style="248" customWidth="1"/>
    <col min="11366" max="11366" width="8" style="248" customWidth="1"/>
    <col min="11367" max="11367" width="7.875" style="248" customWidth="1"/>
    <col min="11368" max="11370" width="8.25" style="248" customWidth="1"/>
    <col min="11371" max="11373" width="8.125" style="248" customWidth="1"/>
    <col min="11374" max="11374" width="7.875" style="248" customWidth="1"/>
    <col min="11375" max="11375" width="8.875" style="248" customWidth="1"/>
    <col min="11376" max="11376" width="8.375" style="248" customWidth="1"/>
    <col min="11377" max="11377" width="8.25" style="248" customWidth="1"/>
    <col min="11378" max="11378" width="8.875" style="248" customWidth="1"/>
    <col min="11379" max="11379" width="8.125" style="248" customWidth="1"/>
    <col min="11380" max="11380" width="8.25" style="248" customWidth="1"/>
    <col min="11381" max="11381" width="8.875" style="248" customWidth="1"/>
    <col min="11382" max="11382" width="8" style="248" customWidth="1"/>
    <col min="11383" max="11385" width="7.875" style="248" customWidth="1"/>
    <col min="11386" max="11386" width="7.75" style="248" customWidth="1"/>
    <col min="11387" max="11390" width="8.875" style="248" customWidth="1"/>
    <col min="11391" max="11391" width="8.75" style="248" customWidth="1"/>
    <col min="11392" max="11392" width="8.625" style="248" customWidth="1"/>
    <col min="11393" max="11394" width="8.25" style="248" customWidth="1"/>
    <col min="11395" max="11395" width="7.625" style="248" customWidth="1"/>
    <col min="11396" max="11396" width="8" style="248" customWidth="1"/>
    <col min="11397" max="11397" width="7.125" style="248" customWidth="1"/>
    <col min="11398" max="11398" width="7.625" style="248" customWidth="1"/>
    <col min="11399" max="11399" width="8.875" style="248" customWidth="1"/>
    <col min="11400" max="11400" width="8.125" style="248" customWidth="1"/>
    <col min="11401" max="11405" width="8.875" style="248" customWidth="1"/>
    <col min="11406" max="11406" width="8" style="248" customWidth="1"/>
    <col min="11407" max="11407" width="7.75" style="248" customWidth="1"/>
    <col min="11408" max="11408" width="7.875" style="248" customWidth="1"/>
    <col min="11409" max="11409" width="7.375" style="248" customWidth="1"/>
    <col min="11410" max="11410" width="7.875" style="248" customWidth="1"/>
    <col min="11411" max="11417" width="8.875" style="248" customWidth="1"/>
    <col min="11418" max="11418" width="7.5" style="248" customWidth="1"/>
    <col min="11419" max="11419" width="7.25" style="248" customWidth="1"/>
    <col min="11420" max="11420" width="8.375" style="248" customWidth="1"/>
    <col min="11421" max="11421" width="7.25" style="248" customWidth="1"/>
    <col min="11422" max="11422" width="7.625" style="248" customWidth="1"/>
    <col min="11423" max="11520" width="9" style="248"/>
    <col min="11521" max="11521" width="4.5" style="248" bestFit="1" customWidth="1"/>
    <col min="11522" max="11522" width="69.125" style="248" customWidth="1"/>
    <col min="11523" max="11523" width="9.25" style="248" customWidth="1"/>
    <col min="11524" max="11524" width="8.625" style="248" customWidth="1"/>
    <col min="11525" max="11525" width="9.375" style="248" customWidth="1"/>
    <col min="11526" max="11526" width="10.25" style="248" customWidth="1"/>
    <col min="11527" max="11527" width="10.625" style="248" customWidth="1"/>
    <col min="11528" max="11528" width="10" style="248" customWidth="1"/>
    <col min="11529" max="11530" width="8.5" style="248" customWidth="1"/>
    <col min="11531" max="11531" width="7.5" style="248" customWidth="1"/>
    <col min="11532" max="11532" width="7.125" style="248" customWidth="1"/>
    <col min="11533" max="11533" width="8.125" style="248" customWidth="1"/>
    <col min="11534" max="11535" width="7.5" style="248" customWidth="1"/>
    <col min="11536" max="11536" width="8.625" style="248" customWidth="1"/>
    <col min="11537" max="11539" width="7.5" style="248" customWidth="1"/>
    <col min="11540" max="11540" width="8.375" style="248" customWidth="1"/>
    <col min="11541" max="11541" width="7.5" style="248" customWidth="1"/>
    <col min="11542" max="11542" width="8.25" style="248" customWidth="1"/>
    <col min="11543" max="11545" width="7.5" style="248" customWidth="1"/>
    <col min="11546" max="11546" width="8.25" style="248" customWidth="1"/>
    <col min="11547" max="11547" width="8.125" style="248" customWidth="1"/>
    <col min="11548" max="11548" width="8.25" style="248" customWidth="1"/>
    <col min="11549" max="11549" width="8.75" style="248" customWidth="1"/>
    <col min="11550" max="11550" width="7.125" style="248" customWidth="1"/>
    <col min="11551" max="11551" width="9.5" style="248" customWidth="1"/>
    <col min="11552" max="11552" width="8.625" style="248" customWidth="1"/>
    <col min="11553" max="11553" width="8.875" style="248" customWidth="1"/>
    <col min="11554" max="11554" width="8.125" style="248" customWidth="1"/>
    <col min="11555" max="11557" width="7.625" style="248" customWidth="1"/>
    <col min="11558" max="11558" width="6.5" style="248" customWidth="1"/>
    <col min="11559" max="11567" width="8.5" style="248" customWidth="1"/>
    <col min="11568" max="11568" width="7.5" style="248" customWidth="1"/>
    <col min="11569" max="11569" width="7.25" style="248" customWidth="1"/>
    <col min="11570" max="11570" width="8.5" style="248" customWidth="1"/>
    <col min="11571" max="11571" width="9.375" style="248" customWidth="1"/>
    <col min="11572" max="11574" width="8.5" style="248" customWidth="1"/>
    <col min="11575" max="11575" width="9.25" style="248" customWidth="1"/>
    <col min="11576" max="11578" width="8.5" style="248" customWidth="1"/>
    <col min="11579" max="11579" width="7.875" style="248" customWidth="1"/>
    <col min="11580" max="11580" width="8.5" style="248" customWidth="1"/>
    <col min="11581" max="11581" width="7.375" style="248" customWidth="1"/>
    <col min="11582" max="11582" width="7.625" style="248" customWidth="1"/>
    <col min="11583" max="11583" width="9.875" style="248" customWidth="1"/>
    <col min="11584" max="11584" width="8.25" style="248" customWidth="1"/>
    <col min="11585" max="11587" width="8.875" style="248" customWidth="1"/>
    <col min="11588" max="11588" width="8.75" style="248" customWidth="1"/>
    <col min="11589" max="11589" width="8" style="248" customWidth="1"/>
    <col min="11590" max="11590" width="8.25" style="248" customWidth="1"/>
    <col min="11591" max="11591" width="7.375" style="248" customWidth="1"/>
    <col min="11592" max="11592" width="8.875" style="248" customWidth="1"/>
    <col min="11593" max="11593" width="7.375" style="248" customWidth="1"/>
    <col min="11594" max="11594" width="6.625" style="248" customWidth="1"/>
    <col min="11595" max="11595" width="9.5" style="248" customWidth="1"/>
    <col min="11596" max="11596" width="8" style="248" customWidth="1"/>
    <col min="11597" max="11597" width="8.375" style="248" customWidth="1"/>
    <col min="11598" max="11598" width="8.5" style="248" customWidth="1"/>
    <col min="11599" max="11599" width="8" style="248" customWidth="1"/>
    <col min="11600" max="11600" width="7.875" style="248" customWidth="1"/>
    <col min="11601" max="11601" width="8" style="248" customWidth="1"/>
    <col min="11602" max="11602" width="8.5" style="248" customWidth="1"/>
    <col min="11603" max="11605" width="8.125" style="248" customWidth="1"/>
    <col min="11606" max="11606" width="8" style="248" customWidth="1"/>
    <col min="11607" max="11610" width="8.75" style="248" customWidth="1"/>
    <col min="11611" max="11611" width="7.625" style="248" customWidth="1"/>
    <col min="11612" max="11613" width="8.75" style="248" customWidth="1"/>
    <col min="11614" max="11614" width="7.75" style="248" customWidth="1"/>
    <col min="11615" max="11617" width="8" style="248" customWidth="1"/>
    <col min="11618" max="11618" width="7.875" style="248" customWidth="1"/>
    <col min="11619" max="11620" width="8.75" style="248" customWidth="1"/>
    <col min="11621" max="11621" width="8.375" style="248" customWidth="1"/>
    <col min="11622" max="11622" width="8" style="248" customWidth="1"/>
    <col min="11623" max="11623" width="7.875" style="248" customWidth="1"/>
    <col min="11624" max="11626" width="8.25" style="248" customWidth="1"/>
    <col min="11627" max="11629" width="8.125" style="248" customWidth="1"/>
    <col min="11630" max="11630" width="7.875" style="248" customWidth="1"/>
    <col min="11631" max="11631" width="8.875" style="248" customWidth="1"/>
    <col min="11632" max="11632" width="8.375" style="248" customWidth="1"/>
    <col min="11633" max="11633" width="8.25" style="248" customWidth="1"/>
    <col min="11634" max="11634" width="8.875" style="248" customWidth="1"/>
    <col min="11635" max="11635" width="8.125" style="248" customWidth="1"/>
    <col min="11636" max="11636" width="8.25" style="248" customWidth="1"/>
    <col min="11637" max="11637" width="8.875" style="248" customWidth="1"/>
    <col min="11638" max="11638" width="8" style="248" customWidth="1"/>
    <col min="11639" max="11641" width="7.875" style="248" customWidth="1"/>
    <col min="11642" max="11642" width="7.75" style="248" customWidth="1"/>
    <col min="11643" max="11646" width="8.875" style="248" customWidth="1"/>
    <col min="11647" max="11647" width="8.75" style="248" customWidth="1"/>
    <col min="11648" max="11648" width="8.625" style="248" customWidth="1"/>
    <col min="11649" max="11650" width="8.25" style="248" customWidth="1"/>
    <col min="11651" max="11651" width="7.625" style="248" customWidth="1"/>
    <col min="11652" max="11652" width="8" style="248" customWidth="1"/>
    <col min="11653" max="11653" width="7.125" style="248" customWidth="1"/>
    <col min="11654" max="11654" width="7.625" style="248" customWidth="1"/>
    <col min="11655" max="11655" width="8.875" style="248" customWidth="1"/>
    <col min="11656" max="11656" width="8.125" style="248" customWidth="1"/>
    <col min="11657" max="11661" width="8.875" style="248" customWidth="1"/>
    <col min="11662" max="11662" width="8" style="248" customWidth="1"/>
    <col min="11663" max="11663" width="7.75" style="248" customWidth="1"/>
    <col min="11664" max="11664" width="7.875" style="248" customWidth="1"/>
    <col min="11665" max="11665" width="7.375" style="248" customWidth="1"/>
    <col min="11666" max="11666" width="7.875" style="248" customWidth="1"/>
    <col min="11667" max="11673" width="8.875" style="248" customWidth="1"/>
    <col min="11674" max="11674" width="7.5" style="248" customWidth="1"/>
    <col min="11675" max="11675" width="7.25" style="248" customWidth="1"/>
    <col min="11676" max="11676" width="8.375" style="248" customWidth="1"/>
    <col min="11677" max="11677" width="7.25" style="248" customWidth="1"/>
    <col min="11678" max="11678" width="7.625" style="248" customWidth="1"/>
    <col min="11679" max="11776" width="9" style="248"/>
    <col min="11777" max="11777" width="4.5" style="248" bestFit="1" customWidth="1"/>
    <col min="11778" max="11778" width="69.125" style="248" customWidth="1"/>
    <col min="11779" max="11779" width="9.25" style="248" customWidth="1"/>
    <col min="11780" max="11780" width="8.625" style="248" customWidth="1"/>
    <col min="11781" max="11781" width="9.375" style="248" customWidth="1"/>
    <col min="11782" max="11782" width="10.25" style="248" customWidth="1"/>
    <col min="11783" max="11783" width="10.625" style="248" customWidth="1"/>
    <col min="11784" max="11784" width="10" style="248" customWidth="1"/>
    <col min="11785" max="11786" width="8.5" style="248" customWidth="1"/>
    <col min="11787" max="11787" width="7.5" style="248" customWidth="1"/>
    <col min="11788" max="11788" width="7.125" style="248" customWidth="1"/>
    <col min="11789" max="11789" width="8.125" style="248" customWidth="1"/>
    <col min="11790" max="11791" width="7.5" style="248" customWidth="1"/>
    <col min="11792" max="11792" width="8.625" style="248" customWidth="1"/>
    <col min="11793" max="11795" width="7.5" style="248" customWidth="1"/>
    <col min="11796" max="11796" width="8.375" style="248" customWidth="1"/>
    <col min="11797" max="11797" width="7.5" style="248" customWidth="1"/>
    <col min="11798" max="11798" width="8.25" style="248" customWidth="1"/>
    <col min="11799" max="11801" width="7.5" style="248" customWidth="1"/>
    <col min="11802" max="11802" width="8.25" style="248" customWidth="1"/>
    <col min="11803" max="11803" width="8.125" style="248" customWidth="1"/>
    <col min="11804" max="11804" width="8.25" style="248" customWidth="1"/>
    <col min="11805" max="11805" width="8.75" style="248" customWidth="1"/>
    <col min="11806" max="11806" width="7.125" style="248" customWidth="1"/>
    <col min="11807" max="11807" width="9.5" style="248" customWidth="1"/>
    <col min="11808" max="11808" width="8.625" style="248" customWidth="1"/>
    <col min="11809" max="11809" width="8.875" style="248" customWidth="1"/>
    <col min="11810" max="11810" width="8.125" style="248" customWidth="1"/>
    <col min="11811" max="11813" width="7.625" style="248" customWidth="1"/>
    <col min="11814" max="11814" width="6.5" style="248" customWidth="1"/>
    <col min="11815" max="11823" width="8.5" style="248" customWidth="1"/>
    <col min="11824" max="11824" width="7.5" style="248" customWidth="1"/>
    <col min="11825" max="11825" width="7.25" style="248" customWidth="1"/>
    <col min="11826" max="11826" width="8.5" style="248" customWidth="1"/>
    <col min="11827" max="11827" width="9.375" style="248" customWidth="1"/>
    <col min="11828" max="11830" width="8.5" style="248" customWidth="1"/>
    <col min="11831" max="11831" width="9.25" style="248" customWidth="1"/>
    <col min="11832" max="11834" width="8.5" style="248" customWidth="1"/>
    <col min="11835" max="11835" width="7.875" style="248" customWidth="1"/>
    <col min="11836" max="11836" width="8.5" style="248" customWidth="1"/>
    <col min="11837" max="11837" width="7.375" style="248" customWidth="1"/>
    <col min="11838" max="11838" width="7.625" style="248" customWidth="1"/>
    <col min="11839" max="11839" width="9.875" style="248" customWidth="1"/>
    <col min="11840" max="11840" width="8.25" style="248" customWidth="1"/>
    <col min="11841" max="11843" width="8.875" style="248" customWidth="1"/>
    <col min="11844" max="11844" width="8.75" style="248" customWidth="1"/>
    <col min="11845" max="11845" width="8" style="248" customWidth="1"/>
    <col min="11846" max="11846" width="8.25" style="248" customWidth="1"/>
    <col min="11847" max="11847" width="7.375" style="248" customWidth="1"/>
    <col min="11848" max="11848" width="8.875" style="248" customWidth="1"/>
    <col min="11849" max="11849" width="7.375" style="248" customWidth="1"/>
    <col min="11850" max="11850" width="6.625" style="248" customWidth="1"/>
    <col min="11851" max="11851" width="9.5" style="248" customWidth="1"/>
    <col min="11852" max="11852" width="8" style="248" customWidth="1"/>
    <col min="11853" max="11853" width="8.375" style="248" customWidth="1"/>
    <col min="11854" max="11854" width="8.5" style="248" customWidth="1"/>
    <col min="11855" max="11855" width="8" style="248" customWidth="1"/>
    <col min="11856" max="11856" width="7.875" style="248" customWidth="1"/>
    <col min="11857" max="11857" width="8" style="248" customWidth="1"/>
    <col min="11858" max="11858" width="8.5" style="248" customWidth="1"/>
    <col min="11859" max="11861" width="8.125" style="248" customWidth="1"/>
    <col min="11862" max="11862" width="8" style="248" customWidth="1"/>
    <col min="11863" max="11866" width="8.75" style="248" customWidth="1"/>
    <col min="11867" max="11867" width="7.625" style="248" customWidth="1"/>
    <col min="11868" max="11869" width="8.75" style="248" customWidth="1"/>
    <col min="11870" max="11870" width="7.75" style="248" customWidth="1"/>
    <col min="11871" max="11873" width="8" style="248" customWidth="1"/>
    <col min="11874" max="11874" width="7.875" style="248" customWidth="1"/>
    <col min="11875" max="11876" width="8.75" style="248" customWidth="1"/>
    <col min="11877" max="11877" width="8.375" style="248" customWidth="1"/>
    <col min="11878" max="11878" width="8" style="248" customWidth="1"/>
    <col min="11879" max="11879" width="7.875" style="248" customWidth="1"/>
    <col min="11880" max="11882" width="8.25" style="248" customWidth="1"/>
    <col min="11883" max="11885" width="8.125" style="248" customWidth="1"/>
    <col min="11886" max="11886" width="7.875" style="248" customWidth="1"/>
    <col min="11887" max="11887" width="8.875" style="248" customWidth="1"/>
    <col min="11888" max="11888" width="8.375" style="248" customWidth="1"/>
    <col min="11889" max="11889" width="8.25" style="248" customWidth="1"/>
    <col min="11890" max="11890" width="8.875" style="248" customWidth="1"/>
    <col min="11891" max="11891" width="8.125" style="248" customWidth="1"/>
    <col min="11892" max="11892" width="8.25" style="248" customWidth="1"/>
    <col min="11893" max="11893" width="8.875" style="248" customWidth="1"/>
    <col min="11894" max="11894" width="8" style="248" customWidth="1"/>
    <col min="11895" max="11897" width="7.875" style="248" customWidth="1"/>
    <col min="11898" max="11898" width="7.75" style="248" customWidth="1"/>
    <col min="11899" max="11902" width="8.875" style="248" customWidth="1"/>
    <col min="11903" max="11903" width="8.75" style="248" customWidth="1"/>
    <col min="11904" max="11904" width="8.625" style="248" customWidth="1"/>
    <col min="11905" max="11906" width="8.25" style="248" customWidth="1"/>
    <col min="11907" max="11907" width="7.625" style="248" customWidth="1"/>
    <col min="11908" max="11908" width="8" style="248" customWidth="1"/>
    <col min="11909" max="11909" width="7.125" style="248" customWidth="1"/>
    <col min="11910" max="11910" width="7.625" style="248" customWidth="1"/>
    <col min="11911" max="11911" width="8.875" style="248" customWidth="1"/>
    <col min="11912" max="11912" width="8.125" style="248" customWidth="1"/>
    <col min="11913" max="11917" width="8.875" style="248" customWidth="1"/>
    <col min="11918" max="11918" width="8" style="248" customWidth="1"/>
    <col min="11919" max="11919" width="7.75" style="248" customWidth="1"/>
    <col min="11920" max="11920" width="7.875" style="248" customWidth="1"/>
    <col min="11921" max="11921" width="7.375" style="248" customWidth="1"/>
    <col min="11922" max="11922" width="7.875" style="248" customWidth="1"/>
    <col min="11923" max="11929" width="8.875" style="248" customWidth="1"/>
    <col min="11930" max="11930" width="7.5" style="248" customWidth="1"/>
    <col min="11931" max="11931" width="7.25" style="248" customWidth="1"/>
    <col min="11932" max="11932" width="8.375" style="248" customWidth="1"/>
    <col min="11933" max="11933" width="7.25" style="248" customWidth="1"/>
    <col min="11934" max="11934" width="7.625" style="248" customWidth="1"/>
    <col min="11935" max="12032" width="9" style="248"/>
    <col min="12033" max="12033" width="4.5" style="248" bestFit="1" customWidth="1"/>
    <col min="12034" max="12034" width="69.125" style="248" customWidth="1"/>
    <col min="12035" max="12035" width="9.25" style="248" customWidth="1"/>
    <col min="12036" max="12036" width="8.625" style="248" customWidth="1"/>
    <col min="12037" max="12037" width="9.375" style="248" customWidth="1"/>
    <col min="12038" max="12038" width="10.25" style="248" customWidth="1"/>
    <col min="12039" max="12039" width="10.625" style="248" customWidth="1"/>
    <col min="12040" max="12040" width="10" style="248" customWidth="1"/>
    <col min="12041" max="12042" width="8.5" style="248" customWidth="1"/>
    <col min="12043" max="12043" width="7.5" style="248" customWidth="1"/>
    <col min="12044" max="12044" width="7.125" style="248" customWidth="1"/>
    <col min="12045" max="12045" width="8.125" style="248" customWidth="1"/>
    <col min="12046" max="12047" width="7.5" style="248" customWidth="1"/>
    <col min="12048" max="12048" width="8.625" style="248" customWidth="1"/>
    <col min="12049" max="12051" width="7.5" style="248" customWidth="1"/>
    <col min="12052" max="12052" width="8.375" style="248" customWidth="1"/>
    <col min="12053" max="12053" width="7.5" style="248" customWidth="1"/>
    <col min="12054" max="12054" width="8.25" style="248" customWidth="1"/>
    <col min="12055" max="12057" width="7.5" style="248" customWidth="1"/>
    <col min="12058" max="12058" width="8.25" style="248" customWidth="1"/>
    <col min="12059" max="12059" width="8.125" style="248" customWidth="1"/>
    <col min="12060" max="12060" width="8.25" style="248" customWidth="1"/>
    <col min="12061" max="12061" width="8.75" style="248" customWidth="1"/>
    <col min="12062" max="12062" width="7.125" style="248" customWidth="1"/>
    <col min="12063" max="12063" width="9.5" style="248" customWidth="1"/>
    <col min="12064" max="12064" width="8.625" style="248" customWidth="1"/>
    <col min="12065" max="12065" width="8.875" style="248" customWidth="1"/>
    <col min="12066" max="12066" width="8.125" style="248" customWidth="1"/>
    <col min="12067" max="12069" width="7.625" style="248" customWidth="1"/>
    <col min="12070" max="12070" width="6.5" style="248" customWidth="1"/>
    <col min="12071" max="12079" width="8.5" style="248" customWidth="1"/>
    <col min="12080" max="12080" width="7.5" style="248" customWidth="1"/>
    <col min="12081" max="12081" width="7.25" style="248" customWidth="1"/>
    <col min="12082" max="12082" width="8.5" style="248" customWidth="1"/>
    <col min="12083" max="12083" width="9.375" style="248" customWidth="1"/>
    <col min="12084" max="12086" width="8.5" style="248" customWidth="1"/>
    <col min="12087" max="12087" width="9.25" style="248" customWidth="1"/>
    <col min="12088" max="12090" width="8.5" style="248" customWidth="1"/>
    <col min="12091" max="12091" width="7.875" style="248" customWidth="1"/>
    <col min="12092" max="12092" width="8.5" style="248" customWidth="1"/>
    <col min="12093" max="12093" width="7.375" style="248" customWidth="1"/>
    <col min="12094" max="12094" width="7.625" style="248" customWidth="1"/>
    <col min="12095" max="12095" width="9.875" style="248" customWidth="1"/>
    <col min="12096" max="12096" width="8.25" style="248" customWidth="1"/>
    <col min="12097" max="12099" width="8.875" style="248" customWidth="1"/>
    <col min="12100" max="12100" width="8.75" style="248" customWidth="1"/>
    <col min="12101" max="12101" width="8" style="248" customWidth="1"/>
    <col min="12102" max="12102" width="8.25" style="248" customWidth="1"/>
    <col min="12103" max="12103" width="7.375" style="248" customWidth="1"/>
    <col min="12104" max="12104" width="8.875" style="248" customWidth="1"/>
    <col min="12105" max="12105" width="7.375" style="248" customWidth="1"/>
    <col min="12106" max="12106" width="6.625" style="248" customWidth="1"/>
    <col min="12107" max="12107" width="9.5" style="248" customWidth="1"/>
    <col min="12108" max="12108" width="8" style="248" customWidth="1"/>
    <col min="12109" max="12109" width="8.375" style="248" customWidth="1"/>
    <col min="12110" max="12110" width="8.5" style="248" customWidth="1"/>
    <col min="12111" max="12111" width="8" style="248" customWidth="1"/>
    <col min="12112" max="12112" width="7.875" style="248" customWidth="1"/>
    <col min="12113" max="12113" width="8" style="248" customWidth="1"/>
    <col min="12114" max="12114" width="8.5" style="248" customWidth="1"/>
    <col min="12115" max="12117" width="8.125" style="248" customWidth="1"/>
    <col min="12118" max="12118" width="8" style="248" customWidth="1"/>
    <col min="12119" max="12122" width="8.75" style="248" customWidth="1"/>
    <col min="12123" max="12123" width="7.625" style="248" customWidth="1"/>
    <col min="12124" max="12125" width="8.75" style="248" customWidth="1"/>
    <col min="12126" max="12126" width="7.75" style="248" customWidth="1"/>
    <col min="12127" max="12129" width="8" style="248" customWidth="1"/>
    <col min="12130" max="12130" width="7.875" style="248" customWidth="1"/>
    <col min="12131" max="12132" width="8.75" style="248" customWidth="1"/>
    <col min="12133" max="12133" width="8.375" style="248" customWidth="1"/>
    <col min="12134" max="12134" width="8" style="248" customWidth="1"/>
    <col min="12135" max="12135" width="7.875" style="248" customWidth="1"/>
    <col min="12136" max="12138" width="8.25" style="248" customWidth="1"/>
    <col min="12139" max="12141" width="8.125" style="248" customWidth="1"/>
    <col min="12142" max="12142" width="7.875" style="248" customWidth="1"/>
    <col min="12143" max="12143" width="8.875" style="248" customWidth="1"/>
    <col min="12144" max="12144" width="8.375" style="248" customWidth="1"/>
    <col min="12145" max="12145" width="8.25" style="248" customWidth="1"/>
    <col min="12146" max="12146" width="8.875" style="248" customWidth="1"/>
    <col min="12147" max="12147" width="8.125" style="248" customWidth="1"/>
    <col min="12148" max="12148" width="8.25" style="248" customWidth="1"/>
    <col min="12149" max="12149" width="8.875" style="248" customWidth="1"/>
    <col min="12150" max="12150" width="8" style="248" customWidth="1"/>
    <col min="12151" max="12153" width="7.875" style="248" customWidth="1"/>
    <col min="12154" max="12154" width="7.75" style="248" customWidth="1"/>
    <col min="12155" max="12158" width="8.875" style="248" customWidth="1"/>
    <col min="12159" max="12159" width="8.75" style="248" customWidth="1"/>
    <col min="12160" max="12160" width="8.625" style="248" customWidth="1"/>
    <col min="12161" max="12162" width="8.25" style="248" customWidth="1"/>
    <col min="12163" max="12163" width="7.625" style="248" customWidth="1"/>
    <col min="12164" max="12164" width="8" style="248" customWidth="1"/>
    <col min="12165" max="12165" width="7.125" style="248" customWidth="1"/>
    <col min="12166" max="12166" width="7.625" style="248" customWidth="1"/>
    <col min="12167" max="12167" width="8.875" style="248" customWidth="1"/>
    <col min="12168" max="12168" width="8.125" style="248" customWidth="1"/>
    <col min="12169" max="12173" width="8.875" style="248" customWidth="1"/>
    <col min="12174" max="12174" width="8" style="248" customWidth="1"/>
    <col min="12175" max="12175" width="7.75" style="248" customWidth="1"/>
    <col min="12176" max="12176" width="7.875" style="248" customWidth="1"/>
    <col min="12177" max="12177" width="7.375" style="248" customWidth="1"/>
    <col min="12178" max="12178" width="7.875" style="248" customWidth="1"/>
    <col min="12179" max="12185" width="8.875" style="248" customWidth="1"/>
    <col min="12186" max="12186" width="7.5" style="248" customWidth="1"/>
    <col min="12187" max="12187" width="7.25" style="248" customWidth="1"/>
    <col min="12188" max="12188" width="8.375" style="248" customWidth="1"/>
    <col min="12189" max="12189" width="7.25" style="248" customWidth="1"/>
    <col min="12190" max="12190" width="7.625" style="248" customWidth="1"/>
    <col min="12191" max="12288" width="9" style="248"/>
    <col min="12289" max="12289" width="4.5" style="248" bestFit="1" customWidth="1"/>
    <col min="12290" max="12290" width="69.125" style="248" customWidth="1"/>
    <col min="12291" max="12291" width="9.25" style="248" customWidth="1"/>
    <col min="12292" max="12292" width="8.625" style="248" customWidth="1"/>
    <col min="12293" max="12293" width="9.375" style="248" customWidth="1"/>
    <col min="12294" max="12294" width="10.25" style="248" customWidth="1"/>
    <col min="12295" max="12295" width="10.625" style="248" customWidth="1"/>
    <col min="12296" max="12296" width="10" style="248" customWidth="1"/>
    <col min="12297" max="12298" width="8.5" style="248" customWidth="1"/>
    <col min="12299" max="12299" width="7.5" style="248" customWidth="1"/>
    <col min="12300" max="12300" width="7.125" style="248" customWidth="1"/>
    <col min="12301" max="12301" width="8.125" style="248" customWidth="1"/>
    <col min="12302" max="12303" width="7.5" style="248" customWidth="1"/>
    <col min="12304" max="12304" width="8.625" style="248" customWidth="1"/>
    <col min="12305" max="12307" width="7.5" style="248" customWidth="1"/>
    <col min="12308" max="12308" width="8.375" style="248" customWidth="1"/>
    <col min="12309" max="12309" width="7.5" style="248" customWidth="1"/>
    <col min="12310" max="12310" width="8.25" style="248" customWidth="1"/>
    <col min="12311" max="12313" width="7.5" style="248" customWidth="1"/>
    <col min="12314" max="12314" width="8.25" style="248" customWidth="1"/>
    <col min="12315" max="12315" width="8.125" style="248" customWidth="1"/>
    <col min="12316" max="12316" width="8.25" style="248" customWidth="1"/>
    <col min="12317" max="12317" width="8.75" style="248" customWidth="1"/>
    <col min="12318" max="12318" width="7.125" style="248" customWidth="1"/>
    <col min="12319" max="12319" width="9.5" style="248" customWidth="1"/>
    <col min="12320" max="12320" width="8.625" style="248" customWidth="1"/>
    <col min="12321" max="12321" width="8.875" style="248" customWidth="1"/>
    <col min="12322" max="12322" width="8.125" style="248" customWidth="1"/>
    <col min="12323" max="12325" width="7.625" style="248" customWidth="1"/>
    <col min="12326" max="12326" width="6.5" style="248" customWidth="1"/>
    <col min="12327" max="12335" width="8.5" style="248" customWidth="1"/>
    <col min="12336" max="12336" width="7.5" style="248" customWidth="1"/>
    <col min="12337" max="12337" width="7.25" style="248" customWidth="1"/>
    <col min="12338" max="12338" width="8.5" style="248" customWidth="1"/>
    <col min="12339" max="12339" width="9.375" style="248" customWidth="1"/>
    <col min="12340" max="12342" width="8.5" style="248" customWidth="1"/>
    <col min="12343" max="12343" width="9.25" style="248" customWidth="1"/>
    <col min="12344" max="12346" width="8.5" style="248" customWidth="1"/>
    <col min="12347" max="12347" width="7.875" style="248" customWidth="1"/>
    <col min="12348" max="12348" width="8.5" style="248" customWidth="1"/>
    <col min="12349" max="12349" width="7.375" style="248" customWidth="1"/>
    <col min="12350" max="12350" width="7.625" style="248" customWidth="1"/>
    <col min="12351" max="12351" width="9.875" style="248" customWidth="1"/>
    <col min="12352" max="12352" width="8.25" style="248" customWidth="1"/>
    <col min="12353" max="12355" width="8.875" style="248" customWidth="1"/>
    <col min="12356" max="12356" width="8.75" style="248" customWidth="1"/>
    <col min="12357" max="12357" width="8" style="248" customWidth="1"/>
    <col min="12358" max="12358" width="8.25" style="248" customWidth="1"/>
    <col min="12359" max="12359" width="7.375" style="248" customWidth="1"/>
    <col min="12360" max="12360" width="8.875" style="248" customWidth="1"/>
    <col min="12361" max="12361" width="7.375" style="248" customWidth="1"/>
    <col min="12362" max="12362" width="6.625" style="248" customWidth="1"/>
    <col min="12363" max="12363" width="9.5" style="248" customWidth="1"/>
    <col min="12364" max="12364" width="8" style="248" customWidth="1"/>
    <col min="12365" max="12365" width="8.375" style="248" customWidth="1"/>
    <col min="12366" max="12366" width="8.5" style="248" customWidth="1"/>
    <col min="12367" max="12367" width="8" style="248" customWidth="1"/>
    <col min="12368" max="12368" width="7.875" style="248" customWidth="1"/>
    <col min="12369" max="12369" width="8" style="248" customWidth="1"/>
    <col min="12370" max="12370" width="8.5" style="248" customWidth="1"/>
    <col min="12371" max="12373" width="8.125" style="248" customWidth="1"/>
    <col min="12374" max="12374" width="8" style="248" customWidth="1"/>
    <col min="12375" max="12378" width="8.75" style="248" customWidth="1"/>
    <col min="12379" max="12379" width="7.625" style="248" customWidth="1"/>
    <col min="12380" max="12381" width="8.75" style="248" customWidth="1"/>
    <col min="12382" max="12382" width="7.75" style="248" customWidth="1"/>
    <col min="12383" max="12385" width="8" style="248" customWidth="1"/>
    <col min="12386" max="12386" width="7.875" style="248" customWidth="1"/>
    <col min="12387" max="12388" width="8.75" style="248" customWidth="1"/>
    <col min="12389" max="12389" width="8.375" style="248" customWidth="1"/>
    <col min="12390" max="12390" width="8" style="248" customWidth="1"/>
    <col min="12391" max="12391" width="7.875" style="248" customWidth="1"/>
    <col min="12392" max="12394" width="8.25" style="248" customWidth="1"/>
    <col min="12395" max="12397" width="8.125" style="248" customWidth="1"/>
    <col min="12398" max="12398" width="7.875" style="248" customWidth="1"/>
    <col min="12399" max="12399" width="8.875" style="248" customWidth="1"/>
    <col min="12400" max="12400" width="8.375" style="248" customWidth="1"/>
    <col min="12401" max="12401" width="8.25" style="248" customWidth="1"/>
    <col min="12402" max="12402" width="8.875" style="248" customWidth="1"/>
    <col min="12403" max="12403" width="8.125" style="248" customWidth="1"/>
    <col min="12404" max="12404" width="8.25" style="248" customWidth="1"/>
    <col min="12405" max="12405" width="8.875" style="248" customWidth="1"/>
    <col min="12406" max="12406" width="8" style="248" customWidth="1"/>
    <col min="12407" max="12409" width="7.875" style="248" customWidth="1"/>
    <col min="12410" max="12410" width="7.75" style="248" customWidth="1"/>
    <col min="12411" max="12414" width="8.875" style="248" customWidth="1"/>
    <col min="12415" max="12415" width="8.75" style="248" customWidth="1"/>
    <col min="12416" max="12416" width="8.625" style="248" customWidth="1"/>
    <col min="12417" max="12418" width="8.25" style="248" customWidth="1"/>
    <col min="12419" max="12419" width="7.625" style="248" customWidth="1"/>
    <col min="12420" max="12420" width="8" style="248" customWidth="1"/>
    <col min="12421" max="12421" width="7.125" style="248" customWidth="1"/>
    <col min="12422" max="12422" width="7.625" style="248" customWidth="1"/>
    <col min="12423" max="12423" width="8.875" style="248" customWidth="1"/>
    <col min="12424" max="12424" width="8.125" style="248" customWidth="1"/>
    <col min="12425" max="12429" width="8.875" style="248" customWidth="1"/>
    <col min="12430" max="12430" width="8" style="248" customWidth="1"/>
    <col min="12431" max="12431" width="7.75" style="248" customWidth="1"/>
    <col min="12432" max="12432" width="7.875" style="248" customWidth="1"/>
    <col min="12433" max="12433" width="7.375" style="248" customWidth="1"/>
    <col min="12434" max="12434" width="7.875" style="248" customWidth="1"/>
    <col min="12435" max="12441" width="8.875" style="248" customWidth="1"/>
    <col min="12442" max="12442" width="7.5" style="248" customWidth="1"/>
    <col min="12443" max="12443" width="7.25" style="248" customWidth="1"/>
    <col min="12444" max="12444" width="8.375" style="248" customWidth="1"/>
    <col min="12445" max="12445" width="7.25" style="248" customWidth="1"/>
    <col min="12446" max="12446" width="7.625" style="248" customWidth="1"/>
    <col min="12447" max="12544" width="9" style="248"/>
    <col min="12545" max="12545" width="4.5" style="248" bestFit="1" customWidth="1"/>
    <col min="12546" max="12546" width="69.125" style="248" customWidth="1"/>
    <col min="12547" max="12547" width="9.25" style="248" customWidth="1"/>
    <col min="12548" max="12548" width="8.625" style="248" customWidth="1"/>
    <col min="12549" max="12549" width="9.375" style="248" customWidth="1"/>
    <col min="12550" max="12550" width="10.25" style="248" customWidth="1"/>
    <col min="12551" max="12551" width="10.625" style="248" customWidth="1"/>
    <col min="12552" max="12552" width="10" style="248" customWidth="1"/>
    <col min="12553" max="12554" width="8.5" style="248" customWidth="1"/>
    <col min="12555" max="12555" width="7.5" style="248" customWidth="1"/>
    <col min="12556" max="12556" width="7.125" style="248" customWidth="1"/>
    <col min="12557" max="12557" width="8.125" style="248" customWidth="1"/>
    <col min="12558" max="12559" width="7.5" style="248" customWidth="1"/>
    <col min="12560" max="12560" width="8.625" style="248" customWidth="1"/>
    <col min="12561" max="12563" width="7.5" style="248" customWidth="1"/>
    <col min="12564" max="12564" width="8.375" style="248" customWidth="1"/>
    <col min="12565" max="12565" width="7.5" style="248" customWidth="1"/>
    <col min="12566" max="12566" width="8.25" style="248" customWidth="1"/>
    <col min="12567" max="12569" width="7.5" style="248" customWidth="1"/>
    <col min="12570" max="12570" width="8.25" style="248" customWidth="1"/>
    <col min="12571" max="12571" width="8.125" style="248" customWidth="1"/>
    <col min="12572" max="12572" width="8.25" style="248" customWidth="1"/>
    <col min="12573" max="12573" width="8.75" style="248" customWidth="1"/>
    <col min="12574" max="12574" width="7.125" style="248" customWidth="1"/>
    <col min="12575" max="12575" width="9.5" style="248" customWidth="1"/>
    <col min="12576" max="12576" width="8.625" style="248" customWidth="1"/>
    <col min="12577" max="12577" width="8.875" style="248" customWidth="1"/>
    <col min="12578" max="12578" width="8.125" style="248" customWidth="1"/>
    <col min="12579" max="12581" width="7.625" style="248" customWidth="1"/>
    <col min="12582" max="12582" width="6.5" style="248" customWidth="1"/>
    <col min="12583" max="12591" width="8.5" style="248" customWidth="1"/>
    <col min="12592" max="12592" width="7.5" style="248" customWidth="1"/>
    <col min="12593" max="12593" width="7.25" style="248" customWidth="1"/>
    <col min="12594" max="12594" width="8.5" style="248" customWidth="1"/>
    <col min="12595" max="12595" width="9.375" style="248" customWidth="1"/>
    <col min="12596" max="12598" width="8.5" style="248" customWidth="1"/>
    <col min="12599" max="12599" width="9.25" style="248" customWidth="1"/>
    <col min="12600" max="12602" width="8.5" style="248" customWidth="1"/>
    <col min="12603" max="12603" width="7.875" style="248" customWidth="1"/>
    <col min="12604" max="12604" width="8.5" style="248" customWidth="1"/>
    <col min="12605" max="12605" width="7.375" style="248" customWidth="1"/>
    <col min="12606" max="12606" width="7.625" style="248" customWidth="1"/>
    <col min="12607" max="12607" width="9.875" style="248" customWidth="1"/>
    <col min="12608" max="12608" width="8.25" style="248" customWidth="1"/>
    <col min="12609" max="12611" width="8.875" style="248" customWidth="1"/>
    <col min="12612" max="12612" width="8.75" style="248" customWidth="1"/>
    <col min="12613" max="12613" width="8" style="248" customWidth="1"/>
    <col min="12614" max="12614" width="8.25" style="248" customWidth="1"/>
    <col min="12615" max="12615" width="7.375" style="248" customWidth="1"/>
    <col min="12616" max="12616" width="8.875" style="248" customWidth="1"/>
    <col min="12617" max="12617" width="7.375" style="248" customWidth="1"/>
    <col min="12618" max="12618" width="6.625" style="248" customWidth="1"/>
    <col min="12619" max="12619" width="9.5" style="248" customWidth="1"/>
    <col min="12620" max="12620" width="8" style="248" customWidth="1"/>
    <col min="12621" max="12621" width="8.375" style="248" customWidth="1"/>
    <col min="12622" max="12622" width="8.5" style="248" customWidth="1"/>
    <col min="12623" max="12623" width="8" style="248" customWidth="1"/>
    <col min="12624" max="12624" width="7.875" style="248" customWidth="1"/>
    <col min="12625" max="12625" width="8" style="248" customWidth="1"/>
    <col min="12626" max="12626" width="8.5" style="248" customWidth="1"/>
    <col min="12627" max="12629" width="8.125" style="248" customWidth="1"/>
    <col min="12630" max="12630" width="8" style="248" customWidth="1"/>
    <col min="12631" max="12634" width="8.75" style="248" customWidth="1"/>
    <col min="12635" max="12635" width="7.625" style="248" customWidth="1"/>
    <col min="12636" max="12637" width="8.75" style="248" customWidth="1"/>
    <col min="12638" max="12638" width="7.75" style="248" customWidth="1"/>
    <col min="12639" max="12641" width="8" style="248" customWidth="1"/>
    <col min="12642" max="12642" width="7.875" style="248" customWidth="1"/>
    <col min="12643" max="12644" width="8.75" style="248" customWidth="1"/>
    <col min="12645" max="12645" width="8.375" style="248" customWidth="1"/>
    <col min="12646" max="12646" width="8" style="248" customWidth="1"/>
    <col min="12647" max="12647" width="7.875" style="248" customWidth="1"/>
    <col min="12648" max="12650" width="8.25" style="248" customWidth="1"/>
    <col min="12651" max="12653" width="8.125" style="248" customWidth="1"/>
    <col min="12654" max="12654" width="7.875" style="248" customWidth="1"/>
    <col min="12655" max="12655" width="8.875" style="248" customWidth="1"/>
    <col min="12656" max="12656" width="8.375" style="248" customWidth="1"/>
    <col min="12657" max="12657" width="8.25" style="248" customWidth="1"/>
    <col min="12658" max="12658" width="8.875" style="248" customWidth="1"/>
    <col min="12659" max="12659" width="8.125" style="248" customWidth="1"/>
    <col min="12660" max="12660" width="8.25" style="248" customWidth="1"/>
    <col min="12661" max="12661" width="8.875" style="248" customWidth="1"/>
    <col min="12662" max="12662" width="8" style="248" customWidth="1"/>
    <col min="12663" max="12665" width="7.875" style="248" customWidth="1"/>
    <col min="12666" max="12666" width="7.75" style="248" customWidth="1"/>
    <col min="12667" max="12670" width="8.875" style="248" customWidth="1"/>
    <col min="12671" max="12671" width="8.75" style="248" customWidth="1"/>
    <col min="12672" max="12672" width="8.625" style="248" customWidth="1"/>
    <col min="12673" max="12674" width="8.25" style="248" customWidth="1"/>
    <col min="12675" max="12675" width="7.625" style="248" customWidth="1"/>
    <col min="12676" max="12676" width="8" style="248" customWidth="1"/>
    <col min="12677" max="12677" width="7.125" style="248" customWidth="1"/>
    <col min="12678" max="12678" width="7.625" style="248" customWidth="1"/>
    <col min="12679" max="12679" width="8.875" style="248" customWidth="1"/>
    <col min="12680" max="12680" width="8.125" style="248" customWidth="1"/>
    <col min="12681" max="12685" width="8.875" style="248" customWidth="1"/>
    <col min="12686" max="12686" width="8" style="248" customWidth="1"/>
    <col min="12687" max="12687" width="7.75" style="248" customWidth="1"/>
    <col min="12688" max="12688" width="7.875" style="248" customWidth="1"/>
    <col min="12689" max="12689" width="7.375" style="248" customWidth="1"/>
    <col min="12690" max="12690" width="7.875" style="248" customWidth="1"/>
    <col min="12691" max="12697" width="8.875" style="248" customWidth="1"/>
    <col min="12698" max="12698" width="7.5" style="248" customWidth="1"/>
    <col min="12699" max="12699" width="7.25" style="248" customWidth="1"/>
    <col min="12700" max="12700" width="8.375" style="248" customWidth="1"/>
    <col min="12701" max="12701" width="7.25" style="248" customWidth="1"/>
    <col min="12702" max="12702" width="7.625" style="248" customWidth="1"/>
    <col min="12703" max="12800" width="9" style="248"/>
    <col min="12801" max="12801" width="4.5" style="248" bestFit="1" customWidth="1"/>
    <col min="12802" max="12802" width="69.125" style="248" customWidth="1"/>
    <col min="12803" max="12803" width="9.25" style="248" customWidth="1"/>
    <col min="12804" max="12804" width="8.625" style="248" customWidth="1"/>
    <col min="12805" max="12805" width="9.375" style="248" customWidth="1"/>
    <col min="12806" max="12806" width="10.25" style="248" customWidth="1"/>
    <col min="12807" max="12807" width="10.625" style="248" customWidth="1"/>
    <col min="12808" max="12808" width="10" style="248" customWidth="1"/>
    <col min="12809" max="12810" width="8.5" style="248" customWidth="1"/>
    <col min="12811" max="12811" width="7.5" style="248" customWidth="1"/>
    <col min="12812" max="12812" width="7.125" style="248" customWidth="1"/>
    <col min="12813" max="12813" width="8.125" style="248" customWidth="1"/>
    <col min="12814" max="12815" width="7.5" style="248" customWidth="1"/>
    <col min="12816" max="12816" width="8.625" style="248" customWidth="1"/>
    <col min="12817" max="12819" width="7.5" style="248" customWidth="1"/>
    <col min="12820" max="12820" width="8.375" style="248" customWidth="1"/>
    <col min="12821" max="12821" width="7.5" style="248" customWidth="1"/>
    <col min="12822" max="12822" width="8.25" style="248" customWidth="1"/>
    <col min="12823" max="12825" width="7.5" style="248" customWidth="1"/>
    <col min="12826" max="12826" width="8.25" style="248" customWidth="1"/>
    <col min="12827" max="12827" width="8.125" style="248" customWidth="1"/>
    <col min="12828" max="12828" width="8.25" style="248" customWidth="1"/>
    <col min="12829" max="12829" width="8.75" style="248" customWidth="1"/>
    <col min="12830" max="12830" width="7.125" style="248" customWidth="1"/>
    <col min="12831" max="12831" width="9.5" style="248" customWidth="1"/>
    <col min="12832" max="12832" width="8.625" style="248" customWidth="1"/>
    <col min="12833" max="12833" width="8.875" style="248" customWidth="1"/>
    <col min="12834" max="12834" width="8.125" style="248" customWidth="1"/>
    <col min="12835" max="12837" width="7.625" style="248" customWidth="1"/>
    <col min="12838" max="12838" width="6.5" style="248" customWidth="1"/>
    <col min="12839" max="12847" width="8.5" style="248" customWidth="1"/>
    <col min="12848" max="12848" width="7.5" style="248" customWidth="1"/>
    <col min="12849" max="12849" width="7.25" style="248" customWidth="1"/>
    <col min="12850" max="12850" width="8.5" style="248" customWidth="1"/>
    <col min="12851" max="12851" width="9.375" style="248" customWidth="1"/>
    <col min="12852" max="12854" width="8.5" style="248" customWidth="1"/>
    <col min="12855" max="12855" width="9.25" style="248" customWidth="1"/>
    <col min="12856" max="12858" width="8.5" style="248" customWidth="1"/>
    <col min="12859" max="12859" width="7.875" style="248" customWidth="1"/>
    <col min="12860" max="12860" width="8.5" style="248" customWidth="1"/>
    <col min="12861" max="12861" width="7.375" style="248" customWidth="1"/>
    <col min="12862" max="12862" width="7.625" style="248" customWidth="1"/>
    <col min="12863" max="12863" width="9.875" style="248" customWidth="1"/>
    <col min="12864" max="12864" width="8.25" style="248" customWidth="1"/>
    <col min="12865" max="12867" width="8.875" style="248" customWidth="1"/>
    <col min="12868" max="12868" width="8.75" style="248" customWidth="1"/>
    <col min="12869" max="12869" width="8" style="248" customWidth="1"/>
    <col min="12870" max="12870" width="8.25" style="248" customWidth="1"/>
    <col min="12871" max="12871" width="7.375" style="248" customWidth="1"/>
    <col min="12872" max="12872" width="8.875" style="248" customWidth="1"/>
    <col min="12873" max="12873" width="7.375" style="248" customWidth="1"/>
    <col min="12874" max="12874" width="6.625" style="248" customWidth="1"/>
    <col min="12875" max="12875" width="9.5" style="248" customWidth="1"/>
    <col min="12876" max="12876" width="8" style="248" customWidth="1"/>
    <col min="12877" max="12877" width="8.375" style="248" customWidth="1"/>
    <col min="12878" max="12878" width="8.5" style="248" customWidth="1"/>
    <col min="12879" max="12879" width="8" style="248" customWidth="1"/>
    <col min="12880" max="12880" width="7.875" style="248" customWidth="1"/>
    <col min="12881" max="12881" width="8" style="248" customWidth="1"/>
    <col min="12882" max="12882" width="8.5" style="248" customWidth="1"/>
    <col min="12883" max="12885" width="8.125" style="248" customWidth="1"/>
    <col min="12886" max="12886" width="8" style="248" customWidth="1"/>
    <col min="12887" max="12890" width="8.75" style="248" customWidth="1"/>
    <col min="12891" max="12891" width="7.625" style="248" customWidth="1"/>
    <col min="12892" max="12893" width="8.75" style="248" customWidth="1"/>
    <col min="12894" max="12894" width="7.75" style="248" customWidth="1"/>
    <col min="12895" max="12897" width="8" style="248" customWidth="1"/>
    <col min="12898" max="12898" width="7.875" style="248" customWidth="1"/>
    <col min="12899" max="12900" width="8.75" style="248" customWidth="1"/>
    <col min="12901" max="12901" width="8.375" style="248" customWidth="1"/>
    <col min="12902" max="12902" width="8" style="248" customWidth="1"/>
    <col min="12903" max="12903" width="7.875" style="248" customWidth="1"/>
    <col min="12904" max="12906" width="8.25" style="248" customWidth="1"/>
    <col min="12907" max="12909" width="8.125" style="248" customWidth="1"/>
    <col min="12910" max="12910" width="7.875" style="248" customWidth="1"/>
    <col min="12911" max="12911" width="8.875" style="248" customWidth="1"/>
    <col min="12912" max="12912" width="8.375" style="248" customWidth="1"/>
    <col min="12913" max="12913" width="8.25" style="248" customWidth="1"/>
    <col min="12914" max="12914" width="8.875" style="248" customWidth="1"/>
    <col min="12915" max="12915" width="8.125" style="248" customWidth="1"/>
    <col min="12916" max="12916" width="8.25" style="248" customWidth="1"/>
    <col min="12917" max="12917" width="8.875" style="248" customWidth="1"/>
    <col min="12918" max="12918" width="8" style="248" customWidth="1"/>
    <col min="12919" max="12921" width="7.875" style="248" customWidth="1"/>
    <col min="12922" max="12922" width="7.75" style="248" customWidth="1"/>
    <col min="12923" max="12926" width="8.875" style="248" customWidth="1"/>
    <col min="12927" max="12927" width="8.75" style="248" customWidth="1"/>
    <col min="12928" max="12928" width="8.625" style="248" customWidth="1"/>
    <col min="12929" max="12930" width="8.25" style="248" customWidth="1"/>
    <col min="12931" max="12931" width="7.625" style="248" customWidth="1"/>
    <col min="12932" max="12932" width="8" style="248" customWidth="1"/>
    <col min="12933" max="12933" width="7.125" style="248" customWidth="1"/>
    <col min="12934" max="12934" width="7.625" style="248" customWidth="1"/>
    <col min="12935" max="12935" width="8.875" style="248" customWidth="1"/>
    <col min="12936" max="12936" width="8.125" style="248" customWidth="1"/>
    <col min="12937" max="12941" width="8.875" style="248" customWidth="1"/>
    <col min="12942" max="12942" width="8" style="248" customWidth="1"/>
    <col min="12943" max="12943" width="7.75" style="248" customWidth="1"/>
    <col min="12944" max="12944" width="7.875" style="248" customWidth="1"/>
    <col min="12945" max="12945" width="7.375" style="248" customWidth="1"/>
    <col min="12946" max="12946" width="7.875" style="248" customWidth="1"/>
    <col min="12947" max="12953" width="8.875" style="248" customWidth="1"/>
    <col min="12954" max="12954" width="7.5" style="248" customWidth="1"/>
    <col min="12955" max="12955" width="7.25" style="248" customWidth="1"/>
    <col min="12956" max="12956" width="8.375" style="248" customWidth="1"/>
    <col min="12957" max="12957" width="7.25" style="248" customWidth="1"/>
    <col min="12958" max="12958" width="7.625" style="248" customWidth="1"/>
    <col min="12959" max="13056" width="9" style="248"/>
    <col min="13057" max="13057" width="4.5" style="248" bestFit="1" customWidth="1"/>
    <col min="13058" max="13058" width="69.125" style="248" customWidth="1"/>
    <col min="13059" max="13059" width="9.25" style="248" customWidth="1"/>
    <col min="13060" max="13060" width="8.625" style="248" customWidth="1"/>
    <col min="13061" max="13061" width="9.375" style="248" customWidth="1"/>
    <col min="13062" max="13062" width="10.25" style="248" customWidth="1"/>
    <col min="13063" max="13063" width="10.625" style="248" customWidth="1"/>
    <col min="13064" max="13064" width="10" style="248" customWidth="1"/>
    <col min="13065" max="13066" width="8.5" style="248" customWidth="1"/>
    <col min="13067" max="13067" width="7.5" style="248" customWidth="1"/>
    <col min="13068" max="13068" width="7.125" style="248" customWidth="1"/>
    <col min="13069" max="13069" width="8.125" style="248" customWidth="1"/>
    <col min="13070" max="13071" width="7.5" style="248" customWidth="1"/>
    <col min="13072" max="13072" width="8.625" style="248" customWidth="1"/>
    <col min="13073" max="13075" width="7.5" style="248" customWidth="1"/>
    <col min="13076" max="13076" width="8.375" style="248" customWidth="1"/>
    <col min="13077" max="13077" width="7.5" style="248" customWidth="1"/>
    <col min="13078" max="13078" width="8.25" style="248" customWidth="1"/>
    <col min="13079" max="13081" width="7.5" style="248" customWidth="1"/>
    <col min="13082" max="13082" width="8.25" style="248" customWidth="1"/>
    <col min="13083" max="13083" width="8.125" style="248" customWidth="1"/>
    <col min="13084" max="13084" width="8.25" style="248" customWidth="1"/>
    <col min="13085" max="13085" width="8.75" style="248" customWidth="1"/>
    <col min="13086" max="13086" width="7.125" style="248" customWidth="1"/>
    <col min="13087" max="13087" width="9.5" style="248" customWidth="1"/>
    <col min="13088" max="13088" width="8.625" style="248" customWidth="1"/>
    <col min="13089" max="13089" width="8.875" style="248" customWidth="1"/>
    <col min="13090" max="13090" width="8.125" style="248" customWidth="1"/>
    <col min="13091" max="13093" width="7.625" style="248" customWidth="1"/>
    <col min="13094" max="13094" width="6.5" style="248" customWidth="1"/>
    <col min="13095" max="13103" width="8.5" style="248" customWidth="1"/>
    <col min="13104" max="13104" width="7.5" style="248" customWidth="1"/>
    <col min="13105" max="13105" width="7.25" style="248" customWidth="1"/>
    <col min="13106" max="13106" width="8.5" style="248" customWidth="1"/>
    <col min="13107" max="13107" width="9.375" style="248" customWidth="1"/>
    <col min="13108" max="13110" width="8.5" style="248" customWidth="1"/>
    <col min="13111" max="13111" width="9.25" style="248" customWidth="1"/>
    <col min="13112" max="13114" width="8.5" style="248" customWidth="1"/>
    <col min="13115" max="13115" width="7.875" style="248" customWidth="1"/>
    <col min="13116" max="13116" width="8.5" style="248" customWidth="1"/>
    <col min="13117" max="13117" width="7.375" style="248" customWidth="1"/>
    <col min="13118" max="13118" width="7.625" style="248" customWidth="1"/>
    <col min="13119" max="13119" width="9.875" style="248" customWidth="1"/>
    <col min="13120" max="13120" width="8.25" style="248" customWidth="1"/>
    <col min="13121" max="13123" width="8.875" style="248" customWidth="1"/>
    <col min="13124" max="13124" width="8.75" style="248" customWidth="1"/>
    <col min="13125" max="13125" width="8" style="248" customWidth="1"/>
    <col min="13126" max="13126" width="8.25" style="248" customWidth="1"/>
    <col min="13127" max="13127" width="7.375" style="248" customWidth="1"/>
    <col min="13128" max="13128" width="8.875" style="248" customWidth="1"/>
    <col min="13129" max="13129" width="7.375" style="248" customWidth="1"/>
    <col min="13130" max="13130" width="6.625" style="248" customWidth="1"/>
    <col min="13131" max="13131" width="9.5" style="248" customWidth="1"/>
    <col min="13132" max="13132" width="8" style="248" customWidth="1"/>
    <col min="13133" max="13133" width="8.375" style="248" customWidth="1"/>
    <col min="13134" max="13134" width="8.5" style="248" customWidth="1"/>
    <col min="13135" max="13135" width="8" style="248" customWidth="1"/>
    <col min="13136" max="13136" width="7.875" style="248" customWidth="1"/>
    <col min="13137" max="13137" width="8" style="248" customWidth="1"/>
    <col min="13138" max="13138" width="8.5" style="248" customWidth="1"/>
    <col min="13139" max="13141" width="8.125" style="248" customWidth="1"/>
    <col min="13142" max="13142" width="8" style="248" customWidth="1"/>
    <col min="13143" max="13146" width="8.75" style="248" customWidth="1"/>
    <col min="13147" max="13147" width="7.625" style="248" customWidth="1"/>
    <col min="13148" max="13149" width="8.75" style="248" customWidth="1"/>
    <col min="13150" max="13150" width="7.75" style="248" customWidth="1"/>
    <col min="13151" max="13153" width="8" style="248" customWidth="1"/>
    <col min="13154" max="13154" width="7.875" style="248" customWidth="1"/>
    <col min="13155" max="13156" width="8.75" style="248" customWidth="1"/>
    <col min="13157" max="13157" width="8.375" style="248" customWidth="1"/>
    <col min="13158" max="13158" width="8" style="248" customWidth="1"/>
    <col min="13159" max="13159" width="7.875" style="248" customWidth="1"/>
    <col min="13160" max="13162" width="8.25" style="248" customWidth="1"/>
    <col min="13163" max="13165" width="8.125" style="248" customWidth="1"/>
    <col min="13166" max="13166" width="7.875" style="248" customWidth="1"/>
    <col min="13167" max="13167" width="8.875" style="248" customWidth="1"/>
    <col min="13168" max="13168" width="8.375" style="248" customWidth="1"/>
    <col min="13169" max="13169" width="8.25" style="248" customWidth="1"/>
    <col min="13170" max="13170" width="8.875" style="248" customWidth="1"/>
    <col min="13171" max="13171" width="8.125" style="248" customWidth="1"/>
    <col min="13172" max="13172" width="8.25" style="248" customWidth="1"/>
    <col min="13173" max="13173" width="8.875" style="248" customWidth="1"/>
    <col min="13174" max="13174" width="8" style="248" customWidth="1"/>
    <col min="13175" max="13177" width="7.875" style="248" customWidth="1"/>
    <col min="13178" max="13178" width="7.75" style="248" customWidth="1"/>
    <col min="13179" max="13182" width="8.875" style="248" customWidth="1"/>
    <col min="13183" max="13183" width="8.75" style="248" customWidth="1"/>
    <col min="13184" max="13184" width="8.625" style="248" customWidth="1"/>
    <col min="13185" max="13186" width="8.25" style="248" customWidth="1"/>
    <col min="13187" max="13187" width="7.625" style="248" customWidth="1"/>
    <col min="13188" max="13188" width="8" style="248" customWidth="1"/>
    <col min="13189" max="13189" width="7.125" style="248" customWidth="1"/>
    <col min="13190" max="13190" width="7.625" style="248" customWidth="1"/>
    <col min="13191" max="13191" width="8.875" style="248" customWidth="1"/>
    <col min="13192" max="13192" width="8.125" style="248" customWidth="1"/>
    <col min="13193" max="13197" width="8.875" style="248" customWidth="1"/>
    <col min="13198" max="13198" width="8" style="248" customWidth="1"/>
    <col min="13199" max="13199" width="7.75" style="248" customWidth="1"/>
    <col min="13200" max="13200" width="7.875" style="248" customWidth="1"/>
    <col min="13201" max="13201" width="7.375" style="248" customWidth="1"/>
    <col min="13202" max="13202" width="7.875" style="248" customWidth="1"/>
    <col min="13203" max="13209" width="8.875" style="248" customWidth="1"/>
    <col min="13210" max="13210" width="7.5" style="248" customWidth="1"/>
    <col min="13211" max="13211" width="7.25" style="248" customWidth="1"/>
    <col min="13212" max="13212" width="8.375" style="248" customWidth="1"/>
    <col min="13213" max="13213" width="7.25" style="248" customWidth="1"/>
    <col min="13214" max="13214" width="7.625" style="248" customWidth="1"/>
    <col min="13215" max="13312" width="9" style="248"/>
    <col min="13313" max="13313" width="4.5" style="248" bestFit="1" customWidth="1"/>
    <col min="13314" max="13314" width="69.125" style="248" customWidth="1"/>
    <col min="13315" max="13315" width="9.25" style="248" customWidth="1"/>
    <col min="13316" max="13316" width="8.625" style="248" customWidth="1"/>
    <col min="13317" max="13317" width="9.375" style="248" customWidth="1"/>
    <col min="13318" max="13318" width="10.25" style="248" customWidth="1"/>
    <col min="13319" max="13319" width="10.625" style="248" customWidth="1"/>
    <col min="13320" max="13320" width="10" style="248" customWidth="1"/>
    <col min="13321" max="13322" width="8.5" style="248" customWidth="1"/>
    <col min="13323" max="13323" width="7.5" style="248" customWidth="1"/>
    <col min="13324" max="13324" width="7.125" style="248" customWidth="1"/>
    <col min="13325" max="13325" width="8.125" style="248" customWidth="1"/>
    <col min="13326" max="13327" width="7.5" style="248" customWidth="1"/>
    <col min="13328" max="13328" width="8.625" style="248" customWidth="1"/>
    <col min="13329" max="13331" width="7.5" style="248" customWidth="1"/>
    <col min="13332" max="13332" width="8.375" style="248" customWidth="1"/>
    <col min="13333" max="13333" width="7.5" style="248" customWidth="1"/>
    <col min="13334" max="13334" width="8.25" style="248" customWidth="1"/>
    <col min="13335" max="13337" width="7.5" style="248" customWidth="1"/>
    <col min="13338" max="13338" width="8.25" style="248" customWidth="1"/>
    <col min="13339" max="13339" width="8.125" style="248" customWidth="1"/>
    <col min="13340" max="13340" width="8.25" style="248" customWidth="1"/>
    <col min="13341" max="13341" width="8.75" style="248" customWidth="1"/>
    <col min="13342" max="13342" width="7.125" style="248" customWidth="1"/>
    <col min="13343" max="13343" width="9.5" style="248" customWidth="1"/>
    <col min="13344" max="13344" width="8.625" style="248" customWidth="1"/>
    <col min="13345" max="13345" width="8.875" style="248" customWidth="1"/>
    <col min="13346" max="13346" width="8.125" style="248" customWidth="1"/>
    <col min="13347" max="13349" width="7.625" style="248" customWidth="1"/>
    <col min="13350" max="13350" width="6.5" style="248" customWidth="1"/>
    <col min="13351" max="13359" width="8.5" style="248" customWidth="1"/>
    <col min="13360" max="13360" width="7.5" style="248" customWidth="1"/>
    <col min="13361" max="13361" width="7.25" style="248" customWidth="1"/>
    <col min="13362" max="13362" width="8.5" style="248" customWidth="1"/>
    <col min="13363" max="13363" width="9.375" style="248" customWidth="1"/>
    <col min="13364" max="13366" width="8.5" style="248" customWidth="1"/>
    <col min="13367" max="13367" width="9.25" style="248" customWidth="1"/>
    <col min="13368" max="13370" width="8.5" style="248" customWidth="1"/>
    <col min="13371" max="13371" width="7.875" style="248" customWidth="1"/>
    <col min="13372" max="13372" width="8.5" style="248" customWidth="1"/>
    <col min="13373" max="13373" width="7.375" style="248" customWidth="1"/>
    <col min="13374" max="13374" width="7.625" style="248" customWidth="1"/>
    <col min="13375" max="13375" width="9.875" style="248" customWidth="1"/>
    <col min="13376" max="13376" width="8.25" style="248" customWidth="1"/>
    <col min="13377" max="13379" width="8.875" style="248" customWidth="1"/>
    <col min="13380" max="13380" width="8.75" style="248" customWidth="1"/>
    <col min="13381" max="13381" width="8" style="248" customWidth="1"/>
    <col min="13382" max="13382" width="8.25" style="248" customWidth="1"/>
    <col min="13383" max="13383" width="7.375" style="248" customWidth="1"/>
    <col min="13384" max="13384" width="8.875" style="248" customWidth="1"/>
    <col min="13385" max="13385" width="7.375" style="248" customWidth="1"/>
    <col min="13386" max="13386" width="6.625" style="248" customWidth="1"/>
    <col min="13387" max="13387" width="9.5" style="248" customWidth="1"/>
    <col min="13388" max="13388" width="8" style="248" customWidth="1"/>
    <col min="13389" max="13389" width="8.375" style="248" customWidth="1"/>
    <col min="13390" max="13390" width="8.5" style="248" customWidth="1"/>
    <col min="13391" max="13391" width="8" style="248" customWidth="1"/>
    <col min="13392" max="13392" width="7.875" style="248" customWidth="1"/>
    <col min="13393" max="13393" width="8" style="248" customWidth="1"/>
    <col min="13394" max="13394" width="8.5" style="248" customWidth="1"/>
    <col min="13395" max="13397" width="8.125" style="248" customWidth="1"/>
    <col min="13398" max="13398" width="8" style="248" customWidth="1"/>
    <col min="13399" max="13402" width="8.75" style="248" customWidth="1"/>
    <col min="13403" max="13403" width="7.625" style="248" customWidth="1"/>
    <col min="13404" max="13405" width="8.75" style="248" customWidth="1"/>
    <col min="13406" max="13406" width="7.75" style="248" customWidth="1"/>
    <col min="13407" max="13409" width="8" style="248" customWidth="1"/>
    <col min="13410" max="13410" width="7.875" style="248" customWidth="1"/>
    <col min="13411" max="13412" width="8.75" style="248" customWidth="1"/>
    <col min="13413" max="13413" width="8.375" style="248" customWidth="1"/>
    <col min="13414" max="13414" width="8" style="248" customWidth="1"/>
    <col min="13415" max="13415" width="7.875" style="248" customWidth="1"/>
    <col min="13416" max="13418" width="8.25" style="248" customWidth="1"/>
    <col min="13419" max="13421" width="8.125" style="248" customWidth="1"/>
    <col min="13422" max="13422" width="7.875" style="248" customWidth="1"/>
    <col min="13423" max="13423" width="8.875" style="248" customWidth="1"/>
    <col min="13424" max="13424" width="8.375" style="248" customWidth="1"/>
    <col min="13425" max="13425" width="8.25" style="248" customWidth="1"/>
    <col min="13426" max="13426" width="8.875" style="248" customWidth="1"/>
    <col min="13427" max="13427" width="8.125" style="248" customWidth="1"/>
    <col min="13428" max="13428" width="8.25" style="248" customWidth="1"/>
    <col min="13429" max="13429" width="8.875" style="248" customWidth="1"/>
    <col min="13430" max="13430" width="8" style="248" customWidth="1"/>
    <col min="13431" max="13433" width="7.875" style="248" customWidth="1"/>
    <col min="13434" max="13434" width="7.75" style="248" customWidth="1"/>
    <col min="13435" max="13438" width="8.875" style="248" customWidth="1"/>
    <col min="13439" max="13439" width="8.75" style="248" customWidth="1"/>
    <col min="13440" max="13440" width="8.625" style="248" customWidth="1"/>
    <col min="13441" max="13442" width="8.25" style="248" customWidth="1"/>
    <col min="13443" max="13443" width="7.625" style="248" customWidth="1"/>
    <col min="13444" max="13444" width="8" style="248" customWidth="1"/>
    <col min="13445" max="13445" width="7.125" style="248" customWidth="1"/>
    <col min="13446" max="13446" width="7.625" style="248" customWidth="1"/>
    <col min="13447" max="13447" width="8.875" style="248" customWidth="1"/>
    <col min="13448" max="13448" width="8.125" style="248" customWidth="1"/>
    <col min="13449" max="13453" width="8.875" style="248" customWidth="1"/>
    <col min="13454" max="13454" width="8" style="248" customWidth="1"/>
    <col min="13455" max="13455" width="7.75" style="248" customWidth="1"/>
    <col min="13456" max="13456" width="7.875" style="248" customWidth="1"/>
    <col min="13457" max="13457" width="7.375" style="248" customWidth="1"/>
    <col min="13458" max="13458" width="7.875" style="248" customWidth="1"/>
    <col min="13459" max="13465" width="8.875" style="248" customWidth="1"/>
    <col min="13466" max="13466" width="7.5" style="248" customWidth="1"/>
    <col min="13467" max="13467" width="7.25" style="248" customWidth="1"/>
    <col min="13468" max="13468" width="8.375" style="248" customWidth="1"/>
    <col min="13469" max="13469" width="7.25" style="248" customWidth="1"/>
    <col min="13470" max="13470" width="7.625" style="248" customWidth="1"/>
    <col min="13471" max="13568" width="9" style="248"/>
    <col min="13569" max="13569" width="4.5" style="248" bestFit="1" customWidth="1"/>
    <col min="13570" max="13570" width="69.125" style="248" customWidth="1"/>
    <col min="13571" max="13571" width="9.25" style="248" customWidth="1"/>
    <col min="13572" max="13572" width="8.625" style="248" customWidth="1"/>
    <col min="13573" max="13573" width="9.375" style="248" customWidth="1"/>
    <col min="13574" max="13574" width="10.25" style="248" customWidth="1"/>
    <col min="13575" max="13575" width="10.625" style="248" customWidth="1"/>
    <col min="13576" max="13576" width="10" style="248" customWidth="1"/>
    <col min="13577" max="13578" width="8.5" style="248" customWidth="1"/>
    <col min="13579" max="13579" width="7.5" style="248" customWidth="1"/>
    <col min="13580" max="13580" width="7.125" style="248" customWidth="1"/>
    <col min="13581" max="13581" width="8.125" style="248" customWidth="1"/>
    <col min="13582" max="13583" width="7.5" style="248" customWidth="1"/>
    <col min="13584" max="13584" width="8.625" style="248" customWidth="1"/>
    <col min="13585" max="13587" width="7.5" style="248" customWidth="1"/>
    <col min="13588" max="13588" width="8.375" style="248" customWidth="1"/>
    <col min="13589" max="13589" width="7.5" style="248" customWidth="1"/>
    <col min="13590" max="13590" width="8.25" style="248" customWidth="1"/>
    <col min="13591" max="13593" width="7.5" style="248" customWidth="1"/>
    <col min="13594" max="13594" width="8.25" style="248" customWidth="1"/>
    <col min="13595" max="13595" width="8.125" style="248" customWidth="1"/>
    <col min="13596" max="13596" width="8.25" style="248" customWidth="1"/>
    <col min="13597" max="13597" width="8.75" style="248" customWidth="1"/>
    <col min="13598" max="13598" width="7.125" style="248" customWidth="1"/>
    <col min="13599" max="13599" width="9.5" style="248" customWidth="1"/>
    <col min="13600" max="13600" width="8.625" style="248" customWidth="1"/>
    <col min="13601" max="13601" width="8.875" style="248" customWidth="1"/>
    <col min="13602" max="13602" width="8.125" style="248" customWidth="1"/>
    <col min="13603" max="13605" width="7.625" style="248" customWidth="1"/>
    <col min="13606" max="13606" width="6.5" style="248" customWidth="1"/>
    <col min="13607" max="13615" width="8.5" style="248" customWidth="1"/>
    <col min="13616" max="13616" width="7.5" style="248" customWidth="1"/>
    <col min="13617" max="13617" width="7.25" style="248" customWidth="1"/>
    <col min="13618" max="13618" width="8.5" style="248" customWidth="1"/>
    <col min="13619" max="13619" width="9.375" style="248" customWidth="1"/>
    <col min="13620" max="13622" width="8.5" style="248" customWidth="1"/>
    <col min="13623" max="13623" width="9.25" style="248" customWidth="1"/>
    <col min="13624" max="13626" width="8.5" style="248" customWidth="1"/>
    <col min="13627" max="13627" width="7.875" style="248" customWidth="1"/>
    <col min="13628" max="13628" width="8.5" style="248" customWidth="1"/>
    <col min="13629" max="13629" width="7.375" style="248" customWidth="1"/>
    <col min="13630" max="13630" width="7.625" style="248" customWidth="1"/>
    <col min="13631" max="13631" width="9.875" style="248" customWidth="1"/>
    <col min="13632" max="13632" width="8.25" style="248" customWidth="1"/>
    <col min="13633" max="13635" width="8.875" style="248" customWidth="1"/>
    <col min="13636" max="13636" width="8.75" style="248" customWidth="1"/>
    <col min="13637" max="13637" width="8" style="248" customWidth="1"/>
    <col min="13638" max="13638" width="8.25" style="248" customWidth="1"/>
    <col min="13639" max="13639" width="7.375" style="248" customWidth="1"/>
    <col min="13640" max="13640" width="8.875" style="248" customWidth="1"/>
    <col min="13641" max="13641" width="7.375" style="248" customWidth="1"/>
    <col min="13642" max="13642" width="6.625" style="248" customWidth="1"/>
    <col min="13643" max="13643" width="9.5" style="248" customWidth="1"/>
    <col min="13644" max="13644" width="8" style="248" customWidth="1"/>
    <col min="13645" max="13645" width="8.375" style="248" customWidth="1"/>
    <col min="13646" max="13646" width="8.5" style="248" customWidth="1"/>
    <col min="13647" max="13647" width="8" style="248" customWidth="1"/>
    <col min="13648" max="13648" width="7.875" style="248" customWidth="1"/>
    <col min="13649" max="13649" width="8" style="248" customWidth="1"/>
    <col min="13650" max="13650" width="8.5" style="248" customWidth="1"/>
    <col min="13651" max="13653" width="8.125" style="248" customWidth="1"/>
    <col min="13654" max="13654" width="8" style="248" customWidth="1"/>
    <col min="13655" max="13658" width="8.75" style="248" customWidth="1"/>
    <col min="13659" max="13659" width="7.625" style="248" customWidth="1"/>
    <col min="13660" max="13661" width="8.75" style="248" customWidth="1"/>
    <col min="13662" max="13662" width="7.75" style="248" customWidth="1"/>
    <col min="13663" max="13665" width="8" style="248" customWidth="1"/>
    <col min="13666" max="13666" width="7.875" style="248" customWidth="1"/>
    <col min="13667" max="13668" width="8.75" style="248" customWidth="1"/>
    <col min="13669" max="13669" width="8.375" style="248" customWidth="1"/>
    <col min="13670" max="13670" width="8" style="248" customWidth="1"/>
    <col min="13671" max="13671" width="7.875" style="248" customWidth="1"/>
    <col min="13672" max="13674" width="8.25" style="248" customWidth="1"/>
    <col min="13675" max="13677" width="8.125" style="248" customWidth="1"/>
    <col min="13678" max="13678" width="7.875" style="248" customWidth="1"/>
    <col min="13679" max="13679" width="8.875" style="248" customWidth="1"/>
    <col min="13680" max="13680" width="8.375" style="248" customWidth="1"/>
    <col min="13681" max="13681" width="8.25" style="248" customWidth="1"/>
    <col min="13682" max="13682" width="8.875" style="248" customWidth="1"/>
    <col min="13683" max="13683" width="8.125" style="248" customWidth="1"/>
    <col min="13684" max="13684" width="8.25" style="248" customWidth="1"/>
    <col min="13685" max="13685" width="8.875" style="248" customWidth="1"/>
    <col min="13686" max="13686" width="8" style="248" customWidth="1"/>
    <col min="13687" max="13689" width="7.875" style="248" customWidth="1"/>
    <col min="13690" max="13690" width="7.75" style="248" customWidth="1"/>
    <col min="13691" max="13694" width="8.875" style="248" customWidth="1"/>
    <col min="13695" max="13695" width="8.75" style="248" customWidth="1"/>
    <col min="13696" max="13696" width="8.625" style="248" customWidth="1"/>
    <col min="13697" max="13698" width="8.25" style="248" customWidth="1"/>
    <col min="13699" max="13699" width="7.625" style="248" customWidth="1"/>
    <col min="13700" max="13700" width="8" style="248" customWidth="1"/>
    <col min="13701" max="13701" width="7.125" style="248" customWidth="1"/>
    <col min="13702" max="13702" width="7.625" style="248" customWidth="1"/>
    <col min="13703" max="13703" width="8.875" style="248" customWidth="1"/>
    <col min="13704" max="13704" width="8.125" style="248" customWidth="1"/>
    <col min="13705" max="13709" width="8.875" style="248" customWidth="1"/>
    <col min="13710" max="13710" width="8" style="248" customWidth="1"/>
    <col min="13711" max="13711" width="7.75" style="248" customWidth="1"/>
    <col min="13712" max="13712" width="7.875" style="248" customWidth="1"/>
    <col min="13713" max="13713" width="7.375" style="248" customWidth="1"/>
    <col min="13714" max="13714" width="7.875" style="248" customWidth="1"/>
    <col min="13715" max="13721" width="8.875" style="248" customWidth="1"/>
    <col min="13722" max="13722" width="7.5" style="248" customWidth="1"/>
    <col min="13723" max="13723" width="7.25" style="248" customWidth="1"/>
    <col min="13724" max="13724" width="8.375" style="248" customWidth="1"/>
    <col min="13725" max="13725" width="7.25" style="248" customWidth="1"/>
    <col min="13726" max="13726" width="7.625" style="248" customWidth="1"/>
    <col min="13727" max="13824" width="9" style="248"/>
    <col min="13825" max="13825" width="4.5" style="248" bestFit="1" customWidth="1"/>
    <col min="13826" max="13826" width="69.125" style="248" customWidth="1"/>
    <col min="13827" max="13827" width="9.25" style="248" customWidth="1"/>
    <col min="13828" max="13828" width="8.625" style="248" customWidth="1"/>
    <col min="13829" max="13829" width="9.375" style="248" customWidth="1"/>
    <col min="13830" max="13830" width="10.25" style="248" customWidth="1"/>
    <col min="13831" max="13831" width="10.625" style="248" customWidth="1"/>
    <col min="13832" max="13832" width="10" style="248" customWidth="1"/>
    <col min="13833" max="13834" width="8.5" style="248" customWidth="1"/>
    <col min="13835" max="13835" width="7.5" style="248" customWidth="1"/>
    <col min="13836" max="13836" width="7.125" style="248" customWidth="1"/>
    <col min="13837" max="13837" width="8.125" style="248" customWidth="1"/>
    <col min="13838" max="13839" width="7.5" style="248" customWidth="1"/>
    <col min="13840" max="13840" width="8.625" style="248" customWidth="1"/>
    <col min="13841" max="13843" width="7.5" style="248" customWidth="1"/>
    <col min="13844" max="13844" width="8.375" style="248" customWidth="1"/>
    <col min="13845" max="13845" width="7.5" style="248" customWidth="1"/>
    <col min="13846" max="13846" width="8.25" style="248" customWidth="1"/>
    <col min="13847" max="13849" width="7.5" style="248" customWidth="1"/>
    <col min="13850" max="13850" width="8.25" style="248" customWidth="1"/>
    <col min="13851" max="13851" width="8.125" style="248" customWidth="1"/>
    <col min="13852" max="13852" width="8.25" style="248" customWidth="1"/>
    <col min="13853" max="13853" width="8.75" style="248" customWidth="1"/>
    <col min="13854" max="13854" width="7.125" style="248" customWidth="1"/>
    <col min="13855" max="13855" width="9.5" style="248" customWidth="1"/>
    <col min="13856" max="13856" width="8.625" style="248" customWidth="1"/>
    <col min="13857" max="13857" width="8.875" style="248" customWidth="1"/>
    <col min="13858" max="13858" width="8.125" style="248" customWidth="1"/>
    <col min="13859" max="13861" width="7.625" style="248" customWidth="1"/>
    <col min="13862" max="13862" width="6.5" style="248" customWidth="1"/>
    <col min="13863" max="13871" width="8.5" style="248" customWidth="1"/>
    <col min="13872" max="13872" width="7.5" style="248" customWidth="1"/>
    <col min="13873" max="13873" width="7.25" style="248" customWidth="1"/>
    <col min="13874" max="13874" width="8.5" style="248" customWidth="1"/>
    <col min="13875" max="13875" width="9.375" style="248" customWidth="1"/>
    <col min="13876" max="13878" width="8.5" style="248" customWidth="1"/>
    <col min="13879" max="13879" width="9.25" style="248" customWidth="1"/>
    <col min="13880" max="13882" width="8.5" style="248" customWidth="1"/>
    <col min="13883" max="13883" width="7.875" style="248" customWidth="1"/>
    <col min="13884" max="13884" width="8.5" style="248" customWidth="1"/>
    <col min="13885" max="13885" width="7.375" style="248" customWidth="1"/>
    <col min="13886" max="13886" width="7.625" style="248" customWidth="1"/>
    <col min="13887" max="13887" width="9.875" style="248" customWidth="1"/>
    <col min="13888" max="13888" width="8.25" style="248" customWidth="1"/>
    <col min="13889" max="13891" width="8.875" style="248" customWidth="1"/>
    <col min="13892" max="13892" width="8.75" style="248" customWidth="1"/>
    <col min="13893" max="13893" width="8" style="248" customWidth="1"/>
    <col min="13894" max="13894" width="8.25" style="248" customWidth="1"/>
    <col min="13895" max="13895" width="7.375" style="248" customWidth="1"/>
    <col min="13896" max="13896" width="8.875" style="248" customWidth="1"/>
    <col min="13897" max="13897" width="7.375" style="248" customWidth="1"/>
    <col min="13898" max="13898" width="6.625" style="248" customWidth="1"/>
    <col min="13899" max="13899" width="9.5" style="248" customWidth="1"/>
    <col min="13900" max="13900" width="8" style="248" customWidth="1"/>
    <col min="13901" max="13901" width="8.375" style="248" customWidth="1"/>
    <col min="13902" max="13902" width="8.5" style="248" customWidth="1"/>
    <col min="13903" max="13903" width="8" style="248" customWidth="1"/>
    <col min="13904" max="13904" width="7.875" style="248" customWidth="1"/>
    <col min="13905" max="13905" width="8" style="248" customWidth="1"/>
    <col min="13906" max="13906" width="8.5" style="248" customWidth="1"/>
    <col min="13907" max="13909" width="8.125" style="248" customWidth="1"/>
    <col min="13910" max="13910" width="8" style="248" customWidth="1"/>
    <col min="13911" max="13914" width="8.75" style="248" customWidth="1"/>
    <col min="13915" max="13915" width="7.625" style="248" customWidth="1"/>
    <col min="13916" max="13917" width="8.75" style="248" customWidth="1"/>
    <col min="13918" max="13918" width="7.75" style="248" customWidth="1"/>
    <col min="13919" max="13921" width="8" style="248" customWidth="1"/>
    <col min="13922" max="13922" width="7.875" style="248" customWidth="1"/>
    <col min="13923" max="13924" width="8.75" style="248" customWidth="1"/>
    <col min="13925" max="13925" width="8.375" style="248" customWidth="1"/>
    <col min="13926" max="13926" width="8" style="248" customWidth="1"/>
    <col min="13927" max="13927" width="7.875" style="248" customWidth="1"/>
    <col min="13928" max="13930" width="8.25" style="248" customWidth="1"/>
    <col min="13931" max="13933" width="8.125" style="248" customWidth="1"/>
    <col min="13934" max="13934" width="7.875" style="248" customWidth="1"/>
    <col min="13935" max="13935" width="8.875" style="248" customWidth="1"/>
    <col min="13936" max="13936" width="8.375" style="248" customWidth="1"/>
    <col min="13937" max="13937" width="8.25" style="248" customWidth="1"/>
    <col min="13938" max="13938" width="8.875" style="248" customWidth="1"/>
    <col min="13939" max="13939" width="8.125" style="248" customWidth="1"/>
    <col min="13940" max="13940" width="8.25" style="248" customWidth="1"/>
    <col min="13941" max="13941" width="8.875" style="248" customWidth="1"/>
    <col min="13942" max="13942" width="8" style="248" customWidth="1"/>
    <col min="13943" max="13945" width="7.875" style="248" customWidth="1"/>
    <col min="13946" max="13946" width="7.75" style="248" customWidth="1"/>
    <col min="13947" max="13950" width="8.875" style="248" customWidth="1"/>
    <col min="13951" max="13951" width="8.75" style="248" customWidth="1"/>
    <col min="13952" max="13952" width="8.625" style="248" customWidth="1"/>
    <col min="13953" max="13954" width="8.25" style="248" customWidth="1"/>
    <col min="13955" max="13955" width="7.625" style="248" customWidth="1"/>
    <col min="13956" max="13956" width="8" style="248" customWidth="1"/>
    <col min="13957" max="13957" width="7.125" style="248" customWidth="1"/>
    <col min="13958" max="13958" width="7.625" style="248" customWidth="1"/>
    <col min="13959" max="13959" width="8.875" style="248" customWidth="1"/>
    <col min="13960" max="13960" width="8.125" style="248" customWidth="1"/>
    <col min="13961" max="13965" width="8.875" style="248" customWidth="1"/>
    <col min="13966" max="13966" width="8" style="248" customWidth="1"/>
    <col min="13967" max="13967" width="7.75" style="248" customWidth="1"/>
    <col min="13968" max="13968" width="7.875" style="248" customWidth="1"/>
    <col min="13969" max="13969" width="7.375" style="248" customWidth="1"/>
    <col min="13970" max="13970" width="7.875" style="248" customWidth="1"/>
    <col min="13971" max="13977" width="8.875" style="248" customWidth="1"/>
    <col min="13978" max="13978" width="7.5" style="248" customWidth="1"/>
    <col min="13979" max="13979" width="7.25" style="248" customWidth="1"/>
    <col min="13980" max="13980" width="8.375" style="248" customWidth="1"/>
    <col min="13981" max="13981" width="7.25" style="248" customWidth="1"/>
    <col min="13982" max="13982" width="7.625" style="248" customWidth="1"/>
    <col min="13983" max="14080" width="9" style="248"/>
    <col min="14081" max="14081" width="4.5" style="248" bestFit="1" customWidth="1"/>
    <col min="14082" max="14082" width="69.125" style="248" customWidth="1"/>
    <col min="14083" max="14083" width="9.25" style="248" customWidth="1"/>
    <col min="14084" max="14084" width="8.625" style="248" customWidth="1"/>
    <col min="14085" max="14085" width="9.375" style="248" customWidth="1"/>
    <col min="14086" max="14086" width="10.25" style="248" customWidth="1"/>
    <col min="14087" max="14087" width="10.625" style="248" customWidth="1"/>
    <col min="14088" max="14088" width="10" style="248" customWidth="1"/>
    <col min="14089" max="14090" width="8.5" style="248" customWidth="1"/>
    <col min="14091" max="14091" width="7.5" style="248" customWidth="1"/>
    <col min="14092" max="14092" width="7.125" style="248" customWidth="1"/>
    <col min="14093" max="14093" width="8.125" style="248" customWidth="1"/>
    <col min="14094" max="14095" width="7.5" style="248" customWidth="1"/>
    <col min="14096" max="14096" width="8.625" style="248" customWidth="1"/>
    <col min="14097" max="14099" width="7.5" style="248" customWidth="1"/>
    <col min="14100" max="14100" width="8.375" style="248" customWidth="1"/>
    <col min="14101" max="14101" width="7.5" style="248" customWidth="1"/>
    <col min="14102" max="14102" width="8.25" style="248" customWidth="1"/>
    <col min="14103" max="14105" width="7.5" style="248" customWidth="1"/>
    <col min="14106" max="14106" width="8.25" style="248" customWidth="1"/>
    <col min="14107" max="14107" width="8.125" style="248" customWidth="1"/>
    <col min="14108" max="14108" width="8.25" style="248" customWidth="1"/>
    <col min="14109" max="14109" width="8.75" style="248" customWidth="1"/>
    <col min="14110" max="14110" width="7.125" style="248" customWidth="1"/>
    <col min="14111" max="14111" width="9.5" style="248" customWidth="1"/>
    <col min="14112" max="14112" width="8.625" style="248" customWidth="1"/>
    <col min="14113" max="14113" width="8.875" style="248" customWidth="1"/>
    <col min="14114" max="14114" width="8.125" style="248" customWidth="1"/>
    <col min="14115" max="14117" width="7.625" style="248" customWidth="1"/>
    <col min="14118" max="14118" width="6.5" style="248" customWidth="1"/>
    <col min="14119" max="14127" width="8.5" style="248" customWidth="1"/>
    <col min="14128" max="14128" width="7.5" style="248" customWidth="1"/>
    <col min="14129" max="14129" width="7.25" style="248" customWidth="1"/>
    <col min="14130" max="14130" width="8.5" style="248" customWidth="1"/>
    <col min="14131" max="14131" width="9.375" style="248" customWidth="1"/>
    <col min="14132" max="14134" width="8.5" style="248" customWidth="1"/>
    <col min="14135" max="14135" width="9.25" style="248" customWidth="1"/>
    <col min="14136" max="14138" width="8.5" style="248" customWidth="1"/>
    <col min="14139" max="14139" width="7.875" style="248" customWidth="1"/>
    <col min="14140" max="14140" width="8.5" style="248" customWidth="1"/>
    <col min="14141" max="14141" width="7.375" style="248" customWidth="1"/>
    <col min="14142" max="14142" width="7.625" style="248" customWidth="1"/>
    <col min="14143" max="14143" width="9.875" style="248" customWidth="1"/>
    <col min="14144" max="14144" width="8.25" style="248" customWidth="1"/>
    <col min="14145" max="14147" width="8.875" style="248" customWidth="1"/>
    <col min="14148" max="14148" width="8.75" style="248" customWidth="1"/>
    <col min="14149" max="14149" width="8" style="248" customWidth="1"/>
    <col min="14150" max="14150" width="8.25" style="248" customWidth="1"/>
    <col min="14151" max="14151" width="7.375" style="248" customWidth="1"/>
    <col min="14152" max="14152" width="8.875" style="248" customWidth="1"/>
    <col min="14153" max="14153" width="7.375" style="248" customWidth="1"/>
    <col min="14154" max="14154" width="6.625" style="248" customWidth="1"/>
    <col min="14155" max="14155" width="9.5" style="248" customWidth="1"/>
    <col min="14156" max="14156" width="8" style="248" customWidth="1"/>
    <col min="14157" max="14157" width="8.375" style="248" customWidth="1"/>
    <col min="14158" max="14158" width="8.5" style="248" customWidth="1"/>
    <col min="14159" max="14159" width="8" style="248" customWidth="1"/>
    <col min="14160" max="14160" width="7.875" style="248" customWidth="1"/>
    <col min="14161" max="14161" width="8" style="248" customWidth="1"/>
    <col min="14162" max="14162" width="8.5" style="248" customWidth="1"/>
    <col min="14163" max="14165" width="8.125" style="248" customWidth="1"/>
    <col min="14166" max="14166" width="8" style="248" customWidth="1"/>
    <col min="14167" max="14170" width="8.75" style="248" customWidth="1"/>
    <col min="14171" max="14171" width="7.625" style="248" customWidth="1"/>
    <col min="14172" max="14173" width="8.75" style="248" customWidth="1"/>
    <col min="14174" max="14174" width="7.75" style="248" customWidth="1"/>
    <col min="14175" max="14177" width="8" style="248" customWidth="1"/>
    <col min="14178" max="14178" width="7.875" style="248" customWidth="1"/>
    <col min="14179" max="14180" width="8.75" style="248" customWidth="1"/>
    <col min="14181" max="14181" width="8.375" style="248" customWidth="1"/>
    <col min="14182" max="14182" width="8" style="248" customWidth="1"/>
    <col min="14183" max="14183" width="7.875" style="248" customWidth="1"/>
    <col min="14184" max="14186" width="8.25" style="248" customWidth="1"/>
    <col min="14187" max="14189" width="8.125" style="248" customWidth="1"/>
    <col min="14190" max="14190" width="7.875" style="248" customWidth="1"/>
    <col min="14191" max="14191" width="8.875" style="248" customWidth="1"/>
    <col min="14192" max="14192" width="8.375" style="248" customWidth="1"/>
    <col min="14193" max="14193" width="8.25" style="248" customWidth="1"/>
    <col min="14194" max="14194" width="8.875" style="248" customWidth="1"/>
    <col min="14195" max="14195" width="8.125" style="248" customWidth="1"/>
    <col min="14196" max="14196" width="8.25" style="248" customWidth="1"/>
    <col min="14197" max="14197" width="8.875" style="248" customWidth="1"/>
    <col min="14198" max="14198" width="8" style="248" customWidth="1"/>
    <col min="14199" max="14201" width="7.875" style="248" customWidth="1"/>
    <col min="14202" max="14202" width="7.75" style="248" customWidth="1"/>
    <col min="14203" max="14206" width="8.875" style="248" customWidth="1"/>
    <col min="14207" max="14207" width="8.75" style="248" customWidth="1"/>
    <col min="14208" max="14208" width="8.625" style="248" customWidth="1"/>
    <col min="14209" max="14210" width="8.25" style="248" customWidth="1"/>
    <col min="14211" max="14211" width="7.625" style="248" customWidth="1"/>
    <col min="14212" max="14212" width="8" style="248" customWidth="1"/>
    <col min="14213" max="14213" width="7.125" style="248" customWidth="1"/>
    <col min="14214" max="14214" width="7.625" style="248" customWidth="1"/>
    <col min="14215" max="14215" width="8.875" style="248" customWidth="1"/>
    <col min="14216" max="14216" width="8.125" style="248" customWidth="1"/>
    <col min="14217" max="14221" width="8.875" style="248" customWidth="1"/>
    <col min="14222" max="14222" width="8" style="248" customWidth="1"/>
    <col min="14223" max="14223" width="7.75" style="248" customWidth="1"/>
    <col min="14224" max="14224" width="7.875" style="248" customWidth="1"/>
    <col min="14225" max="14225" width="7.375" style="248" customWidth="1"/>
    <col min="14226" max="14226" width="7.875" style="248" customWidth="1"/>
    <col min="14227" max="14233" width="8.875" style="248" customWidth="1"/>
    <col min="14234" max="14234" width="7.5" style="248" customWidth="1"/>
    <col min="14235" max="14235" width="7.25" style="248" customWidth="1"/>
    <col min="14236" max="14236" width="8.375" style="248" customWidth="1"/>
    <col min="14237" max="14237" width="7.25" style="248" customWidth="1"/>
    <col min="14238" max="14238" width="7.625" style="248" customWidth="1"/>
    <col min="14239" max="14336" width="9" style="248"/>
    <col min="14337" max="14337" width="4.5" style="248" bestFit="1" customWidth="1"/>
    <col min="14338" max="14338" width="69.125" style="248" customWidth="1"/>
    <col min="14339" max="14339" width="9.25" style="248" customWidth="1"/>
    <col min="14340" max="14340" width="8.625" style="248" customWidth="1"/>
    <col min="14341" max="14341" width="9.375" style="248" customWidth="1"/>
    <col min="14342" max="14342" width="10.25" style="248" customWidth="1"/>
    <col min="14343" max="14343" width="10.625" style="248" customWidth="1"/>
    <col min="14344" max="14344" width="10" style="248" customWidth="1"/>
    <col min="14345" max="14346" width="8.5" style="248" customWidth="1"/>
    <col min="14347" max="14347" width="7.5" style="248" customWidth="1"/>
    <col min="14348" max="14348" width="7.125" style="248" customWidth="1"/>
    <col min="14349" max="14349" width="8.125" style="248" customWidth="1"/>
    <col min="14350" max="14351" width="7.5" style="248" customWidth="1"/>
    <col min="14352" max="14352" width="8.625" style="248" customWidth="1"/>
    <col min="14353" max="14355" width="7.5" style="248" customWidth="1"/>
    <col min="14356" max="14356" width="8.375" style="248" customWidth="1"/>
    <col min="14357" max="14357" width="7.5" style="248" customWidth="1"/>
    <col min="14358" max="14358" width="8.25" style="248" customWidth="1"/>
    <col min="14359" max="14361" width="7.5" style="248" customWidth="1"/>
    <col min="14362" max="14362" width="8.25" style="248" customWidth="1"/>
    <col min="14363" max="14363" width="8.125" style="248" customWidth="1"/>
    <col min="14364" max="14364" width="8.25" style="248" customWidth="1"/>
    <col min="14365" max="14365" width="8.75" style="248" customWidth="1"/>
    <col min="14366" max="14366" width="7.125" style="248" customWidth="1"/>
    <col min="14367" max="14367" width="9.5" style="248" customWidth="1"/>
    <col min="14368" max="14368" width="8.625" style="248" customWidth="1"/>
    <col min="14369" max="14369" width="8.875" style="248" customWidth="1"/>
    <col min="14370" max="14370" width="8.125" style="248" customWidth="1"/>
    <col min="14371" max="14373" width="7.625" style="248" customWidth="1"/>
    <col min="14374" max="14374" width="6.5" style="248" customWidth="1"/>
    <col min="14375" max="14383" width="8.5" style="248" customWidth="1"/>
    <col min="14384" max="14384" width="7.5" style="248" customWidth="1"/>
    <col min="14385" max="14385" width="7.25" style="248" customWidth="1"/>
    <col min="14386" max="14386" width="8.5" style="248" customWidth="1"/>
    <col min="14387" max="14387" width="9.375" style="248" customWidth="1"/>
    <col min="14388" max="14390" width="8.5" style="248" customWidth="1"/>
    <col min="14391" max="14391" width="9.25" style="248" customWidth="1"/>
    <col min="14392" max="14394" width="8.5" style="248" customWidth="1"/>
    <col min="14395" max="14395" width="7.875" style="248" customWidth="1"/>
    <col min="14396" max="14396" width="8.5" style="248" customWidth="1"/>
    <col min="14397" max="14397" width="7.375" style="248" customWidth="1"/>
    <col min="14398" max="14398" width="7.625" style="248" customWidth="1"/>
    <col min="14399" max="14399" width="9.875" style="248" customWidth="1"/>
    <col min="14400" max="14400" width="8.25" style="248" customWidth="1"/>
    <col min="14401" max="14403" width="8.875" style="248" customWidth="1"/>
    <col min="14404" max="14404" width="8.75" style="248" customWidth="1"/>
    <col min="14405" max="14405" width="8" style="248" customWidth="1"/>
    <col min="14406" max="14406" width="8.25" style="248" customWidth="1"/>
    <col min="14407" max="14407" width="7.375" style="248" customWidth="1"/>
    <col min="14408" max="14408" width="8.875" style="248" customWidth="1"/>
    <col min="14409" max="14409" width="7.375" style="248" customWidth="1"/>
    <col min="14410" max="14410" width="6.625" style="248" customWidth="1"/>
    <col min="14411" max="14411" width="9.5" style="248" customWidth="1"/>
    <col min="14412" max="14412" width="8" style="248" customWidth="1"/>
    <col min="14413" max="14413" width="8.375" style="248" customWidth="1"/>
    <col min="14414" max="14414" width="8.5" style="248" customWidth="1"/>
    <col min="14415" max="14415" width="8" style="248" customWidth="1"/>
    <col min="14416" max="14416" width="7.875" style="248" customWidth="1"/>
    <col min="14417" max="14417" width="8" style="248" customWidth="1"/>
    <col min="14418" max="14418" width="8.5" style="248" customWidth="1"/>
    <col min="14419" max="14421" width="8.125" style="248" customWidth="1"/>
    <col min="14422" max="14422" width="8" style="248" customWidth="1"/>
    <col min="14423" max="14426" width="8.75" style="248" customWidth="1"/>
    <col min="14427" max="14427" width="7.625" style="248" customWidth="1"/>
    <col min="14428" max="14429" width="8.75" style="248" customWidth="1"/>
    <col min="14430" max="14430" width="7.75" style="248" customWidth="1"/>
    <col min="14431" max="14433" width="8" style="248" customWidth="1"/>
    <col min="14434" max="14434" width="7.875" style="248" customWidth="1"/>
    <col min="14435" max="14436" width="8.75" style="248" customWidth="1"/>
    <col min="14437" max="14437" width="8.375" style="248" customWidth="1"/>
    <col min="14438" max="14438" width="8" style="248" customWidth="1"/>
    <col min="14439" max="14439" width="7.875" style="248" customWidth="1"/>
    <col min="14440" max="14442" width="8.25" style="248" customWidth="1"/>
    <col min="14443" max="14445" width="8.125" style="248" customWidth="1"/>
    <col min="14446" max="14446" width="7.875" style="248" customWidth="1"/>
    <col min="14447" max="14447" width="8.875" style="248" customWidth="1"/>
    <col min="14448" max="14448" width="8.375" style="248" customWidth="1"/>
    <col min="14449" max="14449" width="8.25" style="248" customWidth="1"/>
    <col min="14450" max="14450" width="8.875" style="248" customWidth="1"/>
    <col min="14451" max="14451" width="8.125" style="248" customWidth="1"/>
    <col min="14452" max="14452" width="8.25" style="248" customWidth="1"/>
    <col min="14453" max="14453" width="8.875" style="248" customWidth="1"/>
    <col min="14454" max="14454" width="8" style="248" customWidth="1"/>
    <col min="14455" max="14457" width="7.875" style="248" customWidth="1"/>
    <col min="14458" max="14458" width="7.75" style="248" customWidth="1"/>
    <col min="14459" max="14462" width="8.875" style="248" customWidth="1"/>
    <col min="14463" max="14463" width="8.75" style="248" customWidth="1"/>
    <col min="14464" max="14464" width="8.625" style="248" customWidth="1"/>
    <col min="14465" max="14466" width="8.25" style="248" customWidth="1"/>
    <col min="14467" max="14467" width="7.625" style="248" customWidth="1"/>
    <col min="14468" max="14468" width="8" style="248" customWidth="1"/>
    <col min="14469" max="14469" width="7.125" style="248" customWidth="1"/>
    <col min="14470" max="14470" width="7.625" style="248" customWidth="1"/>
    <col min="14471" max="14471" width="8.875" style="248" customWidth="1"/>
    <col min="14472" max="14472" width="8.125" style="248" customWidth="1"/>
    <col min="14473" max="14477" width="8.875" style="248" customWidth="1"/>
    <col min="14478" max="14478" width="8" style="248" customWidth="1"/>
    <col min="14479" max="14479" width="7.75" style="248" customWidth="1"/>
    <col min="14480" max="14480" width="7.875" style="248" customWidth="1"/>
    <col min="14481" max="14481" width="7.375" style="248" customWidth="1"/>
    <col min="14482" max="14482" width="7.875" style="248" customWidth="1"/>
    <col min="14483" max="14489" width="8.875" style="248" customWidth="1"/>
    <col min="14490" max="14490" width="7.5" style="248" customWidth="1"/>
    <col min="14491" max="14491" width="7.25" style="248" customWidth="1"/>
    <col min="14492" max="14492" width="8.375" style="248" customWidth="1"/>
    <col min="14493" max="14493" width="7.25" style="248" customWidth="1"/>
    <col min="14494" max="14494" width="7.625" style="248" customWidth="1"/>
    <col min="14495" max="14592" width="9" style="248"/>
    <col min="14593" max="14593" width="4.5" style="248" bestFit="1" customWidth="1"/>
    <col min="14594" max="14594" width="69.125" style="248" customWidth="1"/>
    <col min="14595" max="14595" width="9.25" style="248" customWidth="1"/>
    <col min="14596" max="14596" width="8.625" style="248" customWidth="1"/>
    <col min="14597" max="14597" width="9.375" style="248" customWidth="1"/>
    <col min="14598" max="14598" width="10.25" style="248" customWidth="1"/>
    <col min="14599" max="14599" width="10.625" style="248" customWidth="1"/>
    <col min="14600" max="14600" width="10" style="248" customWidth="1"/>
    <col min="14601" max="14602" width="8.5" style="248" customWidth="1"/>
    <col min="14603" max="14603" width="7.5" style="248" customWidth="1"/>
    <col min="14604" max="14604" width="7.125" style="248" customWidth="1"/>
    <col min="14605" max="14605" width="8.125" style="248" customWidth="1"/>
    <col min="14606" max="14607" width="7.5" style="248" customWidth="1"/>
    <col min="14608" max="14608" width="8.625" style="248" customWidth="1"/>
    <col min="14609" max="14611" width="7.5" style="248" customWidth="1"/>
    <col min="14612" max="14612" width="8.375" style="248" customWidth="1"/>
    <col min="14613" max="14613" width="7.5" style="248" customWidth="1"/>
    <col min="14614" max="14614" width="8.25" style="248" customWidth="1"/>
    <col min="14615" max="14617" width="7.5" style="248" customWidth="1"/>
    <col min="14618" max="14618" width="8.25" style="248" customWidth="1"/>
    <col min="14619" max="14619" width="8.125" style="248" customWidth="1"/>
    <col min="14620" max="14620" width="8.25" style="248" customWidth="1"/>
    <col min="14621" max="14621" width="8.75" style="248" customWidth="1"/>
    <col min="14622" max="14622" width="7.125" style="248" customWidth="1"/>
    <col min="14623" max="14623" width="9.5" style="248" customWidth="1"/>
    <col min="14624" max="14624" width="8.625" style="248" customWidth="1"/>
    <col min="14625" max="14625" width="8.875" style="248" customWidth="1"/>
    <col min="14626" max="14626" width="8.125" style="248" customWidth="1"/>
    <col min="14627" max="14629" width="7.625" style="248" customWidth="1"/>
    <col min="14630" max="14630" width="6.5" style="248" customWidth="1"/>
    <col min="14631" max="14639" width="8.5" style="248" customWidth="1"/>
    <col min="14640" max="14640" width="7.5" style="248" customWidth="1"/>
    <col min="14641" max="14641" width="7.25" style="248" customWidth="1"/>
    <col min="14642" max="14642" width="8.5" style="248" customWidth="1"/>
    <col min="14643" max="14643" width="9.375" style="248" customWidth="1"/>
    <col min="14644" max="14646" width="8.5" style="248" customWidth="1"/>
    <col min="14647" max="14647" width="9.25" style="248" customWidth="1"/>
    <col min="14648" max="14650" width="8.5" style="248" customWidth="1"/>
    <col min="14651" max="14651" width="7.875" style="248" customWidth="1"/>
    <col min="14652" max="14652" width="8.5" style="248" customWidth="1"/>
    <col min="14653" max="14653" width="7.375" style="248" customWidth="1"/>
    <col min="14654" max="14654" width="7.625" style="248" customWidth="1"/>
    <col min="14655" max="14655" width="9.875" style="248" customWidth="1"/>
    <col min="14656" max="14656" width="8.25" style="248" customWidth="1"/>
    <col min="14657" max="14659" width="8.875" style="248" customWidth="1"/>
    <col min="14660" max="14660" width="8.75" style="248" customWidth="1"/>
    <col min="14661" max="14661" width="8" style="248" customWidth="1"/>
    <col min="14662" max="14662" width="8.25" style="248" customWidth="1"/>
    <col min="14663" max="14663" width="7.375" style="248" customWidth="1"/>
    <col min="14664" max="14664" width="8.875" style="248" customWidth="1"/>
    <col min="14665" max="14665" width="7.375" style="248" customWidth="1"/>
    <col min="14666" max="14666" width="6.625" style="248" customWidth="1"/>
    <col min="14667" max="14667" width="9.5" style="248" customWidth="1"/>
    <col min="14668" max="14668" width="8" style="248" customWidth="1"/>
    <col min="14669" max="14669" width="8.375" style="248" customWidth="1"/>
    <col min="14670" max="14670" width="8.5" style="248" customWidth="1"/>
    <col min="14671" max="14671" width="8" style="248" customWidth="1"/>
    <col min="14672" max="14672" width="7.875" style="248" customWidth="1"/>
    <col min="14673" max="14673" width="8" style="248" customWidth="1"/>
    <col min="14674" max="14674" width="8.5" style="248" customWidth="1"/>
    <col min="14675" max="14677" width="8.125" style="248" customWidth="1"/>
    <col min="14678" max="14678" width="8" style="248" customWidth="1"/>
    <col min="14679" max="14682" width="8.75" style="248" customWidth="1"/>
    <col min="14683" max="14683" width="7.625" style="248" customWidth="1"/>
    <col min="14684" max="14685" width="8.75" style="248" customWidth="1"/>
    <col min="14686" max="14686" width="7.75" style="248" customWidth="1"/>
    <col min="14687" max="14689" width="8" style="248" customWidth="1"/>
    <col min="14690" max="14690" width="7.875" style="248" customWidth="1"/>
    <col min="14691" max="14692" width="8.75" style="248" customWidth="1"/>
    <col min="14693" max="14693" width="8.375" style="248" customWidth="1"/>
    <col min="14694" max="14694" width="8" style="248" customWidth="1"/>
    <col min="14695" max="14695" width="7.875" style="248" customWidth="1"/>
    <col min="14696" max="14698" width="8.25" style="248" customWidth="1"/>
    <col min="14699" max="14701" width="8.125" style="248" customWidth="1"/>
    <col min="14702" max="14702" width="7.875" style="248" customWidth="1"/>
    <col min="14703" max="14703" width="8.875" style="248" customWidth="1"/>
    <col min="14704" max="14704" width="8.375" style="248" customWidth="1"/>
    <col min="14705" max="14705" width="8.25" style="248" customWidth="1"/>
    <col min="14706" max="14706" width="8.875" style="248" customWidth="1"/>
    <col min="14707" max="14707" width="8.125" style="248" customWidth="1"/>
    <col min="14708" max="14708" width="8.25" style="248" customWidth="1"/>
    <col min="14709" max="14709" width="8.875" style="248" customWidth="1"/>
    <col min="14710" max="14710" width="8" style="248" customWidth="1"/>
    <col min="14711" max="14713" width="7.875" style="248" customWidth="1"/>
    <col min="14714" max="14714" width="7.75" style="248" customWidth="1"/>
    <col min="14715" max="14718" width="8.875" style="248" customWidth="1"/>
    <col min="14719" max="14719" width="8.75" style="248" customWidth="1"/>
    <col min="14720" max="14720" width="8.625" style="248" customWidth="1"/>
    <col min="14721" max="14722" width="8.25" style="248" customWidth="1"/>
    <col min="14723" max="14723" width="7.625" style="248" customWidth="1"/>
    <col min="14724" max="14724" width="8" style="248" customWidth="1"/>
    <col min="14725" max="14725" width="7.125" style="248" customWidth="1"/>
    <col min="14726" max="14726" width="7.625" style="248" customWidth="1"/>
    <col min="14727" max="14727" width="8.875" style="248" customWidth="1"/>
    <col min="14728" max="14728" width="8.125" style="248" customWidth="1"/>
    <col min="14729" max="14733" width="8.875" style="248" customWidth="1"/>
    <col min="14734" max="14734" width="8" style="248" customWidth="1"/>
    <col min="14735" max="14735" width="7.75" style="248" customWidth="1"/>
    <col min="14736" max="14736" width="7.875" style="248" customWidth="1"/>
    <col min="14737" max="14737" width="7.375" style="248" customWidth="1"/>
    <col min="14738" max="14738" width="7.875" style="248" customWidth="1"/>
    <col min="14739" max="14745" width="8.875" style="248" customWidth="1"/>
    <col min="14746" max="14746" width="7.5" style="248" customWidth="1"/>
    <col min="14747" max="14747" width="7.25" style="248" customWidth="1"/>
    <col min="14748" max="14748" width="8.375" style="248" customWidth="1"/>
    <col min="14749" max="14749" width="7.25" style="248" customWidth="1"/>
    <col min="14750" max="14750" width="7.625" style="248" customWidth="1"/>
    <col min="14751" max="14848" width="9" style="248"/>
    <col min="14849" max="14849" width="4.5" style="248" bestFit="1" customWidth="1"/>
    <col min="14850" max="14850" width="69.125" style="248" customWidth="1"/>
    <col min="14851" max="14851" width="9.25" style="248" customWidth="1"/>
    <col min="14852" max="14852" width="8.625" style="248" customWidth="1"/>
    <col min="14853" max="14853" width="9.375" style="248" customWidth="1"/>
    <col min="14854" max="14854" width="10.25" style="248" customWidth="1"/>
    <col min="14855" max="14855" width="10.625" style="248" customWidth="1"/>
    <col min="14856" max="14856" width="10" style="248" customWidth="1"/>
    <col min="14857" max="14858" width="8.5" style="248" customWidth="1"/>
    <col min="14859" max="14859" width="7.5" style="248" customWidth="1"/>
    <col min="14860" max="14860" width="7.125" style="248" customWidth="1"/>
    <col min="14861" max="14861" width="8.125" style="248" customWidth="1"/>
    <col min="14862" max="14863" width="7.5" style="248" customWidth="1"/>
    <col min="14864" max="14864" width="8.625" style="248" customWidth="1"/>
    <col min="14865" max="14867" width="7.5" style="248" customWidth="1"/>
    <col min="14868" max="14868" width="8.375" style="248" customWidth="1"/>
    <col min="14869" max="14869" width="7.5" style="248" customWidth="1"/>
    <col min="14870" max="14870" width="8.25" style="248" customWidth="1"/>
    <col min="14871" max="14873" width="7.5" style="248" customWidth="1"/>
    <col min="14874" max="14874" width="8.25" style="248" customWidth="1"/>
    <col min="14875" max="14875" width="8.125" style="248" customWidth="1"/>
    <col min="14876" max="14876" width="8.25" style="248" customWidth="1"/>
    <col min="14877" max="14877" width="8.75" style="248" customWidth="1"/>
    <col min="14878" max="14878" width="7.125" style="248" customWidth="1"/>
    <col min="14879" max="14879" width="9.5" style="248" customWidth="1"/>
    <col min="14880" max="14880" width="8.625" style="248" customWidth="1"/>
    <col min="14881" max="14881" width="8.875" style="248" customWidth="1"/>
    <col min="14882" max="14882" width="8.125" style="248" customWidth="1"/>
    <col min="14883" max="14885" width="7.625" style="248" customWidth="1"/>
    <col min="14886" max="14886" width="6.5" style="248" customWidth="1"/>
    <col min="14887" max="14895" width="8.5" style="248" customWidth="1"/>
    <col min="14896" max="14896" width="7.5" style="248" customWidth="1"/>
    <col min="14897" max="14897" width="7.25" style="248" customWidth="1"/>
    <col min="14898" max="14898" width="8.5" style="248" customWidth="1"/>
    <col min="14899" max="14899" width="9.375" style="248" customWidth="1"/>
    <col min="14900" max="14902" width="8.5" style="248" customWidth="1"/>
    <col min="14903" max="14903" width="9.25" style="248" customWidth="1"/>
    <col min="14904" max="14906" width="8.5" style="248" customWidth="1"/>
    <col min="14907" max="14907" width="7.875" style="248" customWidth="1"/>
    <col min="14908" max="14908" width="8.5" style="248" customWidth="1"/>
    <col min="14909" max="14909" width="7.375" style="248" customWidth="1"/>
    <col min="14910" max="14910" width="7.625" style="248" customWidth="1"/>
    <col min="14911" max="14911" width="9.875" style="248" customWidth="1"/>
    <col min="14912" max="14912" width="8.25" style="248" customWidth="1"/>
    <col min="14913" max="14915" width="8.875" style="248" customWidth="1"/>
    <col min="14916" max="14916" width="8.75" style="248" customWidth="1"/>
    <col min="14917" max="14917" width="8" style="248" customWidth="1"/>
    <col min="14918" max="14918" width="8.25" style="248" customWidth="1"/>
    <col min="14919" max="14919" width="7.375" style="248" customWidth="1"/>
    <col min="14920" max="14920" width="8.875" style="248" customWidth="1"/>
    <col min="14921" max="14921" width="7.375" style="248" customWidth="1"/>
    <col min="14922" max="14922" width="6.625" style="248" customWidth="1"/>
    <col min="14923" max="14923" width="9.5" style="248" customWidth="1"/>
    <col min="14924" max="14924" width="8" style="248" customWidth="1"/>
    <col min="14925" max="14925" width="8.375" style="248" customWidth="1"/>
    <col min="14926" max="14926" width="8.5" style="248" customWidth="1"/>
    <col min="14927" max="14927" width="8" style="248" customWidth="1"/>
    <col min="14928" max="14928" width="7.875" style="248" customWidth="1"/>
    <col min="14929" max="14929" width="8" style="248" customWidth="1"/>
    <col min="14930" max="14930" width="8.5" style="248" customWidth="1"/>
    <col min="14931" max="14933" width="8.125" style="248" customWidth="1"/>
    <col min="14934" max="14934" width="8" style="248" customWidth="1"/>
    <col min="14935" max="14938" width="8.75" style="248" customWidth="1"/>
    <col min="14939" max="14939" width="7.625" style="248" customWidth="1"/>
    <col min="14940" max="14941" width="8.75" style="248" customWidth="1"/>
    <col min="14942" max="14942" width="7.75" style="248" customWidth="1"/>
    <col min="14943" max="14945" width="8" style="248" customWidth="1"/>
    <col min="14946" max="14946" width="7.875" style="248" customWidth="1"/>
    <col min="14947" max="14948" width="8.75" style="248" customWidth="1"/>
    <col min="14949" max="14949" width="8.375" style="248" customWidth="1"/>
    <col min="14950" max="14950" width="8" style="248" customWidth="1"/>
    <col min="14951" max="14951" width="7.875" style="248" customWidth="1"/>
    <col min="14952" max="14954" width="8.25" style="248" customWidth="1"/>
    <col min="14955" max="14957" width="8.125" style="248" customWidth="1"/>
    <col min="14958" max="14958" width="7.875" style="248" customWidth="1"/>
    <col min="14959" max="14959" width="8.875" style="248" customWidth="1"/>
    <col min="14960" max="14960" width="8.375" style="248" customWidth="1"/>
    <col min="14961" max="14961" width="8.25" style="248" customWidth="1"/>
    <col min="14962" max="14962" width="8.875" style="248" customWidth="1"/>
    <col min="14963" max="14963" width="8.125" style="248" customWidth="1"/>
    <col min="14964" max="14964" width="8.25" style="248" customWidth="1"/>
    <col min="14965" max="14965" width="8.875" style="248" customWidth="1"/>
    <col min="14966" max="14966" width="8" style="248" customWidth="1"/>
    <col min="14967" max="14969" width="7.875" style="248" customWidth="1"/>
    <col min="14970" max="14970" width="7.75" style="248" customWidth="1"/>
    <col min="14971" max="14974" width="8.875" style="248" customWidth="1"/>
    <col min="14975" max="14975" width="8.75" style="248" customWidth="1"/>
    <col min="14976" max="14976" width="8.625" style="248" customWidth="1"/>
    <col min="14977" max="14978" width="8.25" style="248" customWidth="1"/>
    <col min="14979" max="14979" width="7.625" style="248" customWidth="1"/>
    <col min="14980" max="14980" width="8" style="248" customWidth="1"/>
    <col min="14981" max="14981" width="7.125" style="248" customWidth="1"/>
    <col min="14982" max="14982" width="7.625" style="248" customWidth="1"/>
    <col min="14983" max="14983" width="8.875" style="248" customWidth="1"/>
    <col min="14984" max="14984" width="8.125" style="248" customWidth="1"/>
    <col min="14985" max="14989" width="8.875" style="248" customWidth="1"/>
    <col min="14990" max="14990" width="8" style="248" customWidth="1"/>
    <col min="14991" max="14991" width="7.75" style="248" customWidth="1"/>
    <col min="14992" max="14992" width="7.875" style="248" customWidth="1"/>
    <col min="14993" max="14993" width="7.375" style="248" customWidth="1"/>
    <col min="14994" max="14994" width="7.875" style="248" customWidth="1"/>
    <col min="14995" max="15001" width="8.875" style="248" customWidth="1"/>
    <col min="15002" max="15002" width="7.5" style="248" customWidth="1"/>
    <col min="15003" max="15003" width="7.25" style="248" customWidth="1"/>
    <col min="15004" max="15004" width="8.375" style="248" customWidth="1"/>
    <col min="15005" max="15005" width="7.25" style="248" customWidth="1"/>
    <col min="15006" max="15006" width="7.625" style="248" customWidth="1"/>
    <col min="15007" max="15104" width="9" style="248"/>
    <col min="15105" max="15105" width="4.5" style="248" bestFit="1" customWidth="1"/>
    <col min="15106" max="15106" width="69.125" style="248" customWidth="1"/>
    <col min="15107" max="15107" width="9.25" style="248" customWidth="1"/>
    <col min="15108" max="15108" width="8.625" style="248" customWidth="1"/>
    <col min="15109" max="15109" width="9.375" style="248" customWidth="1"/>
    <col min="15110" max="15110" width="10.25" style="248" customWidth="1"/>
    <col min="15111" max="15111" width="10.625" style="248" customWidth="1"/>
    <col min="15112" max="15112" width="10" style="248" customWidth="1"/>
    <col min="15113" max="15114" width="8.5" style="248" customWidth="1"/>
    <col min="15115" max="15115" width="7.5" style="248" customWidth="1"/>
    <col min="15116" max="15116" width="7.125" style="248" customWidth="1"/>
    <col min="15117" max="15117" width="8.125" style="248" customWidth="1"/>
    <col min="15118" max="15119" width="7.5" style="248" customWidth="1"/>
    <col min="15120" max="15120" width="8.625" style="248" customWidth="1"/>
    <col min="15121" max="15123" width="7.5" style="248" customWidth="1"/>
    <col min="15124" max="15124" width="8.375" style="248" customWidth="1"/>
    <col min="15125" max="15125" width="7.5" style="248" customWidth="1"/>
    <col min="15126" max="15126" width="8.25" style="248" customWidth="1"/>
    <col min="15127" max="15129" width="7.5" style="248" customWidth="1"/>
    <col min="15130" max="15130" width="8.25" style="248" customWidth="1"/>
    <col min="15131" max="15131" width="8.125" style="248" customWidth="1"/>
    <col min="15132" max="15132" width="8.25" style="248" customWidth="1"/>
    <col min="15133" max="15133" width="8.75" style="248" customWidth="1"/>
    <col min="15134" max="15134" width="7.125" style="248" customWidth="1"/>
    <col min="15135" max="15135" width="9.5" style="248" customWidth="1"/>
    <col min="15136" max="15136" width="8.625" style="248" customWidth="1"/>
    <col min="15137" max="15137" width="8.875" style="248" customWidth="1"/>
    <col min="15138" max="15138" width="8.125" style="248" customWidth="1"/>
    <col min="15139" max="15141" width="7.625" style="248" customWidth="1"/>
    <col min="15142" max="15142" width="6.5" style="248" customWidth="1"/>
    <col min="15143" max="15151" width="8.5" style="248" customWidth="1"/>
    <col min="15152" max="15152" width="7.5" style="248" customWidth="1"/>
    <col min="15153" max="15153" width="7.25" style="248" customWidth="1"/>
    <col min="15154" max="15154" width="8.5" style="248" customWidth="1"/>
    <col min="15155" max="15155" width="9.375" style="248" customWidth="1"/>
    <col min="15156" max="15158" width="8.5" style="248" customWidth="1"/>
    <col min="15159" max="15159" width="9.25" style="248" customWidth="1"/>
    <col min="15160" max="15162" width="8.5" style="248" customWidth="1"/>
    <col min="15163" max="15163" width="7.875" style="248" customWidth="1"/>
    <col min="15164" max="15164" width="8.5" style="248" customWidth="1"/>
    <col min="15165" max="15165" width="7.375" style="248" customWidth="1"/>
    <col min="15166" max="15166" width="7.625" style="248" customWidth="1"/>
    <col min="15167" max="15167" width="9.875" style="248" customWidth="1"/>
    <col min="15168" max="15168" width="8.25" style="248" customWidth="1"/>
    <col min="15169" max="15171" width="8.875" style="248" customWidth="1"/>
    <col min="15172" max="15172" width="8.75" style="248" customWidth="1"/>
    <col min="15173" max="15173" width="8" style="248" customWidth="1"/>
    <col min="15174" max="15174" width="8.25" style="248" customWidth="1"/>
    <col min="15175" max="15175" width="7.375" style="248" customWidth="1"/>
    <col min="15176" max="15176" width="8.875" style="248" customWidth="1"/>
    <col min="15177" max="15177" width="7.375" style="248" customWidth="1"/>
    <col min="15178" max="15178" width="6.625" style="248" customWidth="1"/>
    <col min="15179" max="15179" width="9.5" style="248" customWidth="1"/>
    <col min="15180" max="15180" width="8" style="248" customWidth="1"/>
    <col min="15181" max="15181" width="8.375" style="248" customWidth="1"/>
    <col min="15182" max="15182" width="8.5" style="248" customWidth="1"/>
    <col min="15183" max="15183" width="8" style="248" customWidth="1"/>
    <col min="15184" max="15184" width="7.875" style="248" customWidth="1"/>
    <col min="15185" max="15185" width="8" style="248" customWidth="1"/>
    <col min="15186" max="15186" width="8.5" style="248" customWidth="1"/>
    <col min="15187" max="15189" width="8.125" style="248" customWidth="1"/>
    <col min="15190" max="15190" width="8" style="248" customWidth="1"/>
    <col min="15191" max="15194" width="8.75" style="248" customWidth="1"/>
    <col min="15195" max="15195" width="7.625" style="248" customWidth="1"/>
    <col min="15196" max="15197" width="8.75" style="248" customWidth="1"/>
    <col min="15198" max="15198" width="7.75" style="248" customWidth="1"/>
    <col min="15199" max="15201" width="8" style="248" customWidth="1"/>
    <col min="15202" max="15202" width="7.875" style="248" customWidth="1"/>
    <col min="15203" max="15204" width="8.75" style="248" customWidth="1"/>
    <col min="15205" max="15205" width="8.375" style="248" customWidth="1"/>
    <col min="15206" max="15206" width="8" style="248" customWidth="1"/>
    <col min="15207" max="15207" width="7.875" style="248" customWidth="1"/>
    <col min="15208" max="15210" width="8.25" style="248" customWidth="1"/>
    <col min="15211" max="15213" width="8.125" style="248" customWidth="1"/>
    <col min="15214" max="15214" width="7.875" style="248" customWidth="1"/>
    <col min="15215" max="15215" width="8.875" style="248" customWidth="1"/>
    <col min="15216" max="15216" width="8.375" style="248" customWidth="1"/>
    <col min="15217" max="15217" width="8.25" style="248" customWidth="1"/>
    <col min="15218" max="15218" width="8.875" style="248" customWidth="1"/>
    <col min="15219" max="15219" width="8.125" style="248" customWidth="1"/>
    <col min="15220" max="15220" width="8.25" style="248" customWidth="1"/>
    <col min="15221" max="15221" width="8.875" style="248" customWidth="1"/>
    <col min="15222" max="15222" width="8" style="248" customWidth="1"/>
    <col min="15223" max="15225" width="7.875" style="248" customWidth="1"/>
    <col min="15226" max="15226" width="7.75" style="248" customWidth="1"/>
    <col min="15227" max="15230" width="8.875" style="248" customWidth="1"/>
    <col min="15231" max="15231" width="8.75" style="248" customWidth="1"/>
    <col min="15232" max="15232" width="8.625" style="248" customWidth="1"/>
    <col min="15233" max="15234" width="8.25" style="248" customWidth="1"/>
    <col min="15235" max="15235" width="7.625" style="248" customWidth="1"/>
    <col min="15236" max="15236" width="8" style="248" customWidth="1"/>
    <col min="15237" max="15237" width="7.125" style="248" customWidth="1"/>
    <col min="15238" max="15238" width="7.625" style="248" customWidth="1"/>
    <col min="15239" max="15239" width="8.875" style="248" customWidth="1"/>
    <col min="15240" max="15240" width="8.125" style="248" customWidth="1"/>
    <col min="15241" max="15245" width="8.875" style="248" customWidth="1"/>
    <col min="15246" max="15246" width="8" style="248" customWidth="1"/>
    <col min="15247" max="15247" width="7.75" style="248" customWidth="1"/>
    <col min="15248" max="15248" width="7.875" style="248" customWidth="1"/>
    <col min="15249" max="15249" width="7.375" style="248" customWidth="1"/>
    <col min="15250" max="15250" width="7.875" style="248" customWidth="1"/>
    <col min="15251" max="15257" width="8.875" style="248" customWidth="1"/>
    <col min="15258" max="15258" width="7.5" style="248" customWidth="1"/>
    <col min="15259" max="15259" width="7.25" style="248" customWidth="1"/>
    <col min="15260" max="15260" width="8.375" style="248" customWidth="1"/>
    <col min="15261" max="15261" width="7.25" style="248" customWidth="1"/>
    <col min="15262" max="15262" width="7.625" style="248" customWidth="1"/>
    <col min="15263" max="15360" width="9" style="248"/>
    <col min="15361" max="15361" width="4.5" style="248" bestFit="1" customWidth="1"/>
    <col min="15362" max="15362" width="69.125" style="248" customWidth="1"/>
    <col min="15363" max="15363" width="9.25" style="248" customWidth="1"/>
    <col min="15364" max="15364" width="8.625" style="248" customWidth="1"/>
    <col min="15365" max="15365" width="9.375" style="248" customWidth="1"/>
    <col min="15366" max="15366" width="10.25" style="248" customWidth="1"/>
    <col min="15367" max="15367" width="10.625" style="248" customWidth="1"/>
    <col min="15368" max="15368" width="10" style="248" customWidth="1"/>
    <col min="15369" max="15370" width="8.5" style="248" customWidth="1"/>
    <col min="15371" max="15371" width="7.5" style="248" customWidth="1"/>
    <col min="15372" max="15372" width="7.125" style="248" customWidth="1"/>
    <col min="15373" max="15373" width="8.125" style="248" customWidth="1"/>
    <col min="15374" max="15375" width="7.5" style="248" customWidth="1"/>
    <col min="15376" max="15376" width="8.625" style="248" customWidth="1"/>
    <col min="15377" max="15379" width="7.5" style="248" customWidth="1"/>
    <col min="15380" max="15380" width="8.375" style="248" customWidth="1"/>
    <col min="15381" max="15381" width="7.5" style="248" customWidth="1"/>
    <col min="15382" max="15382" width="8.25" style="248" customWidth="1"/>
    <col min="15383" max="15385" width="7.5" style="248" customWidth="1"/>
    <col min="15386" max="15386" width="8.25" style="248" customWidth="1"/>
    <col min="15387" max="15387" width="8.125" style="248" customWidth="1"/>
    <col min="15388" max="15388" width="8.25" style="248" customWidth="1"/>
    <col min="15389" max="15389" width="8.75" style="248" customWidth="1"/>
    <col min="15390" max="15390" width="7.125" style="248" customWidth="1"/>
    <col min="15391" max="15391" width="9.5" style="248" customWidth="1"/>
    <col min="15392" max="15392" width="8.625" style="248" customWidth="1"/>
    <col min="15393" max="15393" width="8.875" style="248" customWidth="1"/>
    <col min="15394" max="15394" width="8.125" style="248" customWidth="1"/>
    <col min="15395" max="15397" width="7.625" style="248" customWidth="1"/>
    <col min="15398" max="15398" width="6.5" style="248" customWidth="1"/>
    <col min="15399" max="15407" width="8.5" style="248" customWidth="1"/>
    <col min="15408" max="15408" width="7.5" style="248" customWidth="1"/>
    <col min="15409" max="15409" width="7.25" style="248" customWidth="1"/>
    <col min="15410" max="15410" width="8.5" style="248" customWidth="1"/>
    <col min="15411" max="15411" width="9.375" style="248" customWidth="1"/>
    <col min="15412" max="15414" width="8.5" style="248" customWidth="1"/>
    <col min="15415" max="15415" width="9.25" style="248" customWidth="1"/>
    <col min="15416" max="15418" width="8.5" style="248" customWidth="1"/>
    <col min="15419" max="15419" width="7.875" style="248" customWidth="1"/>
    <col min="15420" max="15420" width="8.5" style="248" customWidth="1"/>
    <col min="15421" max="15421" width="7.375" style="248" customWidth="1"/>
    <col min="15422" max="15422" width="7.625" style="248" customWidth="1"/>
    <col min="15423" max="15423" width="9.875" style="248" customWidth="1"/>
    <col min="15424" max="15424" width="8.25" style="248" customWidth="1"/>
    <col min="15425" max="15427" width="8.875" style="248" customWidth="1"/>
    <col min="15428" max="15428" width="8.75" style="248" customWidth="1"/>
    <col min="15429" max="15429" width="8" style="248" customWidth="1"/>
    <col min="15430" max="15430" width="8.25" style="248" customWidth="1"/>
    <col min="15431" max="15431" width="7.375" style="248" customWidth="1"/>
    <col min="15432" max="15432" width="8.875" style="248" customWidth="1"/>
    <col min="15433" max="15433" width="7.375" style="248" customWidth="1"/>
    <col min="15434" max="15434" width="6.625" style="248" customWidth="1"/>
    <col min="15435" max="15435" width="9.5" style="248" customWidth="1"/>
    <col min="15436" max="15436" width="8" style="248" customWidth="1"/>
    <col min="15437" max="15437" width="8.375" style="248" customWidth="1"/>
    <col min="15438" max="15438" width="8.5" style="248" customWidth="1"/>
    <col min="15439" max="15439" width="8" style="248" customWidth="1"/>
    <col min="15440" max="15440" width="7.875" style="248" customWidth="1"/>
    <col min="15441" max="15441" width="8" style="248" customWidth="1"/>
    <col min="15442" max="15442" width="8.5" style="248" customWidth="1"/>
    <col min="15443" max="15445" width="8.125" style="248" customWidth="1"/>
    <col min="15446" max="15446" width="8" style="248" customWidth="1"/>
    <col min="15447" max="15450" width="8.75" style="248" customWidth="1"/>
    <col min="15451" max="15451" width="7.625" style="248" customWidth="1"/>
    <col min="15452" max="15453" width="8.75" style="248" customWidth="1"/>
    <col min="15454" max="15454" width="7.75" style="248" customWidth="1"/>
    <col min="15455" max="15457" width="8" style="248" customWidth="1"/>
    <col min="15458" max="15458" width="7.875" style="248" customWidth="1"/>
    <col min="15459" max="15460" width="8.75" style="248" customWidth="1"/>
    <col min="15461" max="15461" width="8.375" style="248" customWidth="1"/>
    <col min="15462" max="15462" width="8" style="248" customWidth="1"/>
    <col min="15463" max="15463" width="7.875" style="248" customWidth="1"/>
    <col min="15464" max="15466" width="8.25" style="248" customWidth="1"/>
    <col min="15467" max="15469" width="8.125" style="248" customWidth="1"/>
    <col min="15470" max="15470" width="7.875" style="248" customWidth="1"/>
    <col min="15471" max="15471" width="8.875" style="248" customWidth="1"/>
    <col min="15472" max="15472" width="8.375" style="248" customWidth="1"/>
    <col min="15473" max="15473" width="8.25" style="248" customWidth="1"/>
    <col min="15474" max="15474" width="8.875" style="248" customWidth="1"/>
    <col min="15475" max="15475" width="8.125" style="248" customWidth="1"/>
    <col min="15476" max="15476" width="8.25" style="248" customWidth="1"/>
    <col min="15477" max="15477" width="8.875" style="248" customWidth="1"/>
    <col min="15478" max="15478" width="8" style="248" customWidth="1"/>
    <col min="15479" max="15481" width="7.875" style="248" customWidth="1"/>
    <col min="15482" max="15482" width="7.75" style="248" customWidth="1"/>
    <col min="15483" max="15486" width="8.875" style="248" customWidth="1"/>
    <col min="15487" max="15487" width="8.75" style="248" customWidth="1"/>
    <col min="15488" max="15488" width="8.625" style="248" customWidth="1"/>
    <col min="15489" max="15490" width="8.25" style="248" customWidth="1"/>
    <col min="15491" max="15491" width="7.625" style="248" customWidth="1"/>
    <col min="15492" max="15492" width="8" style="248" customWidth="1"/>
    <col min="15493" max="15493" width="7.125" style="248" customWidth="1"/>
    <col min="15494" max="15494" width="7.625" style="248" customWidth="1"/>
    <col min="15495" max="15495" width="8.875" style="248" customWidth="1"/>
    <col min="15496" max="15496" width="8.125" style="248" customWidth="1"/>
    <col min="15497" max="15501" width="8.875" style="248" customWidth="1"/>
    <col min="15502" max="15502" width="8" style="248" customWidth="1"/>
    <col min="15503" max="15503" width="7.75" style="248" customWidth="1"/>
    <col min="15504" max="15504" width="7.875" style="248" customWidth="1"/>
    <col min="15505" max="15505" width="7.375" style="248" customWidth="1"/>
    <col min="15506" max="15506" width="7.875" style="248" customWidth="1"/>
    <col min="15507" max="15513" width="8.875" style="248" customWidth="1"/>
    <col min="15514" max="15514" width="7.5" style="248" customWidth="1"/>
    <col min="15515" max="15515" width="7.25" style="248" customWidth="1"/>
    <col min="15516" max="15516" width="8.375" style="248" customWidth="1"/>
    <col min="15517" max="15517" width="7.25" style="248" customWidth="1"/>
    <col min="15518" max="15518" width="7.625" style="248" customWidth="1"/>
    <col min="15519" max="15616" width="9" style="248"/>
    <col min="15617" max="15617" width="4.5" style="248" bestFit="1" customWidth="1"/>
    <col min="15618" max="15618" width="69.125" style="248" customWidth="1"/>
    <col min="15619" max="15619" width="9.25" style="248" customWidth="1"/>
    <col min="15620" max="15620" width="8.625" style="248" customWidth="1"/>
    <col min="15621" max="15621" width="9.375" style="248" customWidth="1"/>
    <col min="15622" max="15622" width="10.25" style="248" customWidth="1"/>
    <col min="15623" max="15623" width="10.625" style="248" customWidth="1"/>
    <col min="15624" max="15624" width="10" style="248" customWidth="1"/>
    <col min="15625" max="15626" width="8.5" style="248" customWidth="1"/>
    <col min="15627" max="15627" width="7.5" style="248" customWidth="1"/>
    <col min="15628" max="15628" width="7.125" style="248" customWidth="1"/>
    <col min="15629" max="15629" width="8.125" style="248" customWidth="1"/>
    <col min="15630" max="15631" width="7.5" style="248" customWidth="1"/>
    <col min="15632" max="15632" width="8.625" style="248" customWidth="1"/>
    <col min="15633" max="15635" width="7.5" style="248" customWidth="1"/>
    <col min="15636" max="15636" width="8.375" style="248" customWidth="1"/>
    <col min="15637" max="15637" width="7.5" style="248" customWidth="1"/>
    <col min="15638" max="15638" width="8.25" style="248" customWidth="1"/>
    <col min="15639" max="15641" width="7.5" style="248" customWidth="1"/>
    <col min="15642" max="15642" width="8.25" style="248" customWidth="1"/>
    <col min="15643" max="15643" width="8.125" style="248" customWidth="1"/>
    <col min="15644" max="15644" width="8.25" style="248" customWidth="1"/>
    <col min="15645" max="15645" width="8.75" style="248" customWidth="1"/>
    <col min="15646" max="15646" width="7.125" style="248" customWidth="1"/>
    <col min="15647" max="15647" width="9.5" style="248" customWidth="1"/>
    <col min="15648" max="15648" width="8.625" style="248" customWidth="1"/>
    <col min="15649" max="15649" width="8.875" style="248" customWidth="1"/>
    <col min="15650" max="15650" width="8.125" style="248" customWidth="1"/>
    <col min="15651" max="15653" width="7.625" style="248" customWidth="1"/>
    <col min="15654" max="15654" width="6.5" style="248" customWidth="1"/>
    <col min="15655" max="15663" width="8.5" style="248" customWidth="1"/>
    <col min="15664" max="15664" width="7.5" style="248" customWidth="1"/>
    <col min="15665" max="15665" width="7.25" style="248" customWidth="1"/>
    <col min="15666" max="15666" width="8.5" style="248" customWidth="1"/>
    <col min="15667" max="15667" width="9.375" style="248" customWidth="1"/>
    <col min="15668" max="15670" width="8.5" style="248" customWidth="1"/>
    <col min="15671" max="15671" width="9.25" style="248" customWidth="1"/>
    <col min="15672" max="15674" width="8.5" style="248" customWidth="1"/>
    <col min="15675" max="15675" width="7.875" style="248" customWidth="1"/>
    <col min="15676" max="15676" width="8.5" style="248" customWidth="1"/>
    <col min="15677" max="15677" width="7.375" style="248" customWidth="1"/>
    <col min="15678" max="15678" width="7.625" style="248" customWidth="1"/>
    <col min="15679" max="15679" width="9.875" style="248" customWidth="1"/>
    <col min="15680" max="15680" width="8.25" style="248" customWidth="1"/>
    <col min="15681" max="15683" width="8.875" style="248" customWidth="1"/>
    <col min="15684" max="15684" width="8.75" style="248" customWidth="1"/>
    <col min="15685" max="15685" width="8" style="248" customWidth="1"/>
    <col min="15686" max="15686" width="8.25" style="248" customWidth="1"/>
    <col min="15687" max="15687" width="7.375" style="248" customWidth="1"/>
    <col min="15688" max="15688" width="8.875" style="248" customWidth="1"/>
    <col min="15689" max="15689" width="7.375" style="248" customWidth="1"/>
    <col min="15690" max="15690" width="6.625" style="248" customWidth="1"/>
    <col min="15691" max="15691" width="9.5" style="248" customWidth="1"/>
    <col min="15692" max="15692" width="8" style="248" customWidth="1"/>
    <col min="15693" max="15693" width="8.375" style="248" customWidth="1"/>
    <col min="15694" max="15694" width="8.5" style="248" customWidth="1"/>
    <col min="15695" max="15695" width="8" style="248" customWidth="1"/>
    <col min="15696" max="15696" width="7.875" style="248" customWidth="1"/>
    <col min="15697" max="15697" width="8" style="248" customWidth="1"/>
    <col min="15698" max="15698" width="8.5" style="248" customWidth="1"/>
    <col min="15699" max="15701" width="8.125" style="248" customWidth="1"/>
    <col min="15702" max="15702" width="8" style="248" customWidth="1"/>
    <col min="15703" max="15706" width="8.75" style="248" customWidth="1"/>
    <col min="15707" max="15707" width="7.625" style="248" customWidth="1"/>
    <col min="15708" max="15709" width="8.75" style="248" customWidth="1"/>
    <col min="15710" max="15710" width="7.75" style="248" customWidth="1"/>
    <col min="15711" max="15713" width="8" style="248" customWidth="1"/>
    <col min="15714" max="15714" width="7.875" style="248" customWidth="1"/>
    <col min="15715" max="15716" width="8.75" style="248" customWidth="1"/>
    <col min="15717" max="15717" width="8.375" style="248" customWidth="1"/>
    <col min="15718" max="15718" width="8" style="248" customWidth="1"/>
    <col min="15719" max="15719" width="7.875" style="248" customWidth="1"/>
    <col min="15720" max="15722" width="8.25" style="248" customWidth="1"/>
    <col min="15723" max="15725" width="8.125" style="248" customWidth="1"/>
    <col min="15726" max="15726" width="7.875" style="248" customWidth="1"/>
    <col min="15727" max="15727" width="8.875" style="248" customWidth="1"/>
    <col min="15728" max="15728" width="8.375" style="248" customWidth="1"/>
    <col min="15729" max="15729" width="8.25" style="248" customWidth="1"/>
    <col min="15730" max="15730" width="8.875" style="248" customWidth="1"/>
    <col min="15731" max="15731" width="8.125" style="248" customWidth="1"/>
    <col min="15732" max="15732" width="8.25" style="248" customWidth="1"/>
    <col min="15733" max="15733" width="8.875" style="248" customWidth="1"/>
    <col min="15734" max="15734" width="8" style="248" customWidth="1"/>
    <col min="15735" max="15737" width="7.875" style="248" customWidth="1"/>
    <col min="15738" max="15738" width="7.75" style="248" customWidth="1"/>
    <col min="15739" max="15742" width="8.875" style="248" customWidth="1"/>
    <col min="15743" max="15743" width="8.75" style="248" customWidth="1"/>
    <col min="15744" max="15744" width="8.625" style="248" customWidth="1"/>
    <col min="15745" max="15746" width="8.25" style="248" customWidth="1"/>
    <col min="15747" max="15747" width="7.625" style="248" customWidth="1"/>
    <col min="15748" max="15748" width="8" style="248" customWidth="1"/>
    <col min="15749" max="15749" width="7.125" style="248" customWidth="1"/>
    <col min="15750" max="15750" width="7.625" style="248" customWidth="1"/>
    <col min="15751" max="15751" width="8.875" style="248" customWidth="1"/>
    <col min="15752" max="15752" width="8.125" style="248" customWidth="1"/>
    <col min="15753" max="15757" width="8.875" style="248" customWidth="1"/>
    <col min="15758" max="15758" width="8" style="248" customWidth="1"/>
    <col min="15759" max="15759" width="7.75" style="248" customWidth="1"/>
    <col min="15760" max="15760" width="7.875" style="248" customWidth="1"/>
    <col min="15761" max="15761" width="7.375" style="248" customWidth="1"/>
    <col min="15762" max="15762" width="7.875" style="248" customWidth="1"/>
    <col min="15763" max="15769" width="8.875" style="248" customWidth="1"/>
    <col min="15770" max="15770" width="7.5" style="248" customWidth="1"/>
    <col min="15771" max="15771" width="7.25" style="248" customWidth="1"/>
    <col min="15772" max="15772" width="8.375" style="248" customWidth="1"/>
    <col min="15773" max="15773" width="7.25" style="248" customWidth="1"/>
    <col min="15774" max="15774" width="7.625" style="248" customWidth="1"/>
    <col min="15775" max="15872" width="9" style="248"/>
    <col min="15873" max="15873" width="4.5" style="248" bestFit="1" customWidth="1"/>
    <col min="15874" max="15874" width="69.125" style="248" customWidth="1"/>
    <col min="15875" max="15875" width="9.25" style="248" customWidth="1"/>
    <col min="15876" max="15876" width="8.625" style="248" customWidth="1"/>
    <col min="15877" max="15877" width="9.375" style="248" customWidth="1"/>
    <col min="15878" max="15878" width="10.25" style="248" customWidth="1"/>
    <col min="15879" max="15879" width="10.625" style="248" customWidth="1"/>
    <col min="15880" max="15880" width="10" style="248" customWidth="1"/>
    <col min="15881" max="15882" width="8.5" style="248" customWidth="1"/>
    <col min="15883" max="15883" width="7.5" style="248" customWidth="1"/>
    <col min="15884" max="15884" width="7.125" style="248" customWidth="1"/>
    <col min="15885" max="15885" width="8.125" style="248" customWidth="1"/>
    <col min="15886" max="15887" width="7.5" style="248" customWidth="1"/>
    <col min="15888" max="15888" width="8.625" style="248" customWidth="1"/>
    <col min="15889" max="15891" width="7.5" style="248" customWidth="1"/>
    <col min="15892" max="15892" width="8.375" style="248" customWidth="1"/>
    <col min="15893" max="15893" width="7.5" style="248" customWidth="1"/>
    <col min="15894" max="15894" width="8.25" style="248" customWidth="1"/>
    <col min="15895" max="15897" width="7.5" style="248" customWidth="1"/>
    <col min="15898" max="15898" width="8.25" style="248" customWidth="1"/>
    <col min="15899" max="15899" width="8.125" style="248" customWidth="1"/>
    <col min="15900" max="15900" width="8.25" style="248" customWidth="1"/>
    <col min="15901" max="15901" width="8.75" style="248" customWidth="1"/>
    <col min="15902" max="15902" width="7.125" style="248" customWidth="1"/>
    <col min="15903" max="15903" width="9.5" style="248" customWidth="1"/>
    <col min="15904" max="15904" width="8.625" style="248" customWidth="1"/>
    <col min="15905" max="15905" width="8.875" style="248" customWidth="1"/>
    <col min="15906" max="15906" width="8.125" style="248" customWidth="1"/>
    <col min="15907" max="15909" width="7.625" style="248" customWidth="1"/>
    <col min="15910" max="15910" width="6.5" style="248" customWidth="1"/>
    <col min="15911" max="15919" width="8.5" style="248" customWidth="1"/>
    <col min="15920" max="15920" width="7.5" style="248" customWidth="1"/>
    <col min="15921" max="15921" width="7.25" style="248" customWidth="1"/>
    <col min="15922" max="15922" width="8.5" style="248" customWidth="1"/>
    <col min="15923" max="15923" width="9.375" style="248" customWidth="1"/>
    <col min="15924" max="15926" width="8.5" style="248" customWidth="1"/>
    <col min="15927" max="15927" width="9.25" style="248" customWidth="1"/>
    <col min="15928" max="15930" width="8.5" style="248" customWidth="1"/>
    <col min="15931" max="15931" width="7.875" style="248" customWidth="1"/>
    <col min="15932" max="15932" width="8.5" style="248" customWidth="1"/>
    <col min="15933" max="15933" width="7.375" style="248" customWidth="1"/>
    <col min="15934" max="15934" width="7.625" style="248" customWidth="1"/>
    <col min="15935" max="15935" width="9.875" style="248" customWidth="1"/>
    <col min="15936" max="15936" width="8.25" style="248" customWidth="1"/>
    <col min="15937" max="15939" width="8.875" style="248" customWidth="1"/>
    <col min="15940" max="15940" width="8.75" style="248" customWidth="1"/>
    <col min="15941" max="15941" width="8" style="248" customWidth="1"/>
    <col min="15942" max="15942" width="8.25" style="248" customWidth="1"/>
    <col min="15943" max="15943" width="7.375" style="248" customWidth="1"/>
    <col min="15944" max="15944" width="8.875" style="248" customWidth="1"/>
    <col min="15945" max="15945" width="7.375" style="248" customWidth="1"/>
    <col min="15946" max="15946" width="6.625" style="248" customWidth="1"/>
    <col min="15947" max="15947" width="9.5" style="248" customWidth="1"/>
    <col min="15948" max="15948" width="8" style="248" customWidth="1"/>
    <col min="15949" max="15949" width="8.375" style="248" customWidth="1"/>
    <col min="15950" max="15950" width="8.5" style="248" customWidth="1"/>
    <col min="15951" max="15951" width="8" style="248" customWidth="1"/>
    <col min="15952" max="15952" width="7.875" style="248" customWidth="1"/>
    <col min="15953" max="15953" width="8" style="248" customWidth="1"/>
    <col min="15954" max="15954" width="8.5" style="248" customWidth="1"/>
    <col min="15955" max="15957" width="8.125" style="248" customWidth="1"/>
    <col min="15958" max="15958" width="8" style="248" customWidth="1"/>
    <col min="15959" max="15962" width="8.75" style="248" customWidth="1"/>
    <col min="15963" max="15963" width="7.625" style="248" customWidth="1"/>
    <col min="15964" max="15965" width="8.75" style="248" customWidth="1"/>
    <col min="15966" max="15966" width="7.75" style="248" customWidth="1"/>
    <col min="15967" max="15969" width="8" style="248" customWidth="1"/>
    <col min="15970" max="15970" width="7.875" style="248" customWidth="1"/>
    <col min="15971" max="15972" width="8.75" style="248" customWidth="1"/>
    <col min="15973" max="15973" width="8.375" style="248" customWidth="1"/>
    <col min="15974" max="15974" width="8" style="248" customWidth="1"/>
    <col min="15975" max="15975" width="7.875" style="248" customWidth="1"/>
    <col min="15976" max="15978" width="8.25" style="248" customWidth="1"/>
    <col min="15979" max="15981" width="8.125" style="248" customWidth="1"/>
    <col min="15982" max="15982" width="7.875" style="248" customWidth="1"/>
    <col min="15983" max="15983" width="8.875" style="248" customWidth="1"/>
    <col min="15984" max="15984" width="8.375" style="248" customWidth="1"/>
    <col min="15985" max="15985" width="8.25" style="248" customWidth="1"/>
    <col min="15986" max="15986" width="8.875" style="248" customWidth="1"/>
    <col min="15987" max="15987" width="8.125" style="248" customWidth="1"/>
    <col min="15988" max="15988" width="8.25" style="248" customWidth="1"/>
    <col min="15989" max="15989" width="8.875" style="248" customWidth="1"/>
    <col min="15990" max="15990" width="8" style="248" customWidth="1"/>
    <col min="15991" max="15993" width="7.875" style="248" customWidth="1"/>
    <col min="15994" max="15994" width="7.75" style="248" customWidth="1"/>
    <col min="15995" max="15998" width="8.875" style="248" customWidth="1"/>
    <col min="15999" max="15999" width="8.75" style="248" customWidth="1"/>
    <col min="16000" max="16000" width="8.625" style="248" customWidth="1"/>
    <col min="16001" max="16002" width="8.25" style="248" customWidth="1"/>
    <col min="16003" max="16003" width="7.625" style="248" customWidth="1"/>
    <col min="16004" max="16004" width="8" style="248" customWidth="1"/>
    <col min="16005" max="16005" width="7.125" style="248" customWidth="1"/>
    <col min="16006" max="16006" width="7.625" style="248" customWidth="1"/>
    <col min="16007" max="16007" width="8.875" style="248" customWidth="1"/>
    <col min="16008" max="16008" width="8.125" style="248" customWidth="1"/>
    <col min="16009" max="16013" width="8.875" style="248" customWidth="1"/>
    <col min="16014" max="16014" width="8" style="248" customWidth="1"/>
    <col min="16015" max="16015" width="7.75" style="248" customWidth="1"/>
    <col min="16016" max="16016" width="7.875" style="248" customWidth="1"/>
    <col min="16017" max="16017" width="7.375" style="248" customWidth="1"/>
    <col min="16018" max="16018" width="7.875" style="248" customWidth="1"/>
    <col min="16019" max="16025" width="8.875" style="248" customWidth="1"/>
    <col min="16026" max="16026" width="7.5" style="248" customWidth="1"/>
    <col min="16027" max="16027" width="7.25" style="248" customWidth="1"/>
    <col min="16028" max="16028" width="8.375" style="248" customWidth="1"/>
    <col min="16029" max="16029" width="7.25" style="248" customWidth="1"/>
    <col min="16030" max="16030" width="7.625" style="248" customWidth="1"/>
    <col min="16031" max="16128" width="9" style="248"/>
    <col min="16129" max="16129" width="4.5" style="248" bestFit="1" customWidth="1"/>
    <col min="16130" max="16130" width="69.125" style="248" customWidth="1"/>
    <col min="16131" max="16131" width="9.25" style="248" customWidth="1"/>
    <col min="16132" max="16132" width="8.625" style="248" customWidth="1"/>
    <col min="16133" max="16133" width="9.375" style="248" customWidth="1"/>
    <col min="16134" max="16134" width="10.25" style="248" customWidth="1"/>
    <col min="16135" max="16135" width="10.625" style="248" customWidth="1"/>
    <col min="16136" max="16136" width="10" style="248" customWidth="1"/>
    <col min="16137" max="16138" width="8.5" style="248" customWidth="1"/>
    <col min="16139" max="16139" width="7.5" style="248" customWidth="1"/>
    <col min="16140" max="16140" width="7.125" style="248" customWidth="1"/>
    <col min="16141" max="16141" width="8.125" style="248" customWidth="1"/>
    <col min="16142" max="16143" width="7.5" style="248" customWidth="1"/>
    <col min="16144" max="16144" width="8.625" style="248" customWidth="1"/>
    <col min="16145" max="16147" width="7.5" style="248" customWidth="1"/>
    <col min="16148" max="16148" width="8.375" style="248" customWidth="1"/>
    <col min="16149" max="16149" width="7.5" style="248" customWidth="1"/>
    <col min="16150" max="16150" width="8.25" style="248" customWidth="1"/>
    <col min="16151" max="16153" width="7.5" style="248" customWidth="1"/>
    <col min="16154" max="16154" width="8.25" style="248" customWidth="1"/>
    <col min="16155" max="16155" width="8.125" style="248" customWidth="1"/>
    <col min="16156" max="16156" width="8.25" style="248" customWidth="1"/>
    <col min="16157" max="16157" width="8.75" style="248" customWidth="1"/>
    <col min="16158" max="16158" width="7.125" style="248" customWidth="1"/>
    <col min="16159" max="16159" width="9.5" style="248" customWidth="1"/>
    <col min="16160" max="16160" width="8.625" style="248" customWidth="1"/>
    <col min="16161" max="16161" width="8.875" style="248" customWidth="1"/>
    <col min="16162" max="16162" width="8.125" style="248" customWidth="1"/>
    <col min="16163" max="16165" width="7.625" style="248" customWidth="1"/>
    <col min="16166" max="16166" width="6.5" style="248" customWidth="1"/>
    <col min="16167" max="16175" width="8.5" style="248" customWidth="1"/>
    <col min="16176" max="16176" width="7.5" style="248" customWidth="1"/>
    <col min="16177" max="16177" width="7.25" style="248" customWidth="1"/>
    <col min="16178" max="16178" width="8.5" style="248" customWidth="1"/>
    <col min="16179" max="16179" width="9.375" style="248" customWidth="1"/>
    <col min="16180" max="16182" width="8.5" style="248" customWidth="1"/>
    <col min="16183" max="16183" width="9.25" style="248" customWidth="1"/>
    <col min="16184" max="16186" width="8.5" style="248" customWidth="1"/>
    <col min="16187" max="16187" width="7.875" style="248" customWidth="1"/>
    <col min="16188" max="16188" width="8.5" style="248" customWidth="1"/>
    <col min="16189" max="16189" width="7.375" style="248" customWidth="1"/>
    <col min="16190" max="16190" width="7.625" style="248" customWidth="1"/>
    <col min="16191" max="16191" width="9.875" style="248" customWidth="1"/>
    <col min="16192" max="16192" width="8.25" style="248" customWidth="1"/>
    <col min="16193" max="16195" width="8.875" style="248" customWidth="1"/>
    <col min="16196" max="16196" width="8.75" style="248" customWidth="1"/>
    <col min="16197" max="16197" width="8" style="248" customWidth="1"/>
    <col min="16198" max="16198" width="8.25" style="248" customWidth="1"/>
    <col min="16199" max="16199" width="7.375" style="248" customWidth="1"/>
    <col min="16200" max="16200" width="8.875" style="248" customWidth="1"/>
    <col min="16201" max="16201" width="7.375" style="248" customWidth="1"/>
    <col min="16202" max="16202" width="6.625" style="248" customWidth="1"/>
    <col min="16203" max="16203" width="9.5" style="248" customWidth="1"/>
    <col min="16204" max="16204" width="8" style="248" customWidth="1"/>
    <col min="16205" max="16205" width="8.375" style="248" customWidth="1"/>
    <col min="16206" max="16206" width="8.5" style="248" customWidth="1"/>
    <col min="16207" max="16207" width="8" style="248" customWidth="1"/>
    <col min="16208" max="16208" width="7.875" style="248" customWidth="1"/>
    <col min="16209" max="16209" width="8" style="248" customWidth="1"/>
    <col min="16210" max="16210" width="8.5" style="248" customWidth="1"/>
    <col min="16211" max="16213" width="8.125" style="248" customWidth="1"/>
    <col min="16214" max="16214" width="8" style="248" customWidth="1"/>
    <col min="16215" max="16218" width="8.75" style="248" customWidth="1"/>
    <col min="16219" max="16219" width="7.625" style="248" customWidth="1"/>
    <col min="16220" max="16221" width="8.75" style="248" customWidth="1"/>
    <col min="16222" max="16222" width="7.75" style="248" customWidth="1"/>
    <col min="16223" max="16225" width="8" style="248" customWidth="1"/>
    <col min="16226" max="16226" width="7.875" style="248" customWidth="1"/>
    <col min="16227" max="16228" width="8.75" style="248" customWidth="1"/>
    <col min="16229" max="16229" width="8.375" style="248" customWidth="1"/>
    <col min="16230" max="16230" width="8" style="248" customWidth="1"/>
    <col min="16231" max="16231" width="7.875" style="248" customWidth="1"/>
    <col min="16232" max="16234" width="8.25" style="248" customWidth="1"/>
    <col min="16235" max="16237" width="8.125" style="248" customWidth="1"/>
    <col min="16238" max="16238" width="7.875" style="248" customWidth="1"/>
    <col min="16239" max="16239" width="8.875" style="248" customWidth="1"/>
    <col min="16240" max="16240" width="8.375" style="248" customWidth="1"/>
    <col min="16241" max="16241" width="8.25" style="248" customWidth="1"/>
    <col min="16242" max="16242" width="8.875" style="248" customWidth="1"/>
    <col min="16243" max="16243" width="8.125" style="248" customWidth="1"/>
    <col min="16244" max="16244" width="8.25" style="248" customWidth="1"/>
    <col min="16245" max="16245" width="8.875" style="248" customWidth="1"/>
    <col min="16246" max="16246" width="8" style="248" customWidth="1"/>
    <col min="16247" max="16249" width="7.875" style="248" customWidth="1"/>
    <col min="16250" max="16250" width="7.75" style="248" customWidth="1"/>
    <col min="16251" max="16254" width="8.875" style="248" customWidth="1"/>
    <col min="16255" max="16255" width="8.75" style="248" customWidth="1"/>
    <col min="16256" max="16256" width="8.625" style="248" customWidth="1"/>
    <col min="16257" max="16258" width="8.25" style="248" customWidth="1"/>
    <col min="16259" max="16259" width="7.625" style="248" customWidth="1"/>
    <col min="16260" max="16260" width="8" style="248" customWidth="1"/>
    <col min="16261" max="16261" width="7.125" style="248" customWidth="1"/>
    <col min="16262" max="16262" width="7.625" style="248" customWidth="1"/>
    <col min="16263" max="16263" width="8.875" style="248" customWidth="1"/>
    <col min="16264" max="16264" width="8.125" style="248" customWidth="1"/>
    <col min="16265" max="16269" width="8.875" style="248" customWidth="1"/>
    <col min="16270" max="16270" width="8" style="248" customWidth="1"/>
    <col min="16271" max="16271" width="7.75" style="248" customWidth="1"/>
    <col min="16272" max="16272" width="7.875" style="248" customWidth="1"/>
    <col min="16273" max="16273" width="7.375" style="248" customWidth="1"/>
    <col min="16274" max="16274" width="7.875" style="248" customWidth="1"/>
    <col min="16275" max="16281" width="8.875" style="248" customWidth="1"/>
    <col min="16282" max="16282" width="7.5" style="248" customWidth="1"/>
    <col min="16283" max="16283" width="7.25" style="248" customWidth="1"/>
    <col min="16284" max="16284" width="8.375" style="248" customWidth="1"/>
    <col min="16285" max="16285" width="7.25" style="248" customWidth="1"/>
    <col min="16286" max="16286" width="7.625" style="248" customWidth="1"/>
    <col min="16287" max="16384" width="9" style="248"/>
  </cols>
  <sheetData>
    <row r="1" spans="1:158" ht="43.5" customHeight="1" x14ac:dyDescent="0.25">
      <c r="C1" s="163" t="s">
        <v>741</v>
      </c>
      <c r="D1" s="164"/>
      <c r="E1" s="164"/>
      <c r="F1" s="164"/>
      <c r="G1" s="164"/>
      <c r="H1" s="164"/>
      <c r="I1" s="164"/>
      <c r="J1" s="164"/>
      <c r="K1" s="164"/>
      <c r="L1" s="164"/>
      <c r="M1" s="164"/>
      <c r="N1" s="164"/>
      <c r="O1" s="163" t="s">
        <v>741</v>
      </c>
      <c r="P1" s="164"/>
      <c r="Q1" s="164"/>
      <c r="R1" s="164"/>
      <c r="S1" s="164"/>
      <c r="T1" s="164"/>
      <c r="U1" s="164"/>
      <c r="V1" s="164"/>
      <c r="W1" s="164"/>
      <c r="X1" s="164"/>
      <c r="Y1" s="164"/>
      <c r="Z1" s="164"/>
      <c r="AA1" s="163" t="s">
        <v>741</v>
      </c>
      <c r="AB1" s="164"/>
      <c r="AC1" s="164"/>
      <c r="AD1" s="164"/>
      <c r="AE1" s="164"/>
      <c r="AF1" s="164"/>
      <c r="AG1" s="164"/>
      <c r="AH1" s="164"/>
      <c r="AI1" s="164"/>
      <c r="AJ1" s="164"/>
      <c r="AK1" s="164"/>
      <c r="AL1" s="164"/>
      <c r="AM1" s="163" t="s">
        <v>741</v>
      </c>
      <c r="AN1" s="164"/>
      <c r="AO1" s="164"/>
      <c r="AP1" s="164"/>
      <c r="AQ1" s="164"/>
      <c r="AR1" s="164"/>
      <c r="AS1" s="164"/>
      <c r="AT1" s="164"/>
      <c r="AU1" s="164"/>
      <c r="AV1" s="164"/>
      <c r="AW1" s="164"/>
      <c r="AX1" s="164"/>
      <c r="AY1" s="163" t="s">
        <v>741</v>
      </c>
      <c r="AZ1" s="164"/>
      <c r="BA1" s="164"/>
      <c r="BB1" s="164"/>
      <c r="BC1" s="164"/>
      <c r="BD1" s="164"/>
      <c r="BE1" s="164"/>
      <c r="BF1" s="164"/>
      <c r="BG1" s="164"/>
      <c r="BH1" s="164"/>
      <c r="BI1" s="164"/>
      <c r="BJ1" s="164"/>
      <c r="BK1" s="163" t="s">
        <v>741</v>
      </c>
      <c r="BL1" s="164"/>
      <c r="BM1" s="164"/>
      <c r="BN1" s="164"/>
      <c r="BO1" s="164"/>
      <c r="BP1" s="164"/>
      <c r="BQ1" s="164"/>
      <c r="BR1" s="164"/>
      <c r="BS1" s="164"/>
      <c r="BT1" s="164"/>
      <c r="BU1" s="164"/>
      <c r="BV1" s="164"/>
      <c r="BW1" s="163" t="s">
        <v>741</v>
      </c>
      <c r="BX1" s="164"/>
      <c r="BY1" s="164"/>
      <c r="BZ1" s="164"/>
      <c r="CA1" s="164"/>
      <c r="CB1" s="164"/>
      <c r="CC1" s="164"/>
      <c r="CD1" s="164"/>
      <c r="CE1" s="164"/>
      <c r="CF1" s="164"/>
      <c r="CG1" s="164"/>
      <c r="CH1" s="164"/>
      <c r="CI1" s="163" t="s">
        <v>741</v>
      </c>
      <c r="CJ1" s="164"/>
      <c r="CK1" s="164"/>
      <c r="CL1" s="164"/>
      <c r="CM1" s="164"/>
      <c r="CN1" s="164"/>
      <c r="CO1" s="164"/>
      <c r="CP1" s="164"/>
      <c r="CQ1" s="164"/>
      <c r="CR1" s="164"/>
      <c r="CS1" s="164"/>
      <c r="CT1" s="164"/>
      <c r="CU1" s="163" t="s">
        <v>741</v>
      </c>
      <c r="CV1" s="164"/>
      <c r="CW1" s="164"/>
      <c r="CX1" s="164"/>
      <c r="CY1" s="164"/>
      <c r="CZ1" s="164"/>
      <c r="DA1" s="164"/>
      <c r="DB1" s="164"/>
      <c r="DC1" s="164"/>
      <c r="DD1" s="164"/>
      <c r="DE1" s="164"/>
      <c r="DF1" s="164"/>
      <c r="DG1" s="163" t="s">
        <v>741</v>
      </c>
      <c r="DH1" s="164"/>
      <c r="DI1" s="164"/>
      <c r="DJ1" s="164"/>
      <c r="DK1" s="164"/>
      <c r="DL1" s="164"/>
      <c r="DM1" s="164"/>
      <c r="DN1" s="164"/>
      <c r="DO1" s="164"/>
      <c r="DP1" s="164"/>
      <c r="DQ1" s="164"/>
      <c r="DR1" s="164"/>
      <c r="DS1" s="163" t="s">
        <v>741</v>
      </c>
      <c r="DT1" s="164"/>
      <c r="DU1" s="164"/>
      <c r="DV1" s="164"/>
      <c r="DW1" s="164"/>
      <c r="DX1" s="164"/>
      <c r="DY1" s="164"/>
      <c r="DZ1" s="164"/>
      <c r="EA1" s="164"/>
      <c r="EB1" s="164"/>
      <c r="EC1" s="164"/>
      <c r="ED1" s="164"/>
      <c r="EE1" s="163" t="s">
        <v>741</v>
      </c>
      <c r="EF1" s="164"/>
      <c r="EG1" s="164"/>
      <c r="EH1" s="164"/>
      <c r="EI1" s="164"/>
      <c r="EJ1" s="164"/>
      <c r="EK1" s="164"/>
      <c r="EL1" s="164"/>
      <c r="EM1" s="164"/>
      <c r="EN1" s="164"/>
      <c r="EO1" s="164"/>
      <c r="EP1" s="164"/>
      <c r="EQ1" s="163" t="s">
        <v>741</v>
      </c>
      <c r="ER1" s="164"/>
      <c r="ES1" s="164"/>
      <c r="ET1" s="164"/>
      <c r="EU1" s="164"/>
      <c r="EV1" s="164"/>
      <c r="EW1" s="164"/>
      <c r="EX1" s="164"/>
      <c r="EY1" s="164"/>
      <c r="EZ1" s="164"/>
      <c r="FA1" s="164"/>
      <c r="FB1" s="164"/>
    </row>
    <row r="2" spans="1:158" ht="18" customHeight="1" x14ac:dyDescent="0.25">
      <c r="B2" s="165"/>
      <c r="C2" s="165"/>
      <c r="D2" s="165"/>
      <c r="E2" s="165"/>
      <c r="F2" s="165"/>
      <c r="G2" s="165"/>
      <c r="H2" s="165"/>
      <c r="I2" s="165"/>
      <c r="J2" s="165"/>
      <c r="K2" s="165"/>
      <c r="L2" s="165"/>
      <c r="M2" s="165"/>
      <c r="N2" s="766" t="s">
        <v>393</v>
      </c>
      <c r="O2" s="766"/>
      <c r="P2" s="766"/>
      <c r="Q2" s="766"/>
      <c r="R2" s="766"/>
      <c r="S2" s="766"/>
      <c r="T2" s="766"/>
      <c r="U2" s="766"/>
      <c r="V2" s="766"/>
      <c r="W2" s="766"/>
      <c r="X2" s="766"/>
      <c r="Y2" s="766"/>
      <c r="Z2" s="766"/>
      <c r="AA2" s="165"/>
      <c r="AB2" s="165"/>
      <c r="AC2" s="165"/>
      <c r="AD2" s="165"/>
      <c r="AE2" s="165"/>
      <c r="AF2" s="165"/>
      <c r="AG2" s="165"/>
      <c r="AH2" s="165"/>
      <c r="AI2" s="165"/>
      <c r="AJ2" s="165"/>
      <c r="AK2" s="165"/>
      <c r="AL2" s="766" t="s">
        <v>393</v>
      </c>
      <c r="AM2" s="165"/>
      <c r="AN2" s="165"/>
      <c r="AO2" s="165"/>
      <c r="AP2" s="165"/>
      <c r="AQ2" s="165"/>
      <c r="AR2" s="165"/>
      <c r="AS2" s="165"/>
      <c r="AT2" s="165"/>
      <c r="AU2" s="165"/>
      <c r="AV2" s="165"/>
      <c r="AW2" s="165"/>
      <c r="AX2" s="766" t="s">
        <v>393</v>
      </c>
      <c r="BA2" s="249"/>
      <c r="BB2" s="249"/>
      <c r="BC2" s="249"/>
      <c r="BD2" s="249"/>
      <c r="BE2" s="249"/>
      <c r="BF2" s="249"/>
      <c r="BJ2" s="766" t="s">
        <v>393</v>
      </c>
      <c r="BM2" s="249"/>
      <c r="BN2" s="249"/>
      <c r="BO2" s="249"/>
      <c r="BP2" s="249"/>
      <c r="BQ2" s="249"/>
      <c r="BR2" s="249"/>
      <c r="BS2" s="249"/>
      <c r="BT2" s="249"/>
      <c r="BU2" s="249"/>
      <c r="BV2" s="766" t="s">
        <v>393</v>
      </c>
      <c r="BY2" s="249"/>
      <c r="CH2" s="766" t="s">
        <v>393</v>
      </c>
      <c r="CK2" s="249"/>
      <c r="CL2" s="249"/>
      <c r="CM2" s="249"/>
      <c r="CN2" s="249"/>
      <c r="CO2" s="249"/>
      <c r="CP2" s="249"/>
      <c r="CT2" s="766" t="s">
        <v>393</v>
      </c>
      <c r="CW2" s="249"/>
      <c r="CX2" s="249"/>
      <c r="CY2" s="249"/>
      <c r="CZ2" s="249"/>
      <c r="DA2" s="249"/>
      <c r="DB2" s="249"/>
      <c r="DF2" s="766" t="s">
        <v>393</v>
      </c>
      <c r="DI2" s="249"/>
      <c r="DJ2" s="249"/>
      <c r="DK2" s="249"/>
      <c r="DL2" s="249"/>
      <c r="DM2" s="249"/>
      <c r="DN2" s="249"/>
      <c r="DR2" s="766" t="s">
        <v>393</v>
      </c>
      <c r="DU2" s="249"/>
      <c r="DV2" s="249"/>
      <c r="DW2" s="249"/>
      <c r="DX2" s="249"/>
      <c r="DY2" s="249"/>
      <c r="DZ2" s="249"/>
      <c r="ED2" s="766" t="s">
        <v>393</v>
      </c>
      <c r="EF2" s="249"/>
      <c r="EG2" s="249"/>
      <c r="EH2" s="249"/>
      <c r="EI2" s="249"/>
      <c r="EJ2" s="249"/>
      <c r="EK2" s="249"/>
      <c r="EL2" s="249"/>
      <c r="EM2" s="249"/>
      <c r="EN2" s="249"/>
      <c r="EO2" s="249"/>
      <c r="EP2" s="766" t="s">
        <v>393</v>
      </c>
      <c r="ES2" s="249"/>
      <c r="ET2" s="249"/>
      <c r="EU2" s="249"/>
      <c r="EV2" s="249"/>
      <c r="EW2" s="249"/>
      <c r="EX2" s="249"/>
      <c r="FB2" s="766" t="s">
        <v>393</v>
      </c>
    </row>
    <row r="3" spans="1:158" s="770" customFormat="1" ht="30" customHeight="1" x14ac:dyDescent="0.25">
      <c r="A3" s="1042" t="s">
        <v>396</v>
      </c>
      <c r="B3" s="1042" t="s">
        <v>36</v>
      </c>
      <c r="C3" s="1042" t="s">
        <v>177</v>
      </c>
      <c r="D3" s="1042"/>
      <c r="E3" s="1042"/>
      <c r="F3" s="1042"/>
      <c r="G3" s="1042"/>
      <c r="H3" s="1042"/>
      <c r="I3" s="1042"/>
      <c r="J3" s="1042"/>
      <c r="K3" s="1042"/>
      <c r="L3" s="1042"/>
      <c r="M3" s="1042"/>
      <c r="N3" s="1042"/>
      <c r="O3" s="1042" t="s">
        <v>178</v>
      </c>
      <c r="P3" s="1042"/>
      <c r="Q3" s="1042"/>
      <c r="R3" s="1042"/>
      <c r="S3" s="1042"/>
      <c r="T3" s="1042"/>
      <c r="U3" s="1042"/>
      <c r="V3" s="1042"/>
      <c r="W3" s="1042"/>
      <c r="X3" s="1042"/>
      <c r="Y3" s="1042"/>
      <c r="Z3" s="1042"/>
      <c r="AA3" s="1042" t="s">
        <v>49</v>
      </c>
      <c r="AB3" s="1042"/>
      <c r="AC3" s="1042"/>
      <c r="AD3" s="1042"/>
      <c r="AE3" s="1042"/>
      <c r="AF3" s="1042"/>
      <c r="AG3" s="1042"/>
      <c r="AH3" s="1042"/>
      <c r="AI3" s="1042"/>
      <c r="AJ3" s="1042"/>
      <c r="AK3" s="1042"/>
      <c r="AL3" s="1042"/>
      <c r="AM3" s="1042" t="s">
        <v>179</v>
      </c>
      <c r="AN3" s="1042"/>
      <c r="AO3" s="1042"/>
      <c r="AP3" s="1042"/>
      <c r="AQ3" s="1042"/>
      <c r="AR3" s="1042"/>
      <c r="AS3" s="1042"/>
      <c r="AT3" s="1042"/>
      <c r="AU3" s="1042"/>
      <c r="AV3" s="1042"/>
      <c r="AW3" s="1042"/>
      <c r="AX3" s="1042"/>
      <c r="AY3" s="1042" t="s">
        <v>50</v>
      </c>
      <c r="AZ3" s="1042"/>
      <c r="BA3" s="1042"/>
      <c r="BB3" s="1042"/>
      <c r="BC3" s="1042"/>
      <c r="BD3" s="1042"/>
      <c r="BE3" s="1042"/>
      <c r="BF3" s="1042"/>
      <c r="BG3" s="1042"/>
      <c r="BH3" s="1042"/>
      <c r="BI3" s="1042"/>
      <c r="BJ3" s="1042"/>
      <c r="BK3" s="1042" t="s">
        <v>180</v>
      </c>
      <c r="BL3" s="1042"/>
      <c r="BM3" s="1042"/>
      <c r="BN3" s="1042"/>
      <c r="BO3" s="1042"/>
      <c r="BP3" s="1042"/>
      <c r="BQ3" s="1042"/>
      <c r="BR3" s="1042"/>
      <c r="BS3" s="1042"/>
      <c r="BT3" s="1042"/>
      <c r="BU3" s="1042"/>
      <c r="BV3" s="1042"/>
      <c r="BW3" s="1042" t="s">
        <v>181</v>
      </c>
      <c r="BX3" s="1042"/>
      <c r="BY3" s="1042"/>
      <c r="BZ3" s="1042"/>
      <c r="CA3" s="1042"/>
      <c r="CB3" s="1042"/>
      <c r="CC3" s="1042"/>
      <c r="CD3" s="1042"/>
      <c r="CE3" s="1042"/>
      <c r="CF3" s="1042"/>
      <c r="CG3" s="1042"/>
      <c r="CH3" s="1042"/>
      <c r="CI3" s="1042" t="s">
        <v>182</v>
      </c>
      <c r="CJ3" s="1042"/>
      <c r="CK3" s="1042"/>
      <c r="CL3" s="1042"/>
      <c r="CM3" s="1042"/>
      <c r="CN3" s="1042"/>
      <c r="CO3" s="1042"/>
      <c r="CP3" s="1042"/>
      <c r="CQ3" s="1042"/>
      <c r="CR3" s="1042"/>
      <c r="CS3" s="1042"/>
      <c r="CT3" s="1042"/>
      <c r="CU3" s="1042" t="s">
        <v>27</v>
      </c>
      <c r="CV3" s="1042"/>
      <c r="CW3" s="1042"/>
      <c r="CX3" s="1042"/>
      <c r="CY3" s="1042"/>
      <c r="CZ3" s="1042"/>
      <c r="DA3" s="1042"/>
      <c r="DB3" s="1042"/>
      <c r="DC3" s="1042"/>
      <c r="DD3" s="1042"/>
      <c r="DE3" s="1042"/>
      <c r="DF3" s="1042"/>
      <c r="DG3" s="1042" t="s">
        <v>28</v>
      </c>
      <c r="DH3" s="1042"/>
      <c r="DI3" s="1042"/>
      <c r="DJ3" s="1042"/>
      <c r="DK3" s="1042"/>
      <c r="DL3" s="1042"/>
      <c r="DM3" s="1042"/>
      <c r="DN3" s="1042"/>
      <c r="DO3" s="1042"/>
      <c r="DP3" s="1042"/>
      <c r="DQ3" s="1042"/>
      <c r="DR3" s="1042"/>
      <c r="DS3" s="1042" t="s">
        <v>183</v>
      </c>
      <c r="DT3" s="1042"/>
      <c r="DU3" s="1042"/>
      <c r="DV3" s="1042"/>
      <c r="DW3" s="1042"/>
      <c r="DX3" s="1042"/>
      <c r="DY3" s="1042"/>
      <c r="DZ3" s="1042"/>
      <c r="EA3" s="1042"/>
      <c r="EB3" s="1042"/>
      <c r="EC3" s="1042"/>
      <c r="ED3" s="1042"/>
      <c r="EE3" s="1042" t="s">
        <v>496</v>
      </c>
      <c r="EF3" s="1042"/>
      <c r="EG3" s="1042"/>
      <c r="EH3" s="1042"/>
      <c r="EI3" s="1042"/>
      <c r="EJ3" s="1042"/>
      <c r="EK3" s="1042"/>
      <c r="EL3" s="1042"/>
      <c r="EM3" s="1042"/>
      <c r="EN3" s="1042"/>
      <c r="EO3" s="1042"/>
      <c r="EP3" s="1042"/>
      <c r="EQ3" s="1042" t="s">
        <v>184</v>
      </c>
      <c r="ER3" s="1042"/>
      <c r="ES3" s="1042"/>
      <c r="ET3" s="1042"/>
      <c r="EU3" s="1042"/>
      <c r="EV3" s="1042"/>
      <c r="EW3" s="1042"/>
      <c r="EX3" s="1042"/>
      <c r="EY3" s="1042"/>
      <c r="EZ3" s="1042"/>
      <c r="FA3" s="1042"/>
      <c r="FB3" s="1042"/>
    </row>
    <row r="4" spans="1:158" s="770" customFormat="1" ht="25.5" customHeight="1" x14ac:dyDescent="0.25">
      <c r="A4" s="1042"/>
      <c r="B4" s="1042"/>
      <c r="C4" s="1042" t="s">
        <v>524</v>
      </c>
      <c r="D4" s="1042"/>
      <c r="E4" s="1042" t="s">
        <v>1039</v>
      </c>
      <c r="F4" s="1042"/>
      <c r="G4" s="1042" t="s">
        <v>742</v>
      </c>
      <c r="H4" s="1042"/>
      <c r="I4" s="1042" t="s">
        <v>732</v>
      </c>
      <c r="J4" s="1042"/>
      <c r="K4" s="1043" t="s">
        <v>159</v>
      </c>
      <c r="L4" s="1043"/>
      <c r="M4" s="1043"/>
      <c r="N4" s="1043"/>
      <c r="O4" s="1042" t="s">
        <v>524</v>
      </c>
      <c r="P4" s="1042"/>
      <c r="Q4" s="1042" t="s">
        <v>1039</v>
      </c>
      <c r="R4" s="1042"/>
      <c r="S4" s="1042" t="s">
        <v>742</v>
      </c>
      <c r="T4" s="1042"/>
      <c r="U4" s="1042" t="s">
        <v>732</v>
      </c>
      <c r="V4" s="1042"/>
      <c r="W4" s="1043" t="s">
        <v>159</v>
      </c>
      <c r="X4" s="1043"/>
      <c r="Y4" s="1043"/>
      <c r="Z4" s="1043"/>
      <c r="AA4" s="1042" t="s">
        <v>524</v>
      </c>
      <c r="AB4" s="1042"/>
      <c r="AC4" s="1042" t="s">
        <v>1039</v>
      </c>
      <c r="AD4" s="1042"/>
      <c r="AE4" s="1042" t="s">
        <v>742</v>
      </c>
      <c r="AF4" s="1042"/>
      <c r="AG4" s="1042" t="s">
        <v>732</v>
      </c>
      <c r="AH4" s="1042"/>
      <c r="AI4" s="1043" t="s">
        <v>159</v>
      </c>
      <c r="AJ4" s="1043"/>
      <c r="AK4" s="1043"/>
      <c r="AL4" s="1043"/>
      <c r="AM4" s="1042" t="s">
        <v>524</v>
      </c>
      <c r="AN4" s="1042"/>
      <c r="AO4" s="1042" t="s">
        <v>1039</v>
      </c>
      <c r="AP4" s="1042"/>
      <c r="AQ4" s="1042" t="s">
        <v>742</v>
      </c>
      <c r="AR4" s="1042"/>
      <c r="AS4" s="1042" t="s">
        <v>732</v>
      </c>
      <c r="AT4" s="1042"/>
      <c r="AU4" s="1043" t="s">
        <v>159</v>
      </c>
      <c r="AV4" s="1043"/>
      <c r="AW4" s="1043"/>
      <c r="AX4" s="1043"/>
      <c r="AY4" s="1042" t="s">
        <v>524</v>
      </c>
      <c r="AZ4" s="1042"/>
      <c r="BA4" s="1042" t="s">
        <v>1039</v>
      </c>
      <c r="BB4" s="1042"/>
      <c r="BC4" s="1042" t="s">
        <v>742</v>
      </c>
      <c r="BD4" s="1042"/>
      <c r="BE4" s="1042" t="s">
        <v>732</v>
      </c>
      <c r="BF4" s="1042"/>
      <c r="BG4" s="1043" t="s">
        <v>159</v>
      </c>
      <c r="BH4" s="1043"/>
      <c r="BI4" s="1043"/>
      <c r="BJ4" s="1043"/>
      <c r="BK4" s="1042" t="s">
        <v>524</v>
      </c>
      <c r="BL4" s="1042"/>
      <c r="BM4" s="1042" t="s">
        <v>1039</v>
      </c>
      <c r="BN4" s="1042"/>
      <c r="BO4" s="1042" t="s">
        <v>742</v>
      </c>
      <c r="BP4" s="1042"/>
      <c r="BQ4" s="1042" t="s">
        <v>732</v>
      </c>
      <c r="BR4" s="1042"/>
      <c r="BS4" s="1043" t="s">
        <v>159</v>
      </c>
      <c r="BT4" s="1043"/>
      <c r="BU4" s="1043"/>
      <c r="BV4" s="1043"/>
      <c r="BW4" s="1042" t="s">
        <v>524</v>
      </c>
      <c r="BX4" s="1042"/>
      <c r="BY4" s="1042" t="s">
        <v>1039</v>
      </c>
      <c r="BZ4" s="1042"/>
      <c r="CA4" s="1042" t="s">
        <v>742</v>
      </c>
      <c r="CB4" s="1042"/>
      <c r="CC4" s="1042" t="s">
        <v>732</v>
      </c>
      <c r="CD4" s="1042"/>
      <c r="CE4" s="1043" t="s">
        <v>159</v>
      </c>
      <c r="CF4" s="1043"/>
      <c r="CG4" s="1043"/>
      <c r="CH4" s="1043"/>
      <c r="CI4" s="1042" t="s">
        <v>524</v>
      </c>
      <c r="CJ4" s="1042"/>
      <c r="CK4" s="1042" t="s">
        <v>1039</v>
      </c>
      <c r="CL4" s="1042"/>
      <c r="CM4" s="1042" t="s">
        <v>742</v>
      </c>
      <c r="CN4" s="1042"/>
      <c r="CO4" s="1042" t="s">
        <v>732</v>
      </c>
      <c r="CP4" s="1042"/>
      <c r="CQ4" s="1043" t="s">
        <v>159</v>
      </c>
      <c r="CR4" s="1043"/>
      <c r="CS4" s="1043"/>
      <c r="CT4" s="1043"/>
      <c r="CU4" s="1042" t="s">
        <v>524</v>
      </c>
      <c r="CV4" s="1042"/>
      <c r="CW4" s="1042" t="s">
        <v>1039</v>
      </c>
      <c r="CX4" s="1042"/>
      <c r="CY4" s="1042" t="s">
        <v>742</v>
      </c>
      <c r="CZ4" s="1042"/>
      <c r="DA4" s="1042" t="s">
        <v>732</v>
      </c>
      <c r="DB4" s="1042"/>
      <c r="DC4" s="1043" t="s">
        <v>159</v>
      </c>
      <c r="DD4" s="1043"/>
      <c r="DE4" s="1043"/>
      <c r="DF4" s="1043"/>
      <c r="DG4" s="1042" t="s">
        <v>524</v>
      </c>
      <c r="DH4" s="1042"/>
      <c r="DI4" s="1042" t="s">
        <v>1039</v>
      </c>
      <c r="DJ4" s="1042"/>
      <c r="DK4" s="1042" t="s">
        <v>742</v>
      </c>
      <c r="DL4" s="1042"/>
      <c r="DM4" s="1042" t="s">
        <v>732</v>
      </c>
      <c r="DN4" s="1042"/>
      <c r="DO4" s="1043" t="s">
        <v>159</v>
      </c>
      <c r="DP4" s="1043"/>
      <c r="DQ4" s="1043"/>
      <c r="DR4" s="1043"/>
      <c r="DS4" s="1042" t="s">
        <v>524</v>
      </c>
      <c r="DT4" s="1042"/>
      <c r="DU4" s="1042" t="s">
        <v>1039</v>
      </c>
      <c r="DV4" s="1042"/>
      <c r="DW4" s="1042" t="s">
        <v>742</v>
      </c>
      <c r="DX4" s="1042"/>
      <c r="DY4" s="1042" t="s">
        <v>732</v>
      </c>
      <c r="DZ4" s="1042"/>
      <c r="EA4" s="1043" t="s">
        <v>159</v>
      </c>
      <c r="EB4" s="1043"/>
      <c r="EC4" s="1043"/>
      <c r="ED4" s="1043"/>
      <c r="EE4" s="1042" t="s">
        <v>524</v>
      </c>
      <c r="EF4" s="1042"/>
      <c r="EG4" s="1042" t="s">
        <v>1039</v>
      </c>
      <c r="EH4" s="1042"/>
      <c r="EI4" s="1042" t="s">
        <v>742</v>
      </c>
      <c r="EJ4" s="1042"/>
      <c r="EK4" s="1042" t="s">
        <v>732</v>
      </c>
      <c r="EL4" s="1042"/>
      <c r="EM4" s="1043" t="s">
        <v>159</v>
      </c>
      <c r="EN4" s="1043"/>
      <c r="EO4" s="1043"/>
      <c r="EP4" s="1043"/>
      <c r="EQ4" s="1042" t="s">
        <v>524</v>
      </c>
      <c r="ER4" s="1042"/>
      <c r="ES4" s="1042" t="s">
        <v>1039</v>
      </c>
      <c r="ET4" s="1042"/>
      <c r="EU4" s="1042" t="s">
        <v>742</v>
      </c>
      <c r="EV4" s="1042"/>
      <c r="EW4" s="1042" t="s">
        <v>732</v>
      </c>
      <c r="EX4" s="1042"/>
      <c r="EY4" s="1043" t="s">
        <v>159</v>
      </c>
      <c r="EZ4" s="1043"/>
      <c r="FA4" s="1043"/>
      <c r="FB4" s="1043"/>
    </row>
    <row r="5" spans="1:158" s="770" customFormat="1" ht="43.5" customHeight="1" x14ac:dyDescent="0.25">
      <c r="A5" s="1042"/>
      <c r="B5" s="1042"/>
      <c r="C5" s="1042" t="s">
        <v>185</v>
      </c>
      <c r="D5" s="1024" t="s">
        <v>186</v>
      </c>
      <c r="E5" s="1042" t="s">
        <v>185</v>
      </c>
      <c r="F5" s="1024" t="s">
        <v>186</v>
      </c>
      <c r="G5" s="1042" t="s">
        <v>185</v>
      </c>
      <c r="H5" s="1024" t="s">
        <v>186</v>
      </c>
      <c r="I5" s="1042" t="s">
        <v>185</v>
      </c>
      <c r="J5" s="1024" t="s">
        <v>186</v>
      </c>
      <c r="K5" s="1024" t="s">
        <v>743</v>
      </c>
      <c r="L5" s="1024"/>
      <c r="M5" s="1024" t="s">
        <v>744</v>
      </c>
      <c r="N5" s="1024"/>
      <c r="O5" s="1042" t="s">
        <v>185</v>
      </c>
      <c r="P5" s="1024" t="s">
        <v>186</v>
      </c>
      <c r="Q5" s="1042" t="s">
        <v>185</v>
      </c>
      <c r="R5" s="1024" t="s">
        <v>186</v>
      </c>
      <c r="S5" s="1042" t="s">
        <v>185</v>
      </c>
      <c r="T5" s="1024" t="s">
        <v>186</v>
      </c>
      <c r="U5" s="1042" t="s">
        <v>185</v>
      </c>
      <c r="V5" s="1024" t="s">
        <v>186</v>
      </c>
      <c r="W5" s="1024" t="s">
        <v>743</v>
      </c>
      <c r="X5" s="1024"/>
      <c r="Y5" s="1024" t="s">
        <v>744</v>
      </c>
      <c r="Z5" s="1024"/>
      <c r="AA5" s="1042" t="s">
        <v>185</v>
      </c>
      <c r="AB5" s="1024" t="s">
        <v>186</v>
      </c>
      <c r="AC5" s="1042" t="s">
        <v>185</v>
      </c>
      <c r="AD5" s="1024" t="s">
        <v>186</v>
      </c>
      <c r="AE5" s="1042" t="s">
        <v>185</v>
      </c>
      <c r="AF5" s="1024" t="s">
        <v>186</v>
      </c>
      <c r="AG5" s="1042" t="s">
        <v>185</v>
      </c>
      <c r="AH5" s="1024" t="s">
        <v>186</v>
      </c>
      <c r="AI5" s="1024" t="s">
        <v>743</v>
      </c>
      <c r="AJ5" s="1024"/>
      <c r="AK5" s="1024" t="s">
        <v>744</v>
      </c>
      <c r="AL5" s="1024"/>
      <c r="AM5" s="1042" t="s">
        <v>185</v>
      </c>
      <c r="AN5" s="1024" t="s">
        <v>186</v>
      </c>
      <c r="AO5" s="1042" t="s">
        <v>185</v>
      </c>
      <c r="AP5" s="1024" t="s">
        <v>186</v>
      </c>
      <c r="AQ5" s="1042" t="s">
        <v>185</v>
      </c>
      <c r="AR5" s="1024" t="s">
        <v>186</v>
      </c>
      <c r="AS5" s="1042" t="s">
        <v>185</v>
      </c>
      <c r="AT5" s="1024" t="s">
        <v>186</v>
      </c>
      <c r="AU5" s="1024" t="s">
        <v>743</v>
      </c>
      <c r="AV5" s="1024"/>
      <c r="AW5" s="1024" t="s">
        <v>744</v>
      </c>
      <c r="AX5" s="1024"/>
      <c r="AY5" s="1042" t="s">
        <v>185</v>
      </c>
      <c r="AZ5" s="1024" t="s">
        <v>186</v>
      </c>
      <c r="BA5" s="1042" t="s">
        <v>185</v>
      </c>
      <c r="BB5" s="1024" t="s">
        <v>186</v>
      </c>
      <c r="BC5" s="1042" t="s">
        <v>185</v>
      </c>
      <c r="BD5" s="1024" t="s">
        <v>186</v>
      </c>
      <c r="BE5" s="1042" t="s">
        <v>185</v>
      </c>
      <c r="BF5" s="1024" t="s">
        <v>186</v>
      </c>
      <c r="BG5" s="1024" t="s">
        <v>743</v>
      </c>
      <c r="BH5" s="1024"/>
      <c r="BI5" s="1024" t="s">
        <v>744</v>
      </c>
      <c r="BJ5" s="1024"/>
      <c r="BK5" s="1042" t="s">
        <v>185</v>
      </c>
      <c r="BL5" s="1024" t="s">
        <v>186</v>
      </c>
      <c r="BM5" s="1042" t="s">
        <v>185</v>
      </c>
      <c r="BN5" s="1024" t="s">
        <v>186</v>
      </c>
      <c r="BO5" s="1042" t="s">
        <v>185</v>
      </c>
      <c r="BP5" s="1024" t="s">
        <v>186</v>
      </c>
      <c r="BQ5" s="1042" t="s">
        <v>185</v>
      </c>
      <c r="BR5" s="1024" t="s">
        <v>186</v>
      </c>
      <c r="BS5" s="1024" t="s">
        <v>743</v>
      </c>
      <c r="BT5" s="1024"/>
      <c r="BU5" s="1024" t="s">
        <v>744</v>
      </c>
      <c r="BV5" s="1024"/>
      <c r="BW5" s="1042" t="s">
        <v>185</v>
      </c>
      <c r="BX5" s="1024" t="s">
        <v>186</v>
      </c>
      <c r="BY5" s="1042" t="s">
        <v>185</v>
      </c>
      <c r="BZ5" s="1024" t="s">
        <v>186</v>
      </c>
      <c r="CA5" s="1042" t="s">
        <v>185</v>
      </c>
      <c r="CB5" s="1024" t="s">
        <v>186</v>
      </c>
      <c r="CC5" s="1042" t="s">
        <v>185</v>
      </c>
      <c r="CD5" s="1024" t="s">
        <v>186</v>
      </c>
      <c r="CE5" s="1024" t="s">
        <v>743</v>
      </c>
      <c r="CF5" s="1024"/>
      <c r="CG5" s="1024" t="s">
        <v>744</v>
      </c>
      <c r="CH5" s="1024"/>
      <c r="CI5" s="1042" t="s">
        <v>185</v>
      </c>
      <c r="CJ5" s="1024" t="s">
        <v>186</v>
      </c>
      <c r="CK5" s="1042" t="s">
        <v>185</v>
      </c>
      <c r="CL5" s="1024" t="s">
        <v>186</v>
      </c>
      <c r="CM5" s="1042" t="s">
        <v>185</v>
      </c>
      <c r="CN5" s="1024" t="s">
        <v>186</v>
      </c>
      <c r="CO5" s="1042" t="s">
        <v>185</v>
      </c>
      <c r="CP5" s="1024" t="s">
        <v>186</v>
      </c>
      <c r="CQ5" s="1024" t="s">
        <v>743</v>
      </c>
      <c r="CR5" s="1024"/>
      <c r="CS5" s="1024" t="s">
        <v>744</v>
      </c>
      <c r="CT5" s="1024"/>
      <c r="CU5" s="1042" t="s">
        <v>185</v>
      </c>
      <c r="CV5" s="1024" t="s">
        <v>186</v>
      </c>
      <c r="CW5" s="1042" t="s">
        <v>185</v>
      </c>
      <c r="CX5" s="1024" t="s">
        <v>186</v>
      </c>
      <c r="CY5" s="1042" t="s">
        <v>185</v>
      </c>
      <c r="CZ5" s="1024" t="s">
        <v>186</v>
      </c>
      <c r="DA5" s="1042" t="s">
        <v>185</v>
      </c>
      <c r="DB5" s="1024" t="s">
        <v>186</v>
      </c>
      <c r="DC5" s="1024" t="s">
        <v>743</v>
      </c>
      <c r="DD5" s="1024"/>
      <c r="DE5" s="1024" t="s">
        <v>744</v>
      </c>
      <c r="DF5" s="1024"/>
      <c r="DG5" s="1042" t="s">
        <v>185</v>
      </c>
      <c r="DH5" s="1024" t="s">
        <v>186</v>
      </c>
      <c r="DI5" s="1042" t="s">
        <v>185</v>
      </c>
      <c r="DJ5" s="1024" t="s">
        <v>186</v>
      </c>
      <c r="DK5" s="1042" t="s">
        <v>185</v>
      </c>
      <c r="DL5" s="1024" t="s">
        <v>186</v>
      </c>
      <c r="DM5" s="1042" t="s">
        <v>185</v>
      </c>
      <c r="DN5" s="1024" t="s">
        <v>186</v>
      </c>
      <c r="DO5" s="1024" t="s">
        <v>743</v>
      </c>
      <c r="DP5" s="1024"/>
      <c r="DQ5" s="1024" t="s">
        <v>744</v>
      </c>
      <c r="DR5" s="1024"/>
      <c r="DS5" s="1042" t="s">
        <v>185</v>
      </c>
      <c r="DT5" s="1024" t="s">
        <v>186</v>
      </c>
      <c r="DU5" s="1042" t="s">
        <v>185</v>
      </c>
      <c r="DV5" s="1024" t="s">
        <v>186</v>
      </c>
      <c r="DW5" s="1042" t="s">
        <v>185</v>
      </c>
      <c r="DX5" s="1024" t="s">
        <v>186</v>
      </c>
      <c r="DY5" s="1042" t="s">
        <v>185</v>
      </c>
      <c r="DZ5" s="1024" t="s">
        <v>186</v>
      </c>
      <c r="EA5" s="1024" t="s">
        <v>743</v>
      </c>
      <c r="EB5" s="1024"/>
      <c r="EC5" s="1024" t="s">
        <v>744</v>
      </c>
      <c r="ED5" s="1024"/>
      <c r="EE5" s="1042" t="s">
        <v>185</v>
      </c>
      <c r="EF5" s="1024" t="s">
        <v>186</v>
      </c>
      <c r="EG5" s="1042" t="s">
        <v>185</v>
      </c>
      <c r="EH5" s="1024" t="s">
        <v>186</v>
      </c>
      <c r="EI5" s="1042" t="s">
        <v>185</v>
      </c>
      <c r="EJ5" s="1024" t="s">
        <v>186</v>
      </c>
      <c r="EK5" s="1042" t="s">
        <v>185</v>
      </c>
      <c r="EL5" s="1024" t="s">
        <v>186</v>
      </c>
      <c r="EM5" s="1024" t="s">
        <v>743</v>
      </c>
      <c r="EN5" s="1024"/>
      <c r="EO5" s="1024" t="s">
        <v>744</v>
      </c>
      <c r="EP5" s="1024"/>
      <c r="EQ5" s="1042" t="s">
        <v>185</v>
      </c>
      <c r="ER5" s="1024" t="s">
        <v>186</v>
      </c>
      <c r="ES5" s="1042" t="s">
        <v>185</v>
      </c>
      <c r="ET5" s="1024" t="s">
        <v>186</v>
      </c>
      <c r="EU5" s="1042" t="s">
        <v>185</v>
      </c>
      <c r="EV5" s="1024" t="s">
        <v>186</v>
      </c>
      <c r="EW5" s="1042" t="s">
        <v>185</v>
      </c>
      <c r="EX5" s="1024" t="s">
        <v>186</v>
      </c>
      <c r="EY5" s="1024" t="s">
        <v>743</v>
      </c>
      <c r="EZ5" s="1024"/>
      <c r="FA5" s="1024" t="s">
        <v>744</v>
      </c>
      <c r="FB5" s="1024"/>
    </row>
    <row r="6" spans="1:158" s="770" customFormat="1" ht="54.75" customHeight="1" x14ac:dyDescent="0.25">
      <c r="A6" s="1042"/>
      <c r="B6" s="1042"/>
      <c r="C6" s="1042"/>
      <c r="D6" s="1024"/>
      <c r="E6" s="1042"/>
      <c r="F6" s="1024"/>
      <c r="G6" s="1042"/>
      <c r="H6" s="1024"/>
      <c r="I6" s="1042"/>
      <c r="J6" s="1024"/>
      <c r="K6" s="765" t="s">
        <v>187</v>
      </c>
      <c r="L6" s="765" t="s">
        <v>188</v>
      </c>
      <c r="M6" s="765" t="s">
        <v>187</v>
      </c>
      <c r="N6" s="765" t="s">
        <v>188</v>
      </c>
      <c r="O6" s="1042"/>
      <c r="P6" s="1024"/>
      <c r="Q6" s="1042"/>
      <c r="R6" s="1024"/>
      <c r="S6" s="1042"/>
      <c r="T6" s="1024"/>
      <c r="U6" s="1042"/>
      <c r="V6" s="1024"/>
      <c r="W6" s="765" t="s">
        <v>187</v>
      </c>
      <c r="X6" s="765" t="s">
        <v>188</v>
      </c>
      <c r="Y6" s="765" t="s">
        <v>187</v>
      </c>
      <c r="Z6" s="765" t="s">
        <v>188</v>
      </c>
      <c r="AA6" s="1042"/>
      <c r="AB6" s="1024"/>
      <c r="AC6" s="1042"/>
      <c r="AD6" s="1024"/>
      <c r="AE6" s="1042"/>
      <c r="AF6" s="1024"/>
      <c r="AG6" s="1042"/>
      <c r="AH6" s="1024"/>
      <c r="AI6" s="765" t="s">
        <v>187</v>
      </c>
      <c r="AJ6" s="765" t="s">
        <v>188</v>
      </c>
      <c r="AK6" s="765" t="s">
        <v>187</v>
      </c>
      <c r="AL6" s="765" t="s">
        <v>188</v>
      </c>
      <c r="AM6" s="1042"/>
      <c r="AN6" s="1024"/>
      <c r="AO6" s="1042"/>
      <c r="AP6" s="1024"/>
      <c r="AQ6" s="1042"/>
      <c r="AR6" s="1024"/>
      <c r="AS6" s="1042"/>
      <c r="AT6" s="1024"/>
      <c r="AU6" s="765" t="s">
        <v>187</v>
      </c>
      <c r="AV6" s="765" t="s">
        <v>188</v>
      </c>
      <c r="AW6" s="765" t="s">
        <v>187</v>
      </c>
      <c r="AX6" s="765" t="s">
        <v>188</v>
      </c>
      <c r="AY6" s="1042"/>
      <c r="AZ6" s="1024"/>
      <c r="BA6" s="1042"/>
      <c r="BB6" s="1024"/>
      <c r="BC6" s="1042"/>
      <c r="BD6" s="1024"/>
      <c r="BE6" s="1042"/>
      <c r="BF6" s="1024"/>
      <c r="BG6" s="765" t="s">
        <v>187</v>
      </c>
      <c r="BH6" s="765" t="s">
        <v>188</v>
      </c>
      <c r="BI6" s="765" t="s">
        <v>187</v>
      </c>
      <c r="BJ6" s="765" t="s">
        <v>188</v>
      </c>
      <c r="BK6" s="1042"/>
      <c r="BL6" s="1024"/>
      <c r="BM6" s="1042"/>
      <c r="BN6" s="1024"/>
      <c r="BO6" s="1042"/>
      <c r="BP6" s="1024"/>
      <c r="BQ6" s="1042"/>
      <c r="BR6" s="1024"/>
      <c r="BS6" s="765" t="s">
        <v>187</v>
      </c>
      <c r="BT6" s="765" t="s">
        <v>188</v>
      </c>
      <c r="BU6" s="765" t="s">
        <v>187</v>
      </c>
      <c r="BV6" s="765" t="s">
        <v>188</v>
      </c>
      <c r="BW6" s="1042"/>
      <c r="BX6" s="1024"/>
      <c r="BY6" s="1042"/>
      <c r="BZ6" s="1024"/>
      <c r="CA6" s="1042"/>
      <c r="CB6" s="1024"/>
      <c r="CC6" s="1042"/>
      <c r="CD6" s="1024"/>
      <c r="CE6" s="765" t="s">
        <v>187</v>
      </c>
      <c r="CF6" s="765" t="s">
        <v>188</v>
      </c>
      <c r="CG6" s="765" t="s">
        <v>187</v>
      </c>
      <c r="CH6" s="765" t="s">
        <v>188</v>
      </c>
      <c r="CI6" s="1042"/>
      <c r="CJ6" s="1024"/>
      <c r="CK6" s="1042"/>
      <c r="CL6" s="1024"/>
      <c r="CM6" s="1042"/>
      <c r="CN6" s="1024"/>
      <c r="CO6" s="1042"/>
      <c r="CP6" s="1024"/>
      <c r="CQ6" s="765" t="s">
        <v>187</v>
      </c>
      <c r="CR6" s="765" t="s">
        <v>188</v>
      </c>
      <c r="CS6" s="765" t="s">
        <v>187</v>
      </c>
      <c r="CT6" s="765" t="s">
        <v>188</v>
      </c>
      <c r="CU6" s="1042"/>
      <c r="CV6" s="1024"/>
      <c r="CW6" s="1042"/>
      <c r="CX6" s="1024"/>
      <c r="CY6" s="1042"/>
      <c r="CZ6" s="1024"/>
      <c r="DA6" s="1042"/>
      <c r="DB6" s="1024"/>
      <c r="DC6" s="765" t="s">
        <v>187</v>
      </c>
      <c r="DD6" s="765" t="s">
        <v>188</v>
      </c>
      <c r="DE6" s="765" t="s">
        <v>187</v>
      </c>
      <c r="DF6" s="765" t="s">
        <v>188</v>
      </c>
      <c r="DG6" s="1042"/>
      <c r="DH6" s="1024"/>
      <c r="DI6" s="1042"/>
      <c r="DJ6" s="1024"/>
      <c r="DK6" s="1042"/>
      <c r="DL6" s="1024"/>
      <c r="DM6" s="1042"/>
      <c r="DN6" s="1024"/>
      <c r="DO6" s="765" t="s">
        <v>187</v>
      </c>
      <c r="DP6" s="765" t="s">
        <v>188</v>
      </c>
      <c r="DQ6" s="765" t="s">
        <v>187</v>
      </c>
      <c r="DR6" s="765" t="s">
        <v>188</v>
      </c>
      <c r="DS6" s="1042"/>
      <c r="DT6" s="1024"/>
      <c r="DU6" s="1042"/>
      <c r="DV6" s="1024"/>
      <c r="DW6" s="1042"/>
      <c r="DX6" s="1024"/>
      <c r="DY6" s="1042"/>
      <c r="DZ6" s="1024"/>
      <c r="EA6" s="765" t="s">
        <v>187</v>
      </c>
      <c r="EB6" s="765" t="s">
        <v>188</v>
      </c>
      <c r="EC6" s="765" t="s">
        <v>187</v>
      </c>
      <c r="ED6" s="765" t="s">
        <v>188</v>
      </c>
      <c r="EE6" s="1042"/>
      <c r="EF6" s="1024"/>
      <c r="EG6" s="1042"/>
      <c r="EH6" s="1024"/>
      <c r="EI6" s="1042"/>
      <c r="EJ6" s="1024"/>
      <c r="EK6" s="1042"/>
      <c r="EL6" s="1024"/>
      <c r="EM6" s="765" t="s">
        <v>187</v>
      </c>
      <c r="EN6" s="765" t="s">
        <v>188</v>
      </c>
      <c r="EO6" s="765" t="s">
        <v>187</v>
      </c>
      <c r="EP6" s="765" t="s">
        <v>188</v>
      </c>
      <c r="EQ6" s="1042"/>
      <c r="ER6" s="1024"/>
      <c r="ES6" s="1042"/>
      <c r="ET6" s="1024"/>
      <c r="EU6" s="1042"/>
      <c r="EV6" s="1024"/>
      <c r="EW6" s="1042"/>
      <c r="EX6" s="1024"/>
      <c r="EY6" s="765" t="s">
        <v>187</v>
      </c>
      <c r="EZ6" s="765" t="s">
        <v>188</v>
      </c>
      <c r="FA6" s="765" t="s">
        <v>187</v>
      </c>
      <c r="FB6" s="765" t="s">
        <v>188</v>
      </c>
    </row>
    <row r="7" spans="1:158" s="770" customFormat="1" x14ac:dyDescent="0.25">
      <c r="A7" s="768" t="s">
        <v>279</v>
      </c>
      <c r="B7" s="768" t="s">
        <v>295</v>
      </c>
      <c r="C7" s="768">
        <v>1</v>
      </c>
      <c r="D7" s="768">
        <v>2</v>
      </c>
      <c r="E7" s="768">
        <v>3</v>
      </c>
      <c r="F7" s="768">
        <v>4</v>
      </c>
      <c r="G7" s="768">
        <v>3</v>
      </c>
      <c r="H7" s="768">
        <v>4</v>
      </c>
      <c r="I7" s="768">
        <v>5</v>
      </c>
      <c r="J7" s="768">
        <v>6</v>
      </c>
      <c r="K7" s="769" t="s">
        <v>189</v>
      </c>
      <c r="L7" s="769" t="s">
        <v>190</v>
      </c>
      <c r="M7" s="769" t="s">
        <v>191</v>
      </c>
      <c r="N7" s="769" t="s">
        <v>192</v>
      </c>
      <c r="O7" s="768">
        <v>1</v>
      </c>
      <c r="P7" s="768">
        <v>2</v>
      </c>
      <c r="Q7" s="768">
        <v>3</v>
      </c>
      <c r="R7" s="768">
        <v>4</v>
      </c>
      <c r="S7" s="768">
        <v>3</v>
      </c>
      <c r="T7" s="768">
        <v>4</v>
      </c>
      <c r="U7" s="768">
        <v>5</v>
      </c>
      <c r="V7" s="768">
        <v>6</v>
      </c>
      <c r="W7" s="769" t="s">
        <v>189</v>
      </c>
      <c r="X7" s="769" t="s">
        <v>190</v>
      </c>
      <c r="Y7" s="769" t="s">
        <v>191</v>
      </c>
      <c r="Z7" s="769" t="s">
        <v>192</v>
      </c>
      <c r="AA7" s="768">
        <v>1</v>
      </c>
      <c r="AB7" s="768">
        <v>2</v>
      </c>
      <c r="AC7" s="768">
        <v>3</v>
      </c>
      <c r="AD7" s="768">
        <v>4</v>
      </c>
      <c r="AE7" s="768">
        <v>3</v>
      </c>
      <c r="AF7" s="768">
        <v>4</v>
      </c>
      <c r="AG7" s="768">
        <v>5</v>
      </c>
      <c r="AH7" s="768">
        <v>6</v>
      </c>
      <c r="AI7" s="769" t="s">
        <v>189</v>
      </c>
      <c r="AJ7" s="769" t="s">
        <v>190</v>
      </c>
      <c r="AK7" s="769" t="s">
        <v>191</v>
      </c>
      <c r="AL7" s="769" t="s">
        <v>192</v>
      </c>
      <c r="AM7" s="768">
        <v>1</v>
      </c>
      <c r="AN7" s="768">
        <v>2</v>
      </c>
      <c r="AO7" s="768">
        <v>3</v>
      </c>
      <c r="AP7" s="768">
        <v>4</v>
      </c>
      <c r="AQ7" s="768">
        <v>3</v>
      </c>
      <c r="AR7" s="768">
        <v>4</v>
      </c>
      <c r="AS7" s="768">
        <v>5</v>
      </c>
      <c r="AT7" s="768">
        <v>6</v>
      </c>
      <c r="AU7" s="769" t="s">
        <v>189</v>
      </c>
      <c r="AV7" s="769" t="s">
        <v>190</v>
      </c>
      <c r="AW7" s="769" t="s">
        <v>191</v>
      </c>
      <c r="AX7" s="769" t="s">
        <v>192</v>
      </c>
      <c r="AY7" s="768">
        <v>1</v>
      </c>
      <c r="AZ7" s="768">
        <v>2</v>
      </c>
      <c r="BA7" s="768">
        <v>3</v>
      </c>
      <c r="BB7" s="768">
        <v>4</v>
      </c>
      <c r="BC7" s="768">
        <v>3</v>
      </c>
      <c r="BD7" s="768">
        <v>4</v>
      </c>
      <c r="BE7" s="768">
        <v>5</v>
      </c>
      <c r="BF7" s="768">
        <v>6</v>
      </c>
      <c r="BG7" s="769" t="s">
        <v>189</v>
      </c>
      <c r="BH7" s="769" t="s">
        <v>190</v>
      </c>
      <c r="BI7" s="769" t="s">
        <v>191</v>
      </c>
      <c r="BJ7" s="769" t="s">
        <v>192</v>
      </c>
      <c r="BK7" s="768">
        <v>1</v>
      </c>
      <c r="BL7" s="768">
        <v>2</v>
      </c>
      <c r="BM7" s="768">
        <v>3</v>
      </c>
      <c r="BN7" s="768">
        <v>4</v>
      </c>
      <c r="BO7" s="768">
        <v>3</v>
      </c>
      <c r="BP7" s="768">
        <v>4</v>
      </c>
      <c r="BQ7" s="768">
        <v>5</v>
      </c>
      <c r="BR7" s="768">
        <v>6</v>
      </c>
      <c r="BS7" s="769" t="s">
        <v>189</v>
      </c>
      <c r="BT7" s="769" t="s">
        <v>190</v>
      </c>
      <c r="BU7" s="769" t="s">
        <v>191</v>
      </c>
      <c r="BV7" s="769" t="s">
        <v>192</v>
      </c>
      <c r="BW7" s="768">
        <v>1</v>
      </c>
      <c r="BX7" s="768">
        <v>2</v>
      </c>
      <c r="BY7" s="768">
        <v>3</v>
      </c>
      <c r="BZ7" s="768">
        <v>4</v>
      </c>
      <c r="CA7" s="768">
        <v>3</v>
      </c>
      <c r="CB7" s="768">
        <v>4</v>
      </c>
      <c r="CC7" s="768">
        <v>5</v>
      </c>
      <c r="CD7" s="768">
        <v>6</v>
      </c>
      <c r="CE7" s="769" t="s">
        <v>189</v>
      </c>
      <c r="CF7" s="769" t="s">
        <v>190</v>
      </c>
      <c r="CG7" s="769" t="s">
        <v>191</v>
      </c>
      <c r="CH7" s="769" t="s">
        <v>192</v>
      </c>
      <c r="CI7" s="768">
        <v>1</v>
      </c>
      <c r="CJ7" s="768">
        <v>2</v>
      </c>
      <c r="CK7" s="768">
        <v>3</v>
      </c>
      <c r="CL7" s="768">
        <v>4</v>
      </c>
      <c r="CM7" s="768">
        <v>3</v>
      </c>
      <c r="CN7" s="768">
        <v>4</v>
      </c>
      <c r="CO7" s="768">
        <v>5</v>
      </c>
      <c r="CP7" s="768">
        <v>6</v>
      </c>
      <c r="CQ7" s="769" t="s">
        <v>189</v>
      </c>
      <c r="CR7" s="769" t="s">
        <v>190</v>
      </c>
      <c r="CS7" s="769" t="s">
        <v>191</v>
      </c>
      <c r="CT7" s="769" t="s">
        <v>192</v>
      </c>
      <c r="CU7" s="768">
        <v>1</v>
      </c>
      <c r="CV7" s="768">
        <v>2</v>
      </c>
      <c r="CW7" s="768">
        <v>3</v>
      </c>
      <c r="CX7" s="768">
        <v>4</v>
      </c>
      <c r="CY7" s="768">
        <v>3</v>
      </c>
      <c r="CZ7" s="768">
        <v>4</v>
      </c>
      <c r="DA7" s="768">
        <v>5</v>
      </c>
      <c r="DB7" s="768">
        <v>6</v>
      </c>
      <c r="DC7" s="769" t="s">
        <v>189</v>
      </c>
      <c r="DD7" s="769" t="s">
        <v>190</v>
      </c>
      <c r="DE7" s="769" t="s">
        <v>191</v>
      </c>
      <c r="DF7" s="769" t="s">
        <v>192</v>
      </c>
      <c r="DG7" s="768">
        <v>1</v>
      </c>
      <c r="DH7" s="768">
        <v>2</v>
      </c>
      <c r="DI7" s="768">
        <v>3</v>
      </c>
      <c r="DJ7" s="768">
        <v>4</v>
      </c>
      <c r="DK7" s="768">
        <v>3</v>
      </c>
      <c r="DL7" s="768">
        <v>4</v>
      </c>
      <c r="DM7" s="768">
        <v>5</v>
      </c>
      <c r="DN7" s="768">
        <v>6</v>
      </c>
      <c r="DO7" s="769" t="s">
        <v>189</v>
      </c>
      <c r="DP7" s="769" t="s">
        <v>190</v>
      </c>
      <c r="DQ7" s="769" t="s">
        <v>191</v>
      </c>
      <c r="DR7" s="769" t="s">
        <v>192</v>
      </c>
      <c r="DS7" s="768">
        <v>1</v>
      </c>
      <c r="DT7" s="768">
        <v>2</v>
      </c>
      <c r="DU7" s="768">
        <v>3</v>
      </c>
      <c r="DV7" s="768">
        <v>4</v>
      </c>
      <c r="DW7" s="768">
        <v>3</v>
      </c>
      <c r="DX7" s="768">
        <v>4</v>
      </c>
      <c r="DY7" s="768">
        <v>5</v>
      </c>
      <c r="DZ7" s="768">
        <v>6</v>
      </c>
      <c r="EA7" s="769" t="s">
        <v>189</v>
      </c>
      <c r="EB7" s="769" t="s">
        <v>190</v>
      </c>
      <c r="EC7" s="769" t="s">
        <v>191</v>
      </c>
      <c r="ED7" s="769" t="s">
        <v>192</v>
      </c>
      <c r="EE7" s="768">
        <v>1</v>
      </c>
      <c r="EF7" s="768">
        <v>2</v>
      </c>
      <c r="EG7" s="768">
        <v>3</v>
      </c>
      <c r="EH7" s="768">
        <v>4</v>
      </c>
      <c r="EI7" s="768">
        <v>3</v>
      </c>
      <c r="EJ7" s="768">
        <v>4</v>
      </c>
      <c r="EK7" s="768">
        <v>5</v>
      </c>
      <c r="EL7" s="768">
        <v>6</v>
      </c>
      <c r="EM7" s="769" t="s">
        <v>189</v>
      </c>
      <c r="EN7" s="769" t="s">
        <v>190</v>
      </c>
      <c r="EO7" s="769" t="s">
        <v>191</v>
      </c>
      <c r="EP7" s="769" t="s">
        <v>192</v>
      </c>
      <c r="EQ7" s="768">
        <v>1</v>
      </c>
      <c r="ER7" s="768">
        <v>2</v>
      </c>
      <c r="ES7" s="768">
        <v>3</v>
      </c>
      <c r="ET7" s="768">
        <v>4</v>
      </c>
      <c r="EU7" s="768">
        <v>3</v>
      </c>
      <c r="EV7" s="768">
        <v>4</v>
      </c>
      <c r="EW7" s="768">
        <v>5</v>
      </c>
      <c r="EX7" s="768">
        <v>6</v>
      </c>
      <c r="EY7" s="769" t="s">
        <v>189</v>
      </c>
      <c r="EZ7" s="769" t="s">
        <v>190</v>
      </c>
      <c r="FA7" s="769" t="s">
        <v>191</v>
      </c>
      <c r="FB7" s="769" t="s">
        <v>192</v>
      </c>
    </row>
    <row r="8" spans="1:158" s="98" customFormat="1" x14ac:dyDescent="0.25">
      <c r="A8" s="61" t="s">
        <v>281</v>
      </c>
      <c r="B8" s="250" t="s">
        <v>193</v>
      </c>
      <c r="C8" s="785">
        <f t="shared" ref="C8:J8" si="0">SUM(C10,C16,C17,C18,C19,C20,C25,C28,C31,C35)</f>
        <v>2135750</v>
      </c>
      <c r="D8" s="785">
        <f t="shared" si="0"/>
        <v>1704160</v>
      </c>
      <c r="E8" s="785">
        <f t="shared" si="0"/>
        <v>2172214.0568200001</v>
      </c>
      <c r="F8" s="785">
        <f t="shared" si="0"/>
        <v>1727578.0568200001</v>
      </c>
      <c r="G8" s="785">
        <f t="shared" si="0"/>
        <v>2677926</v>
      </c>
      <c r="H8" s="785">
        <f t="shared" si="0"/>
        <v>2123276</v>
      </c>
      <c r="I8" s="785">
        <f t="shared" si="0"/>
        <v>2253600</v>
      </c>
      <c r="J8" s="785">
        <f t="shared" si="0"/>
        <v>1817390</v>
      </c>
      <c r="K8" s="785">
        <f>+I8-G8</f>
        <v>-424326</v>
      </c>
      <c r="L8" s="785">
        <f t="shared" ref="L8:L35" si="1">+I8/G8*100</f>
        <v>84.154677911189481</v>
      </c>
      <c r="M8" s="785">
        <f>+G8-C8</f>
        <v>542176</v>
      </c>
      <c r="N8" s="785">
        <f t="shared" ref="N8:N17" si="2">+G8/C8*100</f>
        <v>125.38574271333256</v>
      </c>
      <c r="O8" s="785">
        <f t="shared" ref="O8:V8" si="3">SUM(O10,O16,O17,O18,O19,O20,O25,O28,O31,O35)</f>
        <v>54600</v>
      </c>
      <c r="P8" s="785">
        <f t="shared" si="3"/>
        <v>43800</v>
      </c>
      <c r="Q8" s="785">
        <f t="shared" si="3"/>
        <v>52804</v>
      </c>
      <c r="R8" s="785">
        <f t="shared" si="3"/>
        <v>46773</v>
      </c>
      <c r="S8" s="785">
        <f t="shared" si="3"/>
        <v>72290</v>
      </c>
      <c r="T8" s="785">
        <f t="shared" si="3"/>
        <v>61406</v>
      </c>
      <c r="U8" s="785">
        <f t="shared" si="3"/>
        <v>68100</v>
      </c>
      <c r="V8" s="785">
        <f t="shared" si="3"/>
        <v>55200</v>
      </c>
      <c r="W8" s="785">
        <f>+U8-S8</f>
        <v>-4190</v>
      </c>
      <c r="X8" s="785">
        <f>+U8/S8*100</f>
        <v>94.203900954488859</v>
      </c>
      <c r="Y8" s="785">
        <f>+S8-O8</f>
        <v>17690</v>
      </c>
      <c r="Z8" s="785">
        <f>+S8/O8*100</f>
        <v>132.39926739926739</v>
      </c>
      <c r="AA8" s="785">
        <f t="shared" ref="AA8:AH8" si="4">SUM(AA10,AA16,AA17,AA18,AA19,AA20,AA25,AA28,AA31,AA35)</f>
        <v>168450</v>
      </c>
      <c r="AB8" s="785">
        <f t="shared" si="4"/>
        <v>141650</v>
      </c>
      <c r="AC8" s="785">
        <f t="shared" si="4"/>
        <v>156872</v>
      </c>
      <c r="AD8" s="785">
        <f t="shared" si="4"/>
        <v>140639</v>
      </c>
      <c r="AE8" s="785">
        <f t="shared" si="4"/>
        <v>199350</v>
      </c>
      <c r="AF8" s="785">
        <f t="shared" si="4"/>
        <v>177050</v>
      </c>
      <c r="AG8" s="785">
        <f t="shared" si="4"/>
        <v>173430</v>
      </c>
      <c r="AH8" s="785">
        <f t="shared" si="4"/>
        <v>148580</v>
      </c>
      <c r="AI8" s="785">
        <f>+AG8-AE8</f>
        <v>-25920</v>
      </c>
      <c r="AJ8" s="785">
        <f>+AG8/AE8*100</f>
        <v>86.997742663656879</v>
      </c>
      <c r="AK8" s="785">
        <f>+AE8-AA8</f>
        <v>30900</v>
      </c>
      <c r="AL8" s="785">
        <f>+AE8/AA8*100</f>
        <v>118.34372217275155</v>
      </c>
      <c r="AM8" s="785">
        <f t="shared" ref="AM8:AT8" si="5">SUM(AM10,AM16,AM17,AM18,AM19,AM20,AM25,AM28,AM31,AM35)</f>
        <v>48200</v>
      </c>
      <c r="AN8" s="785">
        <f t="shared" si="5"/>
        <v>36320</v>
      </c>
      <c r="AO8" s="785">
        <f t="shared" si="5"/>
        <v>62234</v>
      </c>
      <c r="AP8" s="785">
        <f t="shared" si="5"/>
        <v>53188</v>
      </c>
      <c r="AQ8" s="785">
        <f t="shared" si="5"/>
        <v>70350</v>
      </c>
      <c r="AR8" s="785">
        <f t="shared" si="5"/>
        <v>58715</v>
      </c>
      <c r="AS8" s="785">
        <f t="shared" si="5"/>
        <v>54170</v>
      </c>
      <c r="AT8" s="785">
        <f t="shared" si="5"/>
        <v>41060</v>
      </c>
      <c r="AU8" s="785">
        <f>+AS8-AQ8</f>
        <v>-16180</v>
      </c>
      <c r="AV8" s="785">
        <f>+AS8/AQ8*100</f>
        <v>77.000710732054017</v>
      </c>
      <c r="AW8" s="785">
        <f>+AQ8-AM8</f>
        <v>22150</v>
      </c>
      <c r="AX8" s="785">
        <f>+AQ8/AM8*100</f>
        <v>145.95435684647302</v>
      </c>
      <c r="AY8" s="785">
        <f t="shared" ref="AY8:BF8" si="6">SUM(AY10,AY16,AY17,AY18,AY19,AY20,AY25,AY28,AY31,AY35)</f>
        <v>91600</v>
      </c>
      <c r="AZ8" s="785">
        <f t="shared" si="6"/>
        <v>71170</v>
      </c>
      <c r="BA8" s="785">
        <f t="shared" si="6"/>
        <v>191171</v>
      </c>
      <c r="BB8" s="785">
        <f t="shared" si="6"/>
        <v>62128</v>
      </c>
      <c r="BC8" s="785">
        <f t="shared" si="6"/>
        <v>211539</v>
      </c>
      <c r="BD8" s="785">
        <f t="shared" si="6"/>
        <v>79770</v>
      </c>
      <c r="BE8" s="785">
        <f t="shared" si="6"/>
        <v>91180</v>
      </c>
      <c r="BF8" s="785">
        <f t="shared" si="6"/>
        <v>69800</v>
      </c>
      <c r="BG8" s="785">
        <f>+BE8-BC8</f>
        <v>-120359</v>
      </c>
      <c r="BH8" s="785">
        <f>+BE8/BC8*100</f>
        <v>43.103163010130515</v>
      </c>
      <c r="BI8" s="785">
        <f>+BC8-AY8</f>
        <v>119939</v>
      </c>
      <c r="BJ8" s="785">
        <f>+BC8/AY8*100</f>
        <v>230.93777292576419</v>
      </c>
      <c r="BK8" s="785">
        <f t="shared" ref="BK8:BR8" si="7">SUM(BK10,BK16,BK17,BK18,BK19,BK20,BK25,BK28,BK31,BK35)</f>
        <v>115400</v>
      </c>
      <c r="BL8" s="785">
        <f t="shared" si="7"/>
        <v>89980</v>
      </c>
      <c r="BM8" s="785">
        <f t="shared" si="7"/>
        <v>82391</v>
      </c>
      <c r="BN8" s="785">
        <f t="shared" si="7"/>
        <v>69793</v>
      </c>
      <c r="BO8" s="785">
        <f t="shared" si="7"/>
        <v>121290</v>
      </c>
      <c r="BP8" s="785">
        <f t="shared" si="7"/>
        <v>103452</v>
      </c>
      <c r="BQ8" s="785">
        <f t="shared" si="7"/>
        <v>116680</v>
      </c>
      <c r="BR8" s="785">
        <f t="shared" si="7"/>
        <v>99130</v>
      </c>
      <c r="BS8" s="785">
        <f>+BQ8-BO8</f>
        <v>-4610</v>
      </c>
      <c r="BT8" s="785">
        <f>+BQ8/BO8*100</f>
        <v>96.199192019127707</v>
      </c>
      <c r="BU8" s="785">
        <f>+BO8-BK8</f>
        <v>5890</v>
      </c>
      <c r="BV8" s="785">
        <f>+BO8/BK8*100</f>
        <v>105.10398613518197</v>
      </c>
      <c r="BW8" s="785">
        <f t="shared" ref="BW8:CD8" si="8">SUM(BW10,BW16,BW17,BW18,BW19,BW20,BW25,BW28,BW31,BW35)</f>
        <v>713400</v>
      </c>
      <c r="BX8" s="785">
        <f t="shared" si="8"/>
        <v>543600</v>
      </c>
      <c r="BY8" s="785">
        <f t="shared" si="8"/>
        <v>702574</v>
      </c>
      <c r="BZ8" s="785">
        <f t="shared" si="8"/>
        <v>575047</v>
      </c>
      <c r="CA8" s="785">
        <f t="shared" si="8"/>
        <v>872690</v>
      </c>
      <c r="CB8" s="785">
        <f t="shared" si="8"/>
        <v>696690</v>
      </c>
      <c r="CC8" s="785">
        <f t="shared" si="8"/>
        <v>761220</v>
      </c>
      <c r="CD8" s="785">
        <f t="shared" si="8"/>
        <v>577950</v>
      </c>
      <c r="CE8" s="785">
        <f>+CC8-CA8</f>
        <v>-111470</v>
      </c>
      <c r="CF8" s="785">
        <f>+CC8/CA8*100</f>
        <v>87.226850313398799</v>
      </c>
      <c r="CG8" s="785">
        <f>+CA8-BW8</f>
        <v>159290</v>
      </c>
      <c r="CH8" s="785">
        <f>+CA8/BW8*100</f>
        <v>122.3282870759742</v>
      </c>
      <c r="CI8" s="785">
        <f t="shared" ref="CI8:CP8" si="9">SUM(CI10,CI16,CI17,CI18,CI19,CI20,CI25,CI28,CI31,CI35)</f>
        <v>152500</v>
      </c>
      <c r="CJ8" s="785">
        <f t="shared" si="9"/>
        <v>121700</v>
      </c>
      <c r="CK8" s="785">
        <f t="shared" si="9"/>
        <v>127422</v>
      </c>
      <c r="CL8" s="785">
        <f t="shared" si="9"/>
        <v>110252</v>
      </c>
      <c r="CM8" s="785">
        <f t="shared" si="9"/>
        <v>160063</v>
      </c>
      <c r="CN8" s="785">
        <f t="shared" si="9"/>
        <v>134590</v>
      </c>
      <c r="CO8" s="785">
        <f t="shared" si="9"/>
        <v>154800</v>
      </c>
      <c r="CP8" s="785">
        <f t="shared" si="9"/>
        <v>129950</v>
      </c>
      <c r="CQ8" s="785">
        <f>+CO8-CM8</f>
        <v>-5263</v>
      </c>
      <c r="CR8" s="785">
        <f>+CO8/CM8*100</f>
        <v>96.711919681625361</v>
      </c>
      <c r="CS8" s="785">
        <f>+CM8-CI8</f>
        <v>7563</v>
      </c>
      <c r="CT8" s="785">
        <f>+CM8/CI8*100</f>
        <v>104.95934426229508</v>
      </c>
      <c r="CU8" s="785">
        <f t="shared" ref="CU8:DB8" si="10">SUM(CU10,CU16,CU17,CU18,CU19,CU20,CU25,CU28,CU31,CU35)</f>
        <v>138150</v>
      </c>
      <c r="CV8" s="785">
        <f t="shared" si="10"/>
        <v>101730</v>
      </c>
      <c r="CW8" s="785">
        <f>SUM(CW10,CW16,CW17,CW18,CW19,CW20,CW25,CW28,CW31,CW35)</f>
        <v>134052.05682</v>
      </c>
      <c r="CX8" s="785">
        <f t="shared" si="10"/>
        <v>108314.05682</v>
      </c>
      <c r="CY8" s="785">
        <f t="shared" si="10"/>
        <v>144740</v>
      </c>
      <c r="CZ8" s="785">
        <f t="shared" si="10"/>
        <v>111340</v>
      </c>
      <c r="DA8" s="785">
        <f t="shared" si="10"/>
        <v>151050</v>
      </c>
      <c r="DB8" s="785">
        <f t="shared" si="10"/>
        <v>124760</v>
      </c>
      <c r="DC8" s="785">
        <f>+DA8-CY8</f>
        <v>6310</v>
      </c>
      <c r="DD8" s="785">
        <f>+DA8/CY8*100</f>
        <v>104.35954124637281</v>
      </c>
      <c r="DE8" s="785">
        <f>+CY8-CU8</f>
        <v>6590</v>
      </c>
      <c r="DF8" s="785">
        <f>+CY8/CU8*100</f>
        <v>104.77017734346725</v>
      </c>
      <c r="DG8" s="785">
        <f t="shared" ref="DG8:DN8" si="11">SUM(DG10,DG16,DG17,DG18,DG19,DG20,DG25,DG28,DG31,DG35)</f>
        <v>141200</v>
      </c>
      <c r="DH8" s="785">
        <f t="shared" si="11"/>
        <v>113250</v>
      </c>
      <c r="DI8" s="785">
        <f t="shared" si="11"/>
        <v>151228</v>
      </c>
      <c r="DJ8" s="785">
        <f t="shared" si="11"/>
        <v>124435</v>
      </c>
      <c r="DK8" s="785">
        <f t="shared" si="11"/>
        <v>187414</v>
      </c>
      <c r="DL8" s="785">
        <f t="shared" si="11"/>
        <v>152933</v>
      </c>
      <c r="DM8" s="785">
        <f t="shared" si="11"/>
        <v>164030</v>
      </c>
      <c r="DN8" s="785">
        <f t="shared" si="11"/>
        <v>133600</v>
      </c>
      <c r="DO8" s="785">
        <f>+DM8-DK8</f>
        <v>-23384</v>
      </c>
      <c r="DP8" s="785">
        <f>+DM8/DK8*100</f>
        <v>87.522810462398752</v>
      </c>
      <c r="DQ8" s="785">
        <f>+DK8-DG8</f>
        <v>46214</v>
      </c>
      <c r="DR8" s="785">
        <f>+DK8/DG8*100</f>
        <v>132.72946175637395</v>
      </c>
      <c r="DS8" s="785">
        <f t="shared" ref="DS8:DZ8" si="12">SUM(DS10,DS16,DS17,DS18,DS19,DS20,DS25,DS28,DS31,DS35)</f>
        <v>105800</v>
      </c>
      <c r="DT8" s="785">
        <f t="shared" si="12"/>
        <v>86780</v>
      </c>
      <c r="DU8" s="785">
        <f t="shared" si="12"/>
        <v>82017</v>
      </c>
      <c r="DV8" s="785">
        <f t="shared" si="12"/>
        <v>55433</v>
      </c>
      <c r="DW8" s="785">
        <f t="shared" si="12"/>
        <v>110350</v>
      </c>
      <c r="DX8" s="785">
        <f t="shared" si="12"/>
        <v>87450</v>
      </c>
      <c r="DY8" s="785">
        <f t="shared" si="12"/>
        <v>109970</v>
      </c>
      <c r="DZ8" s="785">
        <f t="shared" si="12"/>
        <v>88150</v>
      </c>
      <c r="EA8" s="785">
        <f>+DY8-DW8</f>
        <v>-380</v>
      </c>
      <c r="EB8" s="785">
        <f>+DY8/DW8*100</f>
        <v>99.655641141821476</v>
      </c>
      <c r="EC8" s="785">
        <f>+DW8-DS8</f>
        <v>4550</v>
      </c>
      <c r="ED8" s="785">
        <f>+DW8/DS8*100</f>
        <v>104.30056710775047</v>
      </c>
      <c r="EE8" s="785">
        <f t="shared" ref="EE8:EL8" si="13">SUM(EE10,EE16,EE17,EE18,EE19,EE20,EE25,EE28,EE31,EE35)</f>
        <v>313000</v>
      </c>
      <c r="EF8" s="785">
        <f t="shared" si="13"/>
        <v>275170</v>
      </c>
      <c r="EG8" s="785">
        <f t="shared" si="13"/>
        <v>342171</v>
      </c>
      <c r="EH8" s="785">
        <f t="shared" si="13"/>
        <v>305270</v>
      </c>
      <c r="EI8" s="785">
        <f t="shared" si="13"/>
        <v>422740</v>
      </c>
      <c r="EJ8" s="785">
        <f t="shared" si="13"/>
        <v>372110</v>
      </c>
      <c r="EK8" s="785">
        <f t="shared" si="13"/>
        <v>307760</v>
      </c>
      <c r="EL8" s="785">
        <f t="shared" si="13"/>
        <v>264860</v>
      </c>
      <c r="EM8" s="785">
        <f>+EK8-EI8</f>
        <v>-114980</v>
      </c>
      <c r="EN8" s="785">
        <f>+EK8/EI8*100</f>
        <v>72.801248994653918</v>
      </c>
      <c r="EO8" s="785">
        <f>+EI8-EE8</f>
        <v>109740</v>
      </c>
      <c r="EP8" s="785">
        <f>+EI8/EE8*100</f>
        <v>135.06070287539936</v>
      </c>
      <c r="EQ8" s="785">
        <f t="shared" ref="EQ8:EX8" si="14">SUM(EQ10,EQ16,EQ17,EQ18,EQ19,EQ20,EQ25,EQ28,EQ31,EQ35)</f>
        <v>93450</v>
      </c>
      <c r="ER8" s="785">
        <f t="shared" si="14"/>
        <v>79010</v>
      </c>
      <c r="ES8" s="785">
        <f t="shared" si="14"/>
        <v>87278</v>
      </c>
      <c r="ET8" s="785">
        <f t="shared" si="14"/>
        <v>76306</v>
      </c>
      <c r="EU8" s="785">
        <f t="shared" si="14"/>
        <v>105110</v>
      </c>
      <c r="EV8" s="785">
        <f t="shared" si="14"/>
        <v>87770</v>
      </c>
      <c r="EW8" s="785">
        <f t="shared" si="14"/>
        <v>101210</v>
      </c>
      <c r="EX8" s="785">
        <f t="shared" si="14"/>
        <v>84350</v>
      </c>
      <c r="EY8" s="785">
        <f>+EW8-EU8</f>
        <v>-3900</v>
      </c>
      <c r="EZ8" s="785">
        <f>+EW8/EU8*100</f>
        <v>96.289601369993335</v>
      </c>
      <c r="FA8" s="785">
        <f>+EU8-EQ8</f>
        <v>11660</v>
      </c>
      <c r="FB8" s="785">
        <f>+EU8/EQ8*100</f>
        <v>112.47726056714822</v>
      </c>
    </row>
    <row r="9" spans="1:158" s="98" customFormat="1" x14ac:dyDescent="0.25">
      <c r="A9" s="252"/>
      <c r="B9" s="253" t="s">
        <v>210</v>
      </c>
      <c r="C9" s="785">
        <f t="shared" ref="C9:J9" si="15">C8-C28</f>
        <v>1685750</v>
      </c>
      <c r="D9" s="785">
        <f t="shared" si="15"/>
        <v>1304160</v>
      </c>
      <c r="E9" s="785">
        <f t="shared" si="15"/>
        <v>1602550.0568200001</v>
      </c>
      <c r="F9" s="785">
        <f t="shared" si="15"/>
        <v>1166201.0568200001</v>
      </c>
      <c r="G9" s="785">
        <f t="shared" si="15"/>
        <v>2000926</v>
      </c>
      <c r="H9" s="785">
        <f t="shared" si="15"/>
        <v>1488276</v>
      </c>
      <c r="I9" s="785">
        <f t="shared" si="15"/>
        <v>1803600</v>
      </c>
      <c r="J9" s="785">
        <f t="shared" si="15"/>
        <v>1437390</v>
      </c>
      <c r="K9" s="786">
        <f>I9-G9</f>
        <v>-197326</v>
      </c>
      <c r="L9" s="786">
        <f>I9/G9*100</f>
        <v>90.138265982849944</v>
      </c>
      <c r="M9" s="786">
        <f>G9-C9</f>
        <v>315176</v>
      </c>
      <c r="N9" s="786">
        <f>G9/C9*100</f>
        <v>118.6964852439567</v>
      </c>
      <c r="O9" s="785">
        <f t="shared" ref="O9:V9" si="16">O8-O28</f>
        <v>44600</v>
      </c>
      <c r="P9" s="785">
        <f t="shared" si="16"/>
        <v>33800</v>
      </c>
      <c r="Q9" s="785">
        <f t="shared" si="16"/>
        <v>32764</v>
      </c>
      <c r="R9" s="785">
        <f t="shared" si="16"/>
        <v>26733</v>
      </c>
      <c r="S9" s="785">
        <f t="shared" si="16"/>
        <v>51290</v>
      </c>
      <c r="T9" s="785">
        <f t="shared" si="16"/>
        <v>40406</v>
      </c>
      <c r="U9" s="785">
        <f t="shared" si="16"/>
        <v>58100</v>
      </c>
      <c r="V9" s="785">
        <f t="shared" si="16"/>
        <v>45200</v>
      </c>
      <c r="W9" s="786">
        <f>U9-S9</f>
        <v>6810</v>
      </c>
      <c r="X9" s="786">
        <f>U9/S9*100</f>
        <v>113.27744199649055</v>
      </c>
      <c r="Y9" s="786">
        <f>S9-O9</f>
        <v>6690</v>
      </c>
      <c r="Z9" s="786">
        <f>S9/O9*100</f>
        <v>114.99999999999999</v>
      </c>
      <c r="AA9" s="785">
        <f t="shared" ref="AA9:AH9" si="17">AA8-AA28</f>
        <v>78450</v>
      </c>
      <c r="AB9" s="785">
        <f t="shared" si="17"/>
        <v>51650</v>
      </c>
      <c r="AC9" s="785">
        <f t="shared" si="17"/>
        <v>80193</v>
      </c>
      <c r="AD9" s="785">
        <f t="shared" si="17"/>
        <v>63960</v>
      </c>
      <c r="AE9" s="785">
        <f t="shared" si="17"/>
        <v>99350</v>
      </c>
      <c r="AF9" s="785">
        <f t="shared" si="17"/>
        <v>77050</v>
      </c>
      <c r="AG9" s="785">
        <f t="shared" si="17"/>
        <v>83430</v>
      </c>
      <c r="AH9" s="785">
        <f t="shared" si="17"/>
        <v>58580</v>
      </c>
      <c r="AI9" s="786">
        <f>AG9-AE9</f>
        <v>-15920</v>
      </c>
      <c r="AJ9" s="786">
        <f>AG9/AE9*100</f>
        <v>83.975842979365879</v>
      </c>
      <c r="AK9" s="786">
        <f>AE9-AA9</f>
        <v>20900</v>
      </c>
      <c r="AL9" s="786">
        <f>AE9/AA9*100</f>
        <v>126.64117272147865</v>
      </c>
      <c r="AM9" s="785">
        <f t="shared" ref="AM9:AT9" si="18">AM8-AM28</f>
        <v>38200</v>
      </c>
      <c r="AN9" s="785">
        <f t="shared" si="18"/>
        <v>26320</v>
      </c>
      <c r="AO9" s="785">
        <f t="shared" si="18"/>
        <v>33345</v>
      </c>
      <c r="AP9" s="785">
        <f t="shared" si="18"/>
        <v>24299</v>
      </c>
      <c r="AQ9" s="785">
        <f t="shared" si="18"/>
        <v>40350</v>
      </c>
      <c r="AR9" s="785">
        <f t="shared" si="18"/>
        <v>28715</v>
      </c>
      <c r="AS9" s="785">
        <f t="shared" si="18"/>
        <v>44170</v>
      </c>
      <c r="AT9" s="785">
        <f t="shared" si="18"/>
        <v>31060</v>
      </c>
      <c r="AU9" s="786">
        <f>AS9-AQ9</f>
        <v>3820</v>
      </c>
      <c r="AV9" s="786">
        <f>AS9/AQ9*100</f>
        <v>109.46716232961586</v>
      </c>
      <c r="AW9" s="786">
        <f>AQ9-AM9</f>
        <v>2150</v>
      </c>
      <c r="AX9" s="786">
        <f>AQ9/AM9*100</f>
        <v>105.62827225130891</v>
      </c>
      <c r="AY9" s="785">
        <f t="shared" ref="AY9:BF9" si="19">AY8-AY28</f>
        <v>71600</v>
      </c>
      <c r="AZ9" s="785">
        <f t="shared" si="19"/>
        <v>51170</v>
      </c>
      <c r="BA9" s="785">
        <f t="shared" si="19"/>
        <v>165489</v>
      </c>
      <c r="BB9" s="785">
        <f t="shared" si="19"/>
        <v>36446</v>
      </c>
      <c r="BC9" s="785">
        <f t="shared" si="19"/>
        <v>183539</v>
      </c>
      <c r="BD9" s="785">
        <f t="shared" si="19"/>
        <v>51770</v>
      </c>
      <c r="BE9" s="785">
        <f t="shared" si="19"/>
        <v>71180</v>
      </c>
      <c r="BF9" s="785">
        <f t="shared" si="19"/>
        <v>49800</v>
      </c>
      <c r="BG9" s="786">
        <f>BE9-BC9</f>
        <v>-112359</v>
      </c>
      <c r="BH9" s="786">
        <f>BE9/BC9*100</f>
        <v>38.781948250780488</v>
      </c>
      <c r="BI9" s="786">
        <f>BC9-AY9</f>
        <v>111939</v>
      </c>
      <c r="BJ9" s="786">
        <f>BC9/AY9*100</f>
        <v>256.33938547486036</v>
      </c>
      <c r="BK9" s="785">
        <f t="shared" ref="BK9:BR9" si="20">BK8-BK28</f>
        <v>95400</v>
      </c>
      <c r="BL9" s="785">
        <f t="shared" si="20"/>
        <v>69980</v>
      </c>
      <c r="BM9" s="785">
        <f t="shared" si="20"/>
        <v>69161</v>
      </c>
      <c r="BN9" s="785">
        <f t="shared" si="20"/>
        <v>56563</v>
      </c>
      <c r="BO9" s="785">
        <f t="shared" si="20"/>
        <v>101290</v>
      </c>
      <c r="BP9" s="785">
        <f t="shared" si="20"/>
        <v>83452</v>
      </c>
      <c r="BQ9" s="785">
        <f t="shared" si="20"/>
        <v>96680</v>
      </c>
      <c r="BR9" s="785">
        <f t="shared" si="20"/>
        <v>79130</v>
      </c>
      <c r="BS9" s="786">
        <f>BQ9-BO9</f>
        <v>-4610</v>
      </c>
      <c r="BT9" s="786">
        <f>BQ9/BO9*100</f>
        <v>95.448711620100696</v>
      </c>
      <c r="BU9" s="786">
        <f>BO9-BK9</f>
        <v>5890</v>
      </c>
      <c r="BV9" s="786">
        <f>BO9/BK9*100</f>
        <v>106.1740041928721</v>
      </c>
      <c r="BW9" s="785">
        <f t="shared" ref="BW9:CD9" si="21">BW8-BW28</f>
        <v>613400</v>
      </c>
      <c r="BX9" s="785">
        <f t="shared" si="21"/>
        <v>473600</v>
      </c>
      <c r="BY9" s="785">
        <f t="shared" si="21"/>
        <v>542407</v>
      </c>
      <c r="BZ9" s="785">
        <f t="shared" si="21"/>
        <v>415996</v>
      </c>
      <c r="CA9" s="785">
        <f t="shared" si="21"/>
        <v>662690</v>
      </c>
      <c r="CB9" s="785">
        <f t="shared" si="21"/>
        <v>516690</v>
      </c>
      <c r="CC9" s="785">
        <f t="shared" si="21"/>
        <v>654220</v>
      </c>
      <c r="CD9" s="785">
        <f t="shared" si="21"/>
        <v>527950</v>
      </c>
      <c r="CE9" s="786">
        <f>CC9-CA9</f>
        <v>-8470</v>
      </c>
      <c r="CF9" s="786">
        <f>CC9/CA9*100</f>
        <v>98.721875990282044</v>
      </c>
      <c r="CG9" s="786">
        <f>CA9-BW9</f>
        <v>49290</v>
      </c>
      <c r="CH9" s="786">
        <f>CA9/BW9*100</f>
        <v>108.0355396152592</v>
      </c>
      <c r="CI9" s="785">
        <f t="shared" ref="CI9:CP9" si="22">CI8-CI28</f>
        <v>117500</v>
      </c>
      <c r="CJ9" s="785">
        <f t="shared" si="22"/>
        <v>86700</v>
      </c>
      <c r="CK9" s="785">
        <f t="shared" si="22"/>
        <v>95700</v>
      </c>
      <c r="CL9" s="785">
        <f t="shared" si="22"/>
        <v>78530</v>
      </c>
      <c r="CM9" s="785">
        <f t="shared" si="22"/>
        <v>125063</v>
      </c>
      <c r="CN9" s="785">
        <f t="shared" si="22"/>
        <v>99590</v>
      </c>
      <c r="CO9" s="785">
        <f t="shared" si="22"/>
        <v>119800</v>
      </c>
      <c r="CP9" s="785">
        <f t="shared" si="22"/>
        <v>94950</v>
      </c>
      <c r="CQ9" s="786">
        <f>CO9-CM9</f>
        <v>-5263</v>
      </c>
      <c r="CR9" s="786">
        <f>CO9/CM9*100</f>
        <v>95.79172097262979</v>
      </c>
      <c r="CS9" s="786">
        <f>CM9-CI9</f>
        <v>7563</v>
      </c>
      <c r="CT9" s="786">
        <f>CM9/CI9*100</f>
        <v>106.43659574468086</v>
      </c>
      <c r="CU9" s="785">
        <f t="shared" ref="CU9:DB9" si="23">CU8-CU28</f>
        <v>83150</v>
      </c>
      <c r="CV9" s="785">
        <f t="shared" si="23"/>
        <v>61730</v>
      </c>
      <c r="CW9" s="785">
        <f t="shared" si="23"/>
        <v>83495.056819999998</v>
      </c>
      <c r="CX9" s="785">
        <f t="shared" si="23"/>
        <v>63971.056819999998</v>
      </c>
      <c r="CY9" s="785">
        <f t="shared" si="23"/>
        <v>89740</v>
      </c>
      <c r="CZ9" s="785">
        <f t="shared" si="23"/>
        <v>66340</v>
      </c>
      <c r="DA9" s="785">
        <f t="shared" si="23"/>
        <v>106050</v>
      </c>
      <c r="DB9" s="785">
        <f t="shared" si="23"/>
        <v>84760</v>
      </c>
      <c r="DC9" s="786">
        <f>DA9-CY9</f>
        <v>16310</v>
      </c>
      <c r="DD9" s="786">
        <f>DA9/CY9*100</f>
        <v>118.17472698907956</v>
      </c>
      <c r="DE9" s="786">
        <f>CY9-CU9</f>
        <v>6590</v>
      </c>
      <c r="DF9" s="786">
        <f>CY9/CU9*100</f>
        <v>107.92543595911003</v>
      </c>
      <c r="DG9" s="785">
        <f t="shared" ref="DG9:DN9" si="24">DG8-DG28</f>
        <v>121200</v>
      </c>
      <c r="DH9" s="785">
        <f t="shared" si="24"/>
        <v>98250</v>
      </c>
      <c r="DI9" s="785">
        <f t="shared" si="24"/>
        <v>124996</v>
      </c>
      <c r="DJ9" s="785">
        <f t="shared" si="24"/>
        <v>99160</v>
      </c>
      <c r="DK9" s="785">
        <f t="shared" si="24"/>
        <v>157414</v>
      </c>
      <c r="DL9" s="785">
        <f t="shared" si="24"/>
        <v>124933</v>
      </c>
      <c r="DM9" s="785">
        <f t="shared" si="24"/>
        <v>141030</v>
      </c>
      <c r="DN9" s="785">
        <f t="shared" si="24"/>
        <v>118600</v>
      </c>
      <c r="DO9" s="786">
        <f>DM9-DK9</f>
        <v>-16384</v>
      </c>
      <c r="DP9" s="786">
        <f>DM9/DK9*100</f>
        <v>89.591777097335694</v>
      </c>
      <c r="DQ9" s="786">
        <f>DK9-DG9</f>
        <v>36214</v>
      </c>
      <c r="DR9" s="786">
        <f>DK9/DG9*100</f>
        <v>129.87953795379539</v>
      </c>
      <c r="DS9" s="785">
        <f t="shared" ref="DS9:DZ9" si="25">DS8-DS28</f>
        <v>95800</v>
      </c>
      <c r="DT9" s="785">
        <f t="shared" si="25"/>
        <v>76780</v>
      </c>
      <c r="DU9" s="785">
        <f t="shared" si="25"/>
        <v>75316</v>
      </c>
      <c r="DV9" s="785">
        <f t="shared" si="25"/>
        <v>48732</v>
      </c>
      <c r="DW9" s="785">
        <f t="shared" si="25"/>
        <v>100350</v>
      </c>
      <c r="DX9" s="785">
        <f t="shared" si="25"/>
        <v>77450</v>
      </c>
      <c r="DY9" s="785">
        <f t="shared" si="25"/>
        <v>99970</v>
      </c>
      <c r="DZ9" s="785">
        <f t="shared" si="25"/>
        <v>78150</v>
      </c>
      <c r="EA9" s="786">
        <f>DY9-DW9</f>
        <v>-380</v>
      </c>
      <c r="EB9" s="786">
        <f>DY9/DW9*100</f>
        <v>99.621325361235677</v>
      </c>
      <c r="EC9" s="786">
        <f>DW9-DS9</f>
        <v>4550</v>
      </c>
      <c r="ED9" s="786">
        <f>DW9/DS9*100</f>
        <v>104.74947807933195</v>
      </c>
      <c r="EE9" s="785">
        <f t="shared" ref="EE9:EL9" si="26">EE8-EE28</f>
        <v>253000</v>
      </c>
      <c r="EF9" s="785">
        <f t="shared" si="26"/>
        <v>215170</v>
      </c>
      <c r="EG9" s="785">
        <f t="shared" si="26"/>
        <v>240564</v>
      </c>
      <c r="EH9" s="785">
        <f t="shared" si="26"/>
        <v>203663</v>
      </c>
      <c r="EI9" s="785">
        <f t="shared" si="26"/>
        <v>312740</v>
      </c>
      <c r="EJ9" s="785">
        <f t="shared" si="26"/>
        <v>262110</v>
      </c>
      <c r="EK9" s="785">
        <f t="shared" si="26"/>
        <v>247760</v>
      </c>
      <c r="EL9" s="785">
        <f t="shared" si="26"/>
        <v>204860</v>
      </c>
      <c r="EM9" s="786">
        <f>EK9-EI9</f>
        <v>-64980</v>
      </c>
      <c r="EN9" s="786">
        <f>EK9/EI9*100</f>
        <v>79.222357229647628</v>
      </c>
      <c r="EO9" s="786">
        <f>EI9-EE9</f>
        <v>59740</v>
      </c>
      <c r="EP9" s="786">
        <f>EI9/EE9*100</f>
        <v>123.61264822134387</v>
      </c>
      <c r="EQ9" s="785">
        <f t="shared" ref="EQ9:EX9" si="27">EQ8-EQ28</f>
        <v>73450</v>
      </c>
      <c r="ER9" s="785">
        <f t="shared" si="27"/>
        <v>59010</v>
      </c>
      <c r="ES9" s="785">
        <f t="shared" si="27"/>
        <v>59120</v>
      </c>
      <c r="ET9" s="785">
        <f t="shared" si="27"/>
        <v>48148</v>
      </c>
      <c r="EU9" s="785">
        <f t="shared" si="27"/>
        <v>77110</v>
      </c>
      <c r="EV9" s="785">
        <f t="shared" si="27"/>
        <v>59770</v>
      </c>
      <c r="EW9" s="785">
        <f t="shared" si="27"/>
        <v>81210</v>
      </c>
      <c r="EX9" s="785">
        <f t="shared" si="27"/>
        <v>64350</v>
      </c>
      <c r="EY9" s="786">
        <f>EW9-EU9</f>
        <v>4100</v>
      </c>
      <c r="EZ9" s="786">
        <f>EW9/EU9*100</f>
        <v>105.31707949682271</v>
      </c>
      <c r="FA9" s="786">
        <f>EU9-EQ9</f>
        <v>3660</v>
      </c>
      <c r="FB9" s="786">
        <f>EU9/EQ9*100</f>
        <v>104.98298162014976</v>
      </c>
    </row>
    <row r="10" spans="1:158" s="168" customFormat="1" x14ac:dyDescent="0.25">
      <c r="A10" s="254">
        <v>1</v>
      </c>
      <c r="B10" s="255" t="s">
        <v>44</v>
      </c>
      <c r="C10" s="787">
        <f t="shared" ref="C10:J10" si="28">SUM(C11:C15)</f>
        <v>860000</v>
      </c>
      <c r="D10" s="787">
        <f t="shared" si="28"/>
        <v>844860</v>
      </c>
      <c r="E10" s="787">
        <f t="shared" si="28"/>
        <v>703501</v>
      </c>
      <c r="F10" s="787">
        <f t="shared" si="28"/>
        <v>669112</v>
      </c>
      <c r="G10" s="787">
        <f t="shared" si="28"/>
        <v>902118</v>
      </c>
      <c r="H10" s="787">
        <f t="shared" si="28"/>
        <v>873775</v>
      </c>
      <c r="I10" s="787">
        <f>SUM(I11:I15)</f>
        <v>960000</v>
      </c>
      <c r="J10" s="787">
        <f t="shared" si="28"/>
        <v>915610</v>
      </c>
      <c r="K10" s="787">
        <f t="shared" ref="K10:K20" si="29">+I10-G10</f>
        <v>57882</v>
      </c>
      <c r="L10" s="787">
        <f t="shared" si="1"/>
        <v>106.41623379646565</v>
      </c>
      <c r="M10" s="787">
        <f t="shared" ref="M10:M20" si="30">+G10-C10</f>
        <v>42118</v>
      </c>
      <c r="N10" s="787">
        <f t="shared" si="2"/>
        <v>104.89744186046512</v>
      </c>
      <c r="O10" s="787">
        <f t="shared" ref="O10:V10" si="31">SUM(O11:O15)</f>
        <v>11000</v>
      </c>
      <c r="P10" s="787">
        <f t="shared" si="31"/>
        <v>10900</v>
      </c>
      <c r="Q10" s="787">
        <f t="shared" si="31"/>
        <v>9420</v>
      </c>
      <c r="R10" s="787">
        <f t="shared" si="31"/>
        <v>9388</v>
      </c>
      <c r="S10" s="787">
        <f t="shared" si="31"/>
        <v>11321</v>
      </c>
      <c r="T10" s="787">
        <f t="shared" si="31"/>
        <v>11195</v>
      </c>
      <c r="U10" s="787">
        <f t="shared" si="31"/>
        <v>12000</v>
      </c>
      <c r="V10" s="787">
        <f t="shared" si="31"/>
        <v>11900</v>
      </c>
      <c r="W10" s="787">
        <f t="shared" ref="W10:W16" si="32">+U10-S10</f>
        <v>679</v>
      </c>
      <c r="X10" s="787">
        <f>+U10/S10*100</f>
        <v>105.99770338309335</v>
      </c>
      <c r="Y10" s="787">
        <f t="shared" ref="Y10:Y16" si="33">+S10-O10</f>
        <v>321</v>
      </c>
      <c r="Z10" s="787">
        <f>+S10/O10*100</f>
        <v>102.91818181818182</v>
      </c>
      <c r="AA10" s="787">
        <f t="shared" ref="AA10:AH10" si="34">SUM(AA11:AA15)</f>
        <v>28300</v>
      </c>
      <c r="AB10" s="787">
        <f t="shared" si="34"/>
        <v>28000</v>
      </c>
      <c r="AC10" s="787">
        <f t="shared" si="34"/>
        <v>19803</v>
      </c>
      <c r="AD10" s="787">
        <f t="shared" si="34"/>
        <v>19632</v>
      </c>
      <c r="AE10" s="787">
        <f t="shared" si="34"/>
        <v>26000</v>
      </c>
      <c r="AF10" s="787">
        <f t="shared" si="34"/>
        <v>25700</v>
      </c>
      <c r="AG10" s="787">
        <f>SUM(AG11:AG15)</f>
        <v>30000</v>
      </c>
      <c r="AH10" s="787">
        <f t="shared" si="34"/>
        <v>29650</v>
      </c>
      <c r="AI10" s="787">
        <f t="shared" ref="AI10:AI31" si="35">+AG10-AE10</f>
        <v>4000</v>
      </c>
      <c r="AJ10" s="787">
        <f>+AG10/AE10*100</f>
        <v>115.38461538461537</v>
      </c>
      <c r="AK10" s="787">
        <f>+AE10-AA10</f>
        <v>-2300</v>
      </c>
      <c r="AL10" s="787">
        <f t="shared" ref="AL10:AL17" si="36">+AE10/AA10*100</f>
        <v>91.872791519434628</v>
      </c>
      <c r="AM10" s="787">
        <f t="shared" ref="AM10:AT10" si="37">SUM(AM11:AM15)</f>
        <v>10000</v>
      </c>
      <c r="AN10" s="787">
        <f t="shared" si="37"/>
        <v>9870</v>
      </c>
      <c r="AO10" s="787">
        <f t="shared" si="37"/>
        <v>10519</v>
      </c>
      <c r="AP10" s="787">
        <f t="shared" si="37"/>
        <v>10437</v>
      </c>
      <c r="AQ10" s="787">
        <f t="shared" si="37"/>
        <v>10500</v>
      </c>
      <c r="AR10" s="787">
        <f t="shared" si="37"/>
        <v>10365</v>
      </c>
      <c r="AS10" s="787">
        <f t="shared" si="37"/>
        <v>12500</v>
      </c>
      <c r="AT10" s="787">
        <f t="shared" si="37"/>
        <v>12390</v>
      </c>
      <c r="AU10" s="787">
        <f t="shared" ref="AU10:AU20" si="38">+AS10-AQ10</f>
        <v>2000</v>
      </c>
      <c r="AV10" s="787">
        <f>+AS10/AQ10*100</f>
        <v>119.04761904761905</v>
      </c>
      <c r="AW10" s="787">
        <f t="shared" ref="AW10:AW20" si="39">+AQ10-AM10</f>
        <v>500</v>
      </c>
      <c r="AX10" s="787">
        <f>+AQ10/AM10*100</f>
        <v>105</v>
      </c>
      <c r="AY10" s="787">
        <f t="shared" ref="AY10:BF10" si="40">SUM(AY11:AY15)</f>
        <v>27000</v>
      </c>
      <c r="AZ10" s="787">
        <f t="shared" si="40"/>
        <v>26570</v>
      </c>
      <c r="BA10" s="787">
        <f t="shared" si="40"/>
        <v>15548</v>
      </c>
      <c r="BB10" s="787">
        <f t="shared" si="40"/>
        <v>15046</v>
      </c>
      <c r="BC10" s="787">
        <f t="shared" si="40"/>
        <v>27000</v>
      </c>
      <c r="BD10" s="787">
        <f t="shared" si="40"/>
        <v>26570</v>
      </c>
      <c r="BE10" s="787">
        <f t="shared" si="40"/>
        <v>22680</v>
      </c>
      <c r="BF10" s="787">
        <f t="shared" si="40"/>
        <v>22300</v>
      </c>
      <c r="BG10" s="787">
        <f t="shared" ref="BG10:BG15" si="41">+BE10-BC10</f>
        <v>-4320</v>
      </c>
      <c r="BH10" s="787">
        <f>+BE10/BC10*100</f>
        <v>84</v>
      </c>
      <c r="BI10" s="787">
        <f t="shared" ref="BI10:BI15" si="42">+BC10-AY10</f>
        <v>0</v>
      </c>
      <c r="BJ10" s="787">
        <f>+BC10/AY10*100</f>
        <v>100</v>
      </c>
      <c r="BK10" s="787">
        <f t="shared" ref="BK10:BR10" si="43">SUM(BK11:BK15)</f>
        <v>37500</v>
      </c>
      <c r="BL10" s="787">
        <f t="shared" si="43"/>
        <v>35980</v>
      </c>
      <c r="BM10" s="787">
        <f t="shared" si="43"/>
        <v>32141</v>
      </c>
      <c r="BN10" s="787">
        <f t="shared" si="43"/>
        <v>31791</v>
      </c>
      <c r="BO10" s="787">
        <f t="shared" si="43"/>
        <v>42880</v>
      </c>
      <c r="BP10" s="787">
        <f t="shared" si="43"/>
        <v>42222</v>
      </c>
      <c r="BQ10" s="787">
        <f t="shared" si="43"/>
        <v>37000</v>
      </c>
      <c r="BR10" s="787">
        <f t="shared" si="43"/>
        <v>36450</v>
      </c>
      <c r="BS10" s="787">
        <f t="shared" ref="BS10:BS20" si="44">+BQ10-BO10</f>
        <v>-5880</v>
      </c>
      <c r="BT10" s="787">
        <f>+BQ10/BO10*100</f>
        <v>86.287313432835816</v>
      </c>
      <c r="BU10" s="787">
        <f t="shared" ref="BU10:BU20" si="45">+BO10-BK10</f>
        <v>5380</v>
      </c>
      <c r="BV10" s="787">
        <f>+BO10/BK10*100</f>
        <v>114.34666666666666</v>
      </c>
      <c r="BW10" s="787">
        <f t="shared" ref="BW10:CD10" si="46">SUM(BW11:BW15)</f>
        <v>384600</v>
      </c>
      <c r="BX10" s="787">
        <f t="shared" si="46"/>
        <v>375800</v>
      </c>
      <c r="BY10" s="787">
        <f t="shared" si="46"/>
        <v>335017</v>
      </c>
      <c r="BZ10" s="787">
        <f t="shared" si="46"/>
        <v>304737</v>
      </c>
      <c r="CA10" s="787">
        <f t="shared" si="46"/>
        <v>412200</v>
      </c>
      <c r="CB10" s="787">
        <f t="shared" si="46"/>
        <v>389000</v>
      </c>
      <c r="CC10" s="787">
        <f t="shared" si="46"/>
        <v>464000</v>
      </c>
      <c r="CD10" s="787">
        <f t="shared" si="46"/>
        <v>425850</v>
      </c>
      <c r="CE10" s="787">
        <f t="shared" ref="CE10:CE20" si="47">+CC10-CA10</f>
        <v>51800</v>
      </c>
      <c r="CF10" s="787">
        <f>+CC10/CA10*100</f>
        <v>112.56671518680253</v>
      </c>
      <c r="CG10" s="787">
        <f t="shared" ref="CG10:CG20" si="48">+CA10-BW10</f>
        <v>27600</v>
      </c>
      <c r="CH10" s="787">
        <f>+CA10/BW10*100</f>
        <v>107.17628705148205</v>
      </c>
      <c r="CI10" s="787">
        <f t="shared" ref="CI10:CP10" si="49">SUM(CI11:CI15)</f>
        <v>42100</v>
      </c>
      <c r="CJ10" s="787">
        <f t="shared" si="49"/>
        <v>41900</v>
      </c>
      <c r="CK10" s="787">
        <f t="shared" si="49"/>
        <v>30189</v>
      </c>
      <c r="CL10" s="787">
        <f t="shared" si="49"/>
        <v>29968</v>
      </c>
      <c r="CM10" s="787">
        <f t="shared" si="49"/>
        <v>40951</v>
      </c>
      <c r="CN10" s="787">
        <f t="shared" si="49"/>
        <v>40735</v>
      </c>
      <c r="CO10" s="787">
        <f t="shared" si="49"/>
        <v>45500</v>
      </c>
      <c r="CP10" s="787">
        <f t="shared" si="49"/>
        <v>45150</v>
      </c>
      <c r="CQ10" s="787">
        <f t="shared" ref="CQ10:CQ15" si="50">+CO10-CM10</f>
        <v>4549</v>
      </c>
      <c r="CR10" s="787">
        <f>+CO10/CM10*100</f>
        <v>111.10839784132256</v>
      </c>
      <c r="CS10" s="787">
        <f t="shared" ref="CS10:CS15" si="51">+CM10-CI10</f>
        <v>-1149</v>
      </c>
      <c r="CT10" s="787">
        <f>+CM10/CI10*100</f>
        <v>97.270783847981008</v>
      </c>
      <c r="CU10" s="787">
        <f t="shared" ref="CU10:DB10" si="52">SUM(CU11:CU15)</f>
        <v>28000</v>
      </c>
      <c r="CV10" s="787">
        <f t="shared" si="52"/>
        <v>27380</v>
      </c>
      <c r="CW10" s="787">
        <f t="shared" si="52"/>
        <v>36913</v>
      </c>
      <c r="CX10" s="787">
        <f t="shared" si="52"/>
        <v>36609</v>
      </c>
      <c r="CY10" s="787">
        <f t="shared" si="52"/>
        <v>29990</v>
      </c>
      <c r="CZ10" s="787">
        <f t="shared" si="52"/>
        <v>29590</v>
      </c>
      <c r="DA10" s="787">
        <f t="shared" si="52"/>
        <v>44500</v>
      </c>
      <c r="DB10" s="787">
        <f t="shared" si="52"/>
        <v>44010</v>
      </c>
      <c r="DC10" s="787">
        <f t="shared" ref="DC10:DC20" si="53">+DA10-CY10</f>
        <v>14510</v>
      </c>
      <c r="DD10" s="787">
        <f>+DA10/CY10*100</f>
        <v>148.38279426475492</v>
      </c>
      <c r="DE10" s="787">
        <f t="shared" ref="DE10:DE20" si="54">+CY10-CU10</f>
        <v>1990</v>
      </c>
      <c r="DF10" s="787">
        <f>+CY10/CU10*100</f>
        <v>107.10714285714286</v>
      </c>
      <c r="DG10" s="787">
        <f t="shared" ref="DG10:DN10" si="55">SUM(DG11:DG15)</f>
        <v>61000</v>
      </c>
      <c r="DH10" s="787">
        <f t="shared" si="55"/>
        <v>60050</v>
      </c>
      <c r="DI10" s="787">
        <f t="shared" si="55"/>
        <v>69518</v>
      </c>
      <c r="DJ10" s="787">
        <f t="shared" si="55"/>
        <v>68388</v>
      </c>
      <c r="DK10" s="787">
        <f t="shared" si="55"/>
        <v>86196</v>
      </c>
      <c r="DL10" s="787">
        <f t="shared" si="55"/>
        <v>85188</v>
      </c>
      <c r="DM10" s="787">
        <f t="shared" si="55"/>
        <v>78000</v>
      </c>
      <c r="DN10" s="787">
        <f t="shared" si="55"/>
        <v>76470</v>
      </c>
      <c r="DO10" s="787">
        <f t="shared" ref="DO10:DO15" si="56">+DM10-DK10</f>
        <v>-8196</v>
      </c>
      <c r="DP10" s="787">
        <f>+DM10/DK10*100</f>
        <v>90.491438117778088</v>
      </c>
      <c r="DQ10" s="787">
        <f t="shared" ref="DQ10:DQ15" si="57">+DK10-DG10</f>
        <v>25196</v>
      </c>
      <c r="DR10" s="787">
        <f>+DK10/DG10*100</f>
        <v>141.30491803278687</v>
      </c>
      <c r="DS10" s="787">
        <f t="shared" ref="DS10:DZ10" si="58">SUM(DS11:DS15)</f>
        <v>46000</v>
      </c>
      <c r="DT10" s="787">
        <f t="shared" si="58"/>
        <v>45580</v>
      </c>
      <c r="DU10" s="787">
        <f t="shared" si="58"/>
        <v>23488</v>
      </c>
      <c r="DV10" s="787">
        <f t="shared" si="58"/>
        <v>23182</v>
      </c>
      <c r="DW10" s="787">
        <f t="shared" si="58"/>
        <v>42100</v>
      </c>
      <c r="DX10" s="787">
        <f t="shared" si="58"/>
        <v>41700</v>
      </c>
      <c r="DY10" s="787">
        <f t="shared" si="58"/>
        <v>40820</v>
      </c>
      <c r="DZ10" s="787">
        <f t="shared" si="58"/>
        <v>40200</v>
      </c>
      <c r="EA10" s="787">
        <f t="shared" ref="EA10:EA20" si="59">+DY10-DW10</f>
        <v>-1280</v>
      </c>
      <c r="EB10" s="787">
        <f>+DY10/DW10*100</f>
        <v>96.959619952494052</v>
      </c>
      <c r="EC10" s="787">
        <f t="shared" ref="EC10:EC20" si="60">+DW10-DS10</f>
        <v>-3900</v>
      </c>
      <c r="ED10" s="787">
        <f>+DW10/DS10*100</f>
        <v>91.521739130434781</v>
      </c>
      <c r="EE10" s="787">
        <f t="shared" ref="EE10:EL10" si="61">SUM(EE11:EE15)</f>
        <v>154000</v>
      </c>
      <c r="EF10" s="787">
        <f t="shared" si="61"/>
        <v>152670</v>
      </c>
      <c r="EG10" s="787">
        <f t="shared" si="61"/>
        <v>94239</v>
      </c>
      <c r="EH10" s="787">
        <f t="shared" si="61"/>
        <v>93430</v>
      </c>
      <c r="EI10" s="787">
        <f t="shared" si="61"/>
        <v>140980</v>
      </c>
      <c r="EJ10" s="787">
        <f t="shared" si="61"/>
        <v>139850</v>
      </c>
      <c r="EK10" s="787">
        <f t="shared" si="61"/>
        <v>139000</v>
      </c>
      <c r="EL10" s="787">
        <f t="shared" si="61"/>
        <v>137600</v>
      </c>
      <c r="EM10" s="787">
        <f t="shared" ref="EM10:EM15" si="62">+EK10-EI10</f>
        <v>-1980</v>
      </c>
      <c r="EN10" s="787">
        <f>+EK10/EI10*100</f>
        <v>98.595545467442193</v>
      </c>
      <c r="EO10" s="787">
        <f t="shared" ref="EO10:EO15" si="63">+EI10-EE10</f>
        <v>-13020</v>
      </c>
      <c r="EP10" s="787">
        <f>+EI10/EE10*100</f>
        <v>91.545454545454547</v>
      </c>
      <c r="EQ10" s="787">
        <f t="shared" ref="EQ10:EX10" si="64">SUM(EQ11:EQ15)</f>
        <v>30500</v>
      </c>
      <c r="ER10" s="787">
        <f t="shared" si="64"/>
        <v>30160</v>
      </c>
      <c r="ES10" s="787">
        <f t="shared" si="64"/>
        <v>26706</v>
      </c>
      <c r="ET10" s="787">
        <f t="shared" si="64"/>
        <v>26504</v>
      </c>
      <c r="EU10" s="787">
        <f t="shared" si="64"/>
        <v>32000</v>
      </c>
      <c r="EV10" s="787">
        <f t="shared" si="64"/>
        <v>31660</v>
      </c>
      <c r="EW10" s="787">
        <f t="shared" si="64"/>
        <v>34000</v>
      </c>
      <c r="EX10" s="787">
        <f t="shared" si="64"/>
        <v>33640</v>
      </c>
      <c r="EY10" s="787">
        <f t="shared" ref="EY10:EY20" si="65">+EW10-EU10</f>
        <v>2000</v>
      </c>
      <c r="EZ10" s="787">
        <f>+EW10/EU10*100</f>
        <v>106.25</v>
      </c>
      <c r="FA10" s="787">
        <f t="shared" ref="FA10:FA20" si="66">+EU10-EQ10</f>
        <v>1500</v>
      </c>
      <c r="FB10" s="787">
        <f>+EU10/EQ10*100</f>
        <v>104.91803278688525</v>
      </c>
    </row>
    <row r="11" spans="1:158" x14ac:dyDescent="0.25">
      <c r="A11" s="256" t="s">
        <v>449</v>
      </c>
      <c r="B11" s="257" t="s">
        <v>283</v>
      </c>
      <c r="C11" s="788">
        <f t="shared" ref="C11:J35" si="67">SUM(O11,AA11,AM11,AY11,BK11,BW11,CI11,CU11,DG11,DS11,EE11,EQ11)</f>
        <v>499150</v>
      </c>
      <c r="D11" s="788">
        <f t="shared" si="67"/>
        <v>499150</v>
      </c>
      <c r="E11" s="788">
        <f t="shared" si="67"/>
        <v>386399</v>
      </c>
      <c r="F11" s="788">
        <f t="shared" si="67"/>
        <v>386399</v>
      </c>
      <c r="G11" s="788">
        <f>SUM(S11,AE11,AQ11,BC11,BO11,CA11,CM11,CY11,DK11,DW11,EI11,EU11)</f>
        <v>496691</v>
      </c>
      <c r="H11" s="788">
        <f t="shared" ref="H11:J35" si="68">SUM(T11,AF11,AR11,BD11,BP11,CB11,CN11,CZ11,DL11,DX11,EJ11,EV11)</f>
        <v>496691</v>
      </c>
      <c r="I11" s="788">
        <f t="shared" si="68"/>
        <v>562540</v>
      </c>
      <c r="J11" s="788">
        <f t="shared" si="68"/>
        <v>562540</v>
      </c>
      <c r="K11" s="788">
        <f t="shared" si="29"/>
        <v>65849</v>
      </c>
      <c r="L11" s="788">
        <f t="shared" si="1"/>
        <v>113.25753838905879</v>
      </c>
      <c r="M11" s="788">
        <f t="shared" si="30"/>
        <v>-2459</v>
      </c>
      <c r="N11" s="788">
        <f t="shared" si="2"/>
        <v>99.507362516277681</v>
      </c>
      <c r="O11" s="788">
        <v>9680</v>
      </c>
      <c r="P11" s="788">
        <f>O11</f>
        <v>9680</v>
      </c>
      <c r="Q11" s="789">
        <v>8484</v>
      </c>
      <c r="R11" s="788">
        <f>Q11</f>
        <v>8484</v>
      </c>
      <c r="S11" s="788">
        <v>9970</v>
      </c>
      <c r="T11" s="788">
        <f>+S11</f>
        <v>9970</v>
      </c>
      <c r="U11" s="788">
        <v>10680</v>
      </c>
      <c r="V11" s="788">
        <f>U11</f>
        <v>10680</v>
      </c>
      <c r="W11" s="788">
        <f t="shared" si="32"/>
        <v>710</v>
      </c>
      <c r="X11" s="788">
        <f>+U11/S11*100</f>
        <v>107.12136409227683</v>
      </c>
      <c r="Y11" s="788">
        <f t="shared" si="33"/>
        <v>290</v>
      </c>
      <c r="Z11" s="788">
        <f>+S11/O11*100</f>
        <v>102.99586776859503</v>
      </c>
      <c r="AA11" s="788">
        <v>24000</v>
      </c>
      <c r="AB11" s="788">
        <f>AA11</f>
        <v>24000</v>
      </c>
      <c r="AC11" s="788">
        <v>17367</v>
      </c>
      <c r="AD11" s="788">
        <f>AC11</f>
        <v>17367</v>
      </c>
      <c r="AE11" s="788">
        <v>22200</v>
      </c>
      <c r="AF11" s="788">
        <f>+AE11</f>
        <v>22200</v>
      </c>
      <c r="AG11" s="788">
        <v>25500</v>
      </c>
      <c r="AH11" s="788">
        <f>AG11</f>
        <v>25500</v>
      </c>
      <c r="AI11" s="788">
        <f t="shared" si="35"/>
        <v>3300</v>
      </c>
      <c r="AJ11" s="788">
        <f>+AG11/AE11*100</f>
        <v>114.86486486486487</v>
      </c>
      <c r="AK11" s="788">
        <f t="shared" ref="AK11:AK31" si="69">+AE11-AA11</f>
        <v>-1800</v>
      </c>
      <c r="AL11" s="788">
        <f t="shared" si="36"/>
        <v>92.5</v>
      </c>
      <c r="AM11" s="788">
        <v>8720</v>
      </c>
      <c r="AN11" s="788">
        <f>AM11</f>
        <v>8720</v>
      </c>
      <c r="AO11" s="788">
        <v>9505</v>
      </c>
      <c r="AP11" s="788">
        <f>AO11</f>
        <v>9505</v>
      </c>
      <c r="AQ11" s="788">
        <v>9165</v>
      </c>
      <c r="AR11" s="788">
        <f>+AQ11</f>
        <v>9165</v>
      </c>
      <c r="AS11" s="788">
        <v>11030</v>
      </c>
      <c r="AT11" s="788">
        <f>AS11</f>
        <v>11030</v>
      </c>
      <c r="AU11" s="788">
        <f t="shared" si="38"/>
        <v>1865</v>
      </c>
      <c r="AV11" s="788">
        <f>+AS11/AQ11*100</f>
        <v>120.34915439170759</v>
      </c>
      <c r="AW11" s="788">
        <f t="shared" si="39"/>
        <v>445</v>
      </c>
      <c r="AX11" s="788">
        <f>+AQ11/AM11*100</f>
        <v>105.1032110091743</v>
      </c>
      <c r="AY11" s="788">
        <v>19070</v>
      </c>
      <c r="AZ11" s="788">
        <f>AY11</f>
        <v>19070</v>
      </c>
      <c r="BA11" s="788">
        <v>10740</v>
      </c>
      <c r="BB11" s="788">
        <f>BA11</f>
        <v>10740</v>
      </c>
      <c r="BC11" s="788">
        <v>19070</v>
      </c>
      <c r="BD11" s="788">
        <f>+BC11</f>
        <v>19070</v>
      </c>
      <c r="BE11" s="800">
        <v>16300</v>
      </c>
      <c r="BF11" s="788">
        <f>BE11</f>
        <v>16300</v>
      </c>
      <c r="BG11" s="788">
        <f t="shared" si="41"/>
        <v>-2770</v>
      </c>
      <c r="BH11" s="788">
        <f>+BE11/BC11*100</f>
        <v>85.474567383324597</v>
      </c>
      <c r="BI11" s="788">
        <f t="shared" si="42"/>
        <v>0</v>
      </c>
      <c r="BJ11" s="788">
        <f>+BC11/AY11*100</f>
        <v>100</v>
      </c>
      <c r="BK11" s="788">
        <v>18560</v>
      </c>
      <c r="BL11" s="788">
        <f>BK11</f>
        <v>18560</v>
      </c>
      <c r="BM11" s="788">
        <v>11663</v>
      </c>
      <c r="BN11" s="788">
        <f>BM11</f>
        <v>11663</v>
      </c>
      <c r="BO11" s="788">
        <v>18902</v>
      </c>
      <c r="BP11" s="788">
        <f>+BO11</f>
        <v>18902</v>
      </c>
      <c r="BQ11" s="788">
        <v>16130</v>
      </c>
      <c r="BR11" s="788">
        <f>BQ11</f>
        <v>16130</v>
      </c>
      <c r="BS11" s="788">
        <f t="shared" si="44"/>
        <v>-2772</v>
      </c>
      <c r="BT11" s="788">
        <f>+BQ11/BO11*100</f>
        <v>85.33488519733362</v>
      </c>
      <c r="BU11" s="788">
        <f t="shared" si="45"/>
        <v>342</v>
      </c>
      <c r="BV11" s="788">
        <f>+BO11/BK11*100</f>
        <v>101.8426724137931</v>
      </c>
      <c r="BW11" s="788">
        <v>184300</v>
      </c>
      <c r="BX11" s="788">
        <f>BW11</f>
        <v>184300</v>
      </c>
      <c r="BY11" s="788">
        <v>148909</v>
      </c>
      <c r="BZ11" s="788">
        <f>BY11</f>
        <v>148909</v>
      </c>
      <c r="CA11" s="788">
        <v>189000</v>
      </c>
      <c r="CB11" s="788">
        <f>+CA11</f>
        <v>189000</v>
      </c>
      <c r="CC11" s="788">
        <v>229400</v>
      </c>
      <c r="CD11" s="788">
        <f>CC11</f>
        <v>229400</v>
      </c>
      <c r="CE11" s="788">
        <f t="shared" si="47"/>
        <v>40400</v>
      </c>
      <c r="CF11" s="788">
        <f>+CC11/CA11*100</f>
        <v>121.37566137566138</v>
      </c>
      <c r="CG11" s="788">
        <f t="shared" si="48"/>
        <v>4700</v>
      </c>
      <c r="CH11" s="788">
        <f>+CA11/BW11*100</f>
        <v>102.55018990775908</v>
      </c>
      <c r="CI11" s="788">
        <v>33120</v>
      </c>
      <c r="CJ11" s="788">
        <f>CI11</f>
        <v>33120</v>
      </c>
      <c r="CK11" s="788">
        <v>24140</v>
      </c>
      <c r="CL11" s="788">
        <f>CK11</f>
        <v>24140</v>
      </c>
      <c r="CM11" s="788">
        <v>33120</v>
      </c>
      <c r="CN11" s="788">
        <f>+CM11</f>
        <v>33120</v>
      </c>
      <c r="CO11" s="788">
        <v>36690</v>
      </c>
      <c r="CP11" s="788">
        <f>CO11</f>
        <v>36690</v>
      </c>
      <c r="CQ11" s="788">
        <f t="shared" si="50"/>
        <v>3570</v>
      </c>
      <c r="CR11" s="788">
        <f>+CO11/CM11*100</f>
        <v>110.77898550724639</v>
      </c>
      <c r="CS11" s="788">
        <f t="shared" si="51"/>
        <v>0</v>
      </c>
      <c r="CT11" s="788">
        <f>+CM11/CI11*100</f>
        <v>100</v>
      </c>
      <c r="CU11" s="788">
        <v>22180</v>
      </c>
      <c r="CV11" s="788">
        <f>CU11</f>
        <v>22180</v>
      </c>
      <c r="CW11" s="788">
        <v>31053</v>
      </c>
      <c r="CX11" s="788">
        <f>CW11</f>
        <v>31053</v>
      </c>
      <c r="CY11" s="788">
        <v>24000</v>
      </c>
      <c r="CZ11" s="788">
        <f>+CY11</f>
        <v>24000</v>
      </c>
      <c r="DA11" s="788">
        <v>37010</v>
      </c>
      <c r="DB11" s="788">
        <f>DA11</f>
        <v>37010</v>
      </c>
      <c r="DC11" s="788">
        <f t="shared" si="53"/>
        <v>13010</v>
      </c>
      <c r="DD11" s="788">
        <f>+DA11/CY11*100</f>
        <v>154.20833333333331</v>
      </c>
      <c r="DE11" s="788">
        <f t="shared" si="54"/>
        <v>1820</v>
      </c>
      <c r="DF11" s="788">
        <f>+CY11/CU11*100</f>
        <v>108.20559062218213</v>
      </c>
      <c r="DG11" s="788">
        <v>32300</v>
      </c>
      <c r="DH11" s="788">
        <f>DG11</f>
        <v>32300</v>
      </c>
      <c r="DI11" s="788">
        <v>22713</v>
      </c>
      <c r="DJ11" s="788">
        <f>DI11</f>
        <v>22713</v>
      </c>
      <c r="DK11" s="788">
        <v>36714</v>
      </c>
      <c r="DL11" s="788">
        <f>+DK11</f>
        <v>36714</v>
      </c>
      <c r="DM11" s="788">
        <v>34970</v>
      </c>
      <c r="DN11" s="788">
        <f>DM11</f>
        <v>34970</v>
      </c>
      <c r="DO11" s="788">
        <f t="shared" si="56"/>
        <v>-1744</v>
      </c>
      <c r="DP11" s="788">
        <f>+DM11/DK11*100</f>
        <v>95.249768480688573</v>
      </c>
      <c r="DQ11" s="788">
        <f t="shared" si="57"/>
        <v>4414</v>
      </c>
      <c r="DR11" s="788">
        <f>+DK11/DG11*100</f>
        <v>113.66563467492261</v>
      </c>
      <c r="DS11" s="788">
        <v>24400</v>
      </c>
      <c r="DT11" s="788">
        <f>DS11</f>
        <v>24400</v>
      </c>
      <c r="DU11" s="788">
        <v>11623</v>
      </c>
      <c r="DV11" s="788">
        <f>DU11</f>
        <v>11623</v>
      </c>
      <c r="DW11" s="788">
        <v>21500</v>
      </c>
      <c r="DX11" s="788">
        <f>+DW11</f>
        <v>21500</v>
      </c>
      <c r="DY11" s="788">
        <v>21300</v>
      </c>
      <c r="DZ11" s="788">
        <f>DY11</f>
        <v>21300</v>
      </c>
      <c r="EA11" s="788">
        <f t="shared" si="59"/>
        <v>-200</v>
      </c>
      <c r="EB11" s="788">
        <f>+DY11/DW11*100</f>
        <v>99.069767441860463</v>
      </c>
      <c r="EC11" s="788">
        <f t="shared" si="60"/>
        <v>-2900</v>
      </c>
      <c r="ED11" s="788">
        <f>+DW11/DS11*100</f>
        <v>88.114754098360663</v>
      </c>
      <c r="EE11" s="788">
        <v>102770</v>
      </c>
      <c r="EF11" s="788">
        <f>EE11</f>
        <v>102770</v>
      </c>
      <c r="EG11" s="788">
        <v>67630</v>
      </c>
      <c r="EH11" s="788">
        <f>EG11</f>
        <v>67630</v>
      </c>
      <c r="EI11" s="788">
        <v>92000</v>
      </c>
      <c r="EJ11" s="788">
        <f>+EI11</f>
        <v>92000</v>
      </c>
      <c r="EK11" s="788">
        <v>96200</v>
      </c>
      <c r="EL11" s="788">
        <f>EK11</f>
        <v>96200</v>
      </c>
      <c r="EM11" s="788">
        <f t="shared" si="62"/>
        <v>4200</v>
      </c>
      <c r="EN11" s="788">
        <f>+EK11/EI11*100</f>
        <v>104.56521739130436</v>
      </c>
      <c r="EO11" s="788">
        <f t="shared" si="63"/>
        <v>-10770</v>
      </c>
      <c r="EP11" s="788">
        <f>+EI11/EE11*100</f>
        <v>89.520288021796247</v>
      </c>
      <c r="EQ11" s="788">
        <v>20050</v>
      </c>
      <c r="ER11" s="788">
        <f>EQ11</f>
        <v>20050</v>
      </c>
      <c r="ES11" s="788">
        <v>22572</v>
      </c>
      <c r="ET11" s="788">
        <f>ES11</f>
        <v>22572</v>
      </c>
      <c r="EU11" s="788">
        <v>21050</v>
      </c>
      <c r="EV11" s="788">
        <f>+EU11</f>
        <v>21050</v>
      </c>
      <c r="EW11" s="788">
        <v>27330</v>
      </c>
      <c r="EX11" s="788">
        <f>EW11</f>
        <v>27330</v>
      </c>
      <c r="EY11" s="788">
        <f t="shared" si="65"/>
        <v>6280</v>
      </c>
      <c r="EZ11" s="788">
        <f>+EW11/EU11*100</f>
        <v>129.83372921615202</v>
      </c>
      <c r="FA11" s="788">
        <f t="shared" si="66"/>
        <v>1000</v>
      </c>
      <c r="FB11" s="788">
        <f>+EU11/EQ11*100</f>
        <v>104.98753117206982</v>
      </c>
    </row>
    <row r="12" spans="1:158" x14ac:dyDescent="0.25">
      <c r="A12" s="256" t="s">
        <v>449</v>
      </c>
      <c r="B12" s="257" t="s">
        <v>284</v>
      </c>
      <c r="C12" s="788">
        <f t="shared" si="67"/>
        <v>326650</v>
      </c>
      <c r="D12" s="788">
        <f t="shared" si="67"/>
        <v>326650</v>
      </c>
      <c r="E12" s="788">
        <f t="shared" si="67"/>
        <v>282713</v>
      </c>
      <c r="F12" s="788">
        <f t="shared" si="67"/>
        <v>282713</v>
      </c>
      <c r="G12" s="788">
        <f t="shared" si="67"/>
        <v>365836</v>
      </c>
      <c r="H12" s="788">
        <f t="shared" si="68"/>
        <v>365836</v>
      </c>
      <c r="I12" s="788">
        <f t="shared" si="68"/>
        <v>347150</v>
      </c>
      <c r="J12" s="788">
        <f t="shared" si="68"/>
        <v>347150</v>
      </c>
      <c r="K12" s="788">
        <f t="shared" si="29"/>
        <v>-18686</v>
      </c>
      <c r="L12" s="788">
        <f t="shared" si="1"/>
        <v>94.892246799112172</v>
      </c>
      <c r="M12" s="788">
        <f t="shared" si="30"/>
        <v>39186</v>
      </c>
      <c r="N12" s="788">
        <f t="shared" si="2"/>
        <v>111.99632634318077</v>
      </c>
      <c r="O12" s="788">
        <v>1000</v>
      </c>
      <c r="P12" s="788">
        <f>O12</f>
        <v>1000</v>
      </c>
      <c r="Q12" s="790">
        <v>904</v>
      </c>
      <c r="R12" s="788">
        <f>Q12</f>
        <v>904</v>
      </c>
      <c r="S12" s="788">
        <v>1002</v>
      </c>
      <c r="T12" s="788">
        <f>+S12</f>
        <v>1002</v>
      </c>
      <c r="U12" s="788">
        <v>1000</v>
      </c>
      <c r="V12" s="788">
        <f>U12</f>
        <v>1000</v>
      </c>
      <c r="W12" s="788">
        <f t="shared" si="32"/>
        <v>-2</v>
      </c>
      <c r="X12" s="788">
        <f>+U12/S12*100</f>
        <v>99.800399201596804</v>
      </c>
      <c r="Y12" s="788">
        <f t="shared" si="33"/>
        <v>2</v>
      </c>
      <c r="Z12" s="788">
        <f>+S12/O12*100</f>
        <v>100.2</v>
      </c>
      <c r="AA12" s="788">
        <v>3500</v>
      </c>
      <c r="AB12" s="788">
        <f>AA12</f>
        <v>3500</v>
      </c>
      <c r="AC12" s="788">
        <v>2265</v>
      </c>
      <c r="AD12" s="788">
        <f>AC12</f>
        <v>2265</v>
      </c>
      <c r="AE12" s="788">
        <v>3000</v>
      </c>
      <c r="AF12" s="788">
        <f>+AE12</f>
        <v>3000</v>
      </c>
      <c r="AG12" s="788">
        <v>3600</v>
      </c>
      <c r="AH12" s="788">
        <f>AG12</f>
        <v>3600</v>
      </c>
      <c r="AI12" s="788">
        <f t="shared" si="35"/>
        <v>600</v>
      </c>
      <c r="AJ12" s="788">
        <f>+AG12/AE12*100</f>
        <v>120</v>
      </c>
      <c r="AK12" s="788">
        <f t="shared" si="69"/>
        <v>-500</v>
      </c>
      <c r="AL12" s="788">
        <f t="shared" si="36"/>
        <v>85.714285714285708</v>
      </c>
      <c r="AM12" s="788">
        <v>800</v>
      </c>
      <c r="AN12" s="788">
        <f>AM12</f>
        <v>800</v>
      </c>
      <c r="AO12" s="788">
        <v>932</v>
      </c>
      <c r="AP12" s="788">
        <f>AO12</f>
        <v>932</v>
      </c>
      <c r="AQ12" s="788">
        <v>850</v>
      </c>
      <c r="AR12" s="788">
        <f>+AQ12</f>
        <v>850</v>
      </c>
      <c r="AS12" s="788">
        <v>1150</v>
      </c>
      <c r="AT12" s="788">
        <f>AS12</f>
        <v>1150</v>
      </c>
      <c r="AU12" s="788">
        <f t="shared" si="38"/>
        <v>300</v>
      </c>
      <c r="AV12" s="788">
        <f>+AS12/AQ12*100</f>
        <v>135.29411764705884</v>
      </c>
      <c r="AW12" s="788">
        <f t="shared" si="39"/>
        <v>50</v>
      </c>
      <c r="AX12" s="788">
        <f>+AQ12/AM12*100</f>
        <v>106.25</v>
      </c>
      <c r="AY12" s="788">
        <v>5500</v>
      </c>
      <c r="AZ12" s="788">
        <f>AY12</f>
        <v>5500</v>
      </c>
      <c r="BA12" s="788">
        <v>4306</v>
      </c>
      <c r="BB12" s="788">
        <f>BA12</f>
        <v>4306</v>
      </c>
      <c r="BC12" s="788">
        <v>5500</v>
      </c>
      <c r="BD12" s="788">
        <f>+BC12</f>
        <v>5500</v>
      </c>
      <c r="BE12" s="801">
        <v>6000</v>
      </c>
      <c r="BF12" s="788">
        <f>BE12</f>
        <v>6000</v>
      </c>
      <c r="BG12" s="788">
        <f t="shared" si="41"/>
        <v>500</v>
      </c>
      <c r="BH12" s="788">
        <f>+BE12/BC12*100</f>
        <v>109.09090909090908</v>
      </c>
      <c r="BI12" s="788">
        <f t="shared" si="42"/>
        <v>0</v>
      </c>
      <c r="BJ12" s="788">
        <f>+BC12/AY12*100</f>
        <v>100</v>
      </c>
      <c r="BK12" s="788">
        <v>16500</v>
      </c>
      <c r="BL12" s="788">
        <f>BK12</f>
        <v>16500</v>
      </c>
      <c r="BM12" s="788">
        <v>20128</v>
      </c>
      <c r="BN12" s="788">
        <f>BM12</f>
        <v>20128</v>
      </c>
      <c r="BO12" s="788">
        <v>21965</v>
      </c>
      <c r="BP12" s="788">
        <f>+BO12</f>
        <v>21965</v>
      </c>
      <c r="BQ12" s="788">
        <v>20080</v>
      </c>
      <c r="BR12" s="788">
        <f>BQ12</f>
        <v>20080</v>
      </c>
      <c r="BS12" s="788">
        <f t="shared" si="44"/>
        <v>-1885</v>
      </c>
      <c r="BT12" s="788">
        <f>+BQ12/BO12*100</f>
        <v>91.418165262918279</v>
      </c>
      <c r="BU12" s="788">
        <f t="shared" si="45"/>
        <v>5465</v>
      </c>
      <c r="BV12" s="788">
        <f>+BO12/BK12*100</f>
        <v>133.12121212121212</v>
      </c>
      <c r="BW12" s="788">
        <v>187700</v>
      </c>
      <c r="BX12" s="788">
        <f>BW12</f>
        <v>187700</v>
      </c>
      <c r="BY12" s="788">
        <v>155828</v>
      </c>
      <c r="BZ12" s="788">
        <f>BY12</f>
        <v>155828</v>
      </c>
      <c r="CA12" s="788">
        <v>200000</v>
      </c>
      <c r="CB12" s="788">
        <f>+CA12</f>
        <v>200000</v>
      </c>
      <c r="CC12" s="788">
        <v>195200</v>
      </c>
      <c r="CD12" s="788">
        <f>CC12</f>
        <v>195200</v>
      </c>
      <c r="CE12" s="788">
        <f t="shared" si="47"/>
        <v>-4800</v>
      </c>
      <c r="CF12" s="788">
        <f>+CC12/CA12*100</f>
        <v>97.6</v>
      </c>
      <c r="CG12" s="788">
        <f t="shared" si="48"/>
        <v>12300</v>
      </c>
      <c r="CH12" s="788">
        <f>+CA12/BW12*100</f>
        <v>106.55301012253595</v>
      </c>
      <c r="CI12" s="788">
        <v>7550</v>
      </c>
      <c r="CJ12" s="788">
        <f>CI12</f>
        <v>7550</v>
      </c>
      <c r="CK12" s="788">
        <v>5828</v>
      </c>
      <c r="CL12" s="788">
        <f>CK12</f>
        <v>5828</v>
      </c>
      <c r="CM12" s="788">
        <v>7000</v>
      </c>
      <c r="CN12" s="788">
        <f>+CM12</f>
        <v>7000</v>
      </c>
      <c r="CO12" s="788">
        <v>8360</v>
      </c>
      <c r="CP12" s="788">
        <f>CO12</f>
        <v>8360</v>
      </c>
      <c r="CQ12" s="788">
        <f t="shared" si="50"/>
        <v>1360</v>
      </c>
      <c r="CR12" s="788">
        <f>+CO12/CM12*100</f>
        <v>119.42857142857144</v>
      </c>
      <c r="CS12" s="788">
        <f t="shared" si="51"/>
        <v>-550</v>
      </c>
      <c r="CT12" s="788">
        <f>+CM12/CI12*100</f>
        <v>92.715231788079464</v>
      </c>
      <c r="CU12" s="788">
        <v>4000</v>
      </c>
      <c r="CV12" s="788">
        <f>CU12</f>
        <v>4000</v>
      </c>
      <c r="CW12" s="788">
        <v>5556</v>
      </c>
      <c r="CX12" s="788">
        <f>CW12</f>
        <v>5556</v>
      </c>
      <c r="CY12" s="788">
        <v>5200</v>
      </c>
      <c r="CZ12" s="788">
        <f>+CY12</f>
        <v>5200</v>
      </c>
      <c r="DA12" s="788">
        <v>6800</v>
      </c>
      <c r="DB12" s="788">
        <f>DA12</f>
        <v>6800</v>
      </c>
      <c r="DC12" s="788">
        <f t="shared" si="53"/>
        <v>1600</v>
      </c>
      <c r="DD12" s="788">
        <f>+DA12/CY12*100</f>
        <v>130.76923076923077</v>
      </c>
      <c r="DE12" s="788">
        <f t="shared" si="54"/>
        <v>1200</v>
      </c>
      <c r="DF12" s="788">
        <f>+CY12/CU12*100</f>
        <v>130</v>
      </c>
      <c r="DG12" s="788">
        <v>25400</v>
      </c>
      <c r="DH12" s="788">
        <f>DG12</f>
        <v>25400</v>
      </c>
      <c r="DI12" s="788">
        <v>45675</v>
      </c>
      <c r="DJ12" s="788">
        <f>DI12</f>
        <v>45675</v>
      </c>
      <c r="DK12" s="788">
        <v>47419</v>
      </c>
      <c r="DL12" s="788">
        <f>+DK12</f>
        <v>47419</v>
      </c>
      <c r="DM12" s="788">
        <v>40000</v>
      </c>
      <c r="DN12" s="788">
        <f>DM12</f>
        <v>40000</v>
      </c>
      <c r="DO12" s="788">
        <f t="shared" si="56"/>
        <v>-7419</v>
      </c>
      <c r="DP12" s="788">
        <f>+DM12/DK12*100</f>
        <v>84.354372719795862</v>
      </c>
      <c r="DQ12" s="788">
        <f t="shared" si="57"/>
        <v>22019</v>
      </c>
      <c r="DR12" s="788">
        <f>+DK12/DG12*100</f>
        <v>186.68897637795277</v>
      </c>
      <c r="DS12" s="788">
        <v>19300</v>
      </c>
      <c r="DT12" s="788">
        <f>DS12</f>
        <v>19300</v>
      </c>
      <c r="DU12" s="788">
        <v>11559</v>
      </c>
      <c r="DV12" s="788">
        <f>DU12</f>
        <v>11559</v>
      </c>
      <c r="DW12" s="788">
        <v>20000</v>
      </c>
      <c r="DX12" s="788">
        <f>+DW12</f>
        <v>20000</v>
      </c>
      <c r="DY12" s="788">
        <v>18100</v>
      </c>
      <c r="DZ12" s="788">
        <f>DY12</f>
        <v>18100</v>
      </c>
      <c r="EA12" s="788">
        <f t="shared" si="59"/>
        <v>-1900</v>
      </c>
      <c r="EB12" s="788">
        <f>+DY12/DW12*100</f>
        <v>90.5</v>
      </c>
      <c r="EC12" s="788">
        <f t="shared" si="60"/>
        <v>700</v>
      </c>
      <c r="ED12" s="788">
        <f>+DW12/DS12*100</f>
        <v>103.62694300518133</v>
      </c>
      <c r="EE12" s="788">
        <v>47000</v>
      </c>
      <c r="EF12" s="788">
        <f>EE12</f>
        <v>47000</v>
      </c>
      <c r="EG12" s="788">
        <v>25800</v>
      </c>
      <c r="EH12" s="788">
        <f>EG12</f>
        <v>25800</v>
      </c>
      <c r="EI12" s="788">
        <v>45000</v>
      </c>
      <c r="EJ12" s="788">
        <f>+EI12</f>
        <v>45000</v>
      </c>
      <c r="EK12" s="788">
        <v>41000</v>
      </c>
      <c r="EL12" s="788">
        <f>EK12</f>
        <v>41000</v>
      </c>
      <c r="EM12" s="788">
        <f t="shared" si="62"/>
        <v>-4000</v>
      </c>
      <c r="EN12" s="788">
        <f>+EK12/EI12*100</f>
        <v>91.111111111111114</v>
      </c>
      <c r="EO12" s="788">
        <f t="shared" si="63"/>
        <v>-2000</v>
      </c>
      <c r="EP12" s="788">
        <f>+EI12/EE12*100</f>
        <v>95.744680851063833</v>
      </c>
      <c r="EQ12" s="788">
        <v>8400</v>
      </c>
      <c r="ER12" s="788">
        <f>EQ12</f>
        <v>8400</v>
      </c>
      <c r="ES12" s="791">
        <v>3932</v>
      </c>
      <c r="ET12" s="791">
        <f>ES12</f>
        <v>3932</v>
      </c>
      <c r="EU12" s="791">
        <v>8900</v>
      </c>
      <c r="EV12" s="791">
        <f>+EU12</f>
        <v>8900</v>
      </c>
      <c r="EW12" s="788">
        <v>5860</v>
      </c>
      <c r="EX12" s="788">
        <f>EW12</f>
        <v>5860</v>
      </c>
      <c r="EY12" s="788">
        <f t="shared" si="65"/>
        <v>-3040</v>
      </c>
      <c r="EZ12" s="788">
        <f>+EW12/EU12*100</f>
        <v>65.842696629213478</v>
      </c>
      <c r="FA12" s="788">
        <f t="shared" si="66"/>
        <v>500</v>
      </c>
      <c r="FB12" s="788">
        <f>+EU12/EQ12*100</f>
        <v>105.95238095238095</v>
      </c>
    </row>
    <row r="13" spans="1:158" x14ac:dyDescent="0.25">
      <c r="A13" s="256" t="s">
        <v>449</v>
      </c>
      <c r="B13" s="257" t="s">
        <v>285</v>
      </c>
      <c r="C13" s="788">
        <f t="shared" si="67"/>
        <v>5680</v>
      </c>
      <c r="D13" s="788">
        <f t="shared" si="67"/>
        <v>0</v>
      </c>
      <c r="E13" s="788">
        <f t="shared" si="67"/>
        <v>24407</v>
      </c>
      <c r="F13" s="788">
        <f t="shared" si="67"/>
        <v>0</v>
      </c>
      <c r="G13" s="788">
        <f t="shared" si="67"/>
        <v>8963</v>
      </c>
      <c r="H13" s="788">
        <f t="shared" si="68"/>
        <v>0</v>
      </c>
      <c r="I13" s="788">
        <f t="shared" si="68"/>
        <v>31160</v>
      </c>
      <c r="J13" s="788">
        <f t="shared" si="68"/>
        <v>0</v>
      </c>
      <c r="K13" s="788">
        <f t="shared" si="29"/>
        <v>22197</v>
      </c>
      <c r="L13" s="788">
        <f>+I13/G13*100</f>
        <v>347.65145598571905</v>
      </c>
      <c r="M13" s="788">
        <f t="shared" si="30"/>
        <v>3283</v>
      </c>
      <c r="N13" s="788">
        <f>+G13/C13*100</f>
        <v>157.79929577464787</v>
      </c>
      <c r="O13" s="788">
        <v>0</v>
      </c>
      <c r="P13" s="788">
        <v>0</v>
      </c>
      <c r="Q13" s="790">
        <v>5</v>
      </c>
      <c r="R13" s="788">
        <v>0</v>
      </c>
      <c r="S13" s="788">
        <v>2</v>
      </c>
      <c r="T13" s="788">
        <v>0</v>
      </c>
      <c r="U13" s="788">
        <v>0</v>
      </c>
      <c r="V13" s="788">
        <v>0</v>
      </c>
      <c r="W13" s="788">
        <f t="shared" si="32"/>
        <v>-2</v>
      </c>
      <c r="X13" s="788"/>
      <c r="Y13" s="788">
        <f t="shared" si="33"/>
        <v>2</v>
      </c>
      <c r="Z13" s="788"/>
      <c r="AA13" s="788">
        <v>300</v>
      </c>
      <c r="AB13" s="788">
        <v>0</v>
      </c>
      <c r="AC13" s="788">
        <v>163</v>
      </c>
      <c r="AD13" s="788">
        <v>0</v>
      </c>
      <c r="AE13" s="788">
        <v>300</v>
      </c>
      <c r="AF13" s="788">
        <v>0</v>
      </c>
      <c r="AG13" s="788">
        <v>350</v>
      </c>
      <c r="AH13" s="788">
        <v>0</v>
      </c>
      <c r="AI13" s="788">
        <f>+AG13-AE13</f>
        <v>50</v>
      </c>
      <c r="AJ13" s="788"/>
      <c r="AK13" s="788">
        <f>+AE13-AA13</f>
        <v>0</v>
      </c>
      <c r="AL13" s="788"/>
      <c r="AM13" s="788">
        <v>120</v>
      </c>
      <c r="AN13" s="788">
        <v>0</v>
      </c>
      <c r="AO13" s="788">
        <v>53</v>
      </c>
      <c r="AP13" s="788">
        <v>0</v>
      </c>
      <c r="AQ13" s="788">
        <v>120</v>
      </c>
      <c r="AR13" s="788">
        <v>0</v>
      </c>
      <c r="AS13" s="788">
        <v>100</v>
      </c>
      <c r="AT13" s="788">
        <v>0</v>
      </c>
      <c r="AU13" s="788">
        <f t="shared" si="38"/>
        <v>-20</v>
      </c>
      <c r="AV13" s="788"/>
      <c r="AW13" s="788">
        <f t="shared" si="39"/>
        <v>0</v>
      </c>
      <c r="AX13" s="788"/>
      <c r="AY13" s="788">
        <v>250</v>
      </c>
      <c r="AZ13" s="788">
        <v>0</v>
      </c>
      <c r="BA13" s="788">
        <v>155</v>
      </c>
      <c r="BB13" s="788">
        <v>0</v>
      </c>
      <c r="BC13" s="788">
        <v>250</v>
      </c>
      <c r="BD13" s="788">
        <v>0</v>
      </c>
      <c r="BE13" s="801">
        <v>250</v>
      </c>
      <c r="BF13" s="788">
        <v>0</v>
      </c>
      <c r="BG13" s="788">
        <f t="shared" si="41"/>
        <v>0</v>
      </c>
      <c r="BH13" s="788"/>
      <c r="BI13" s="788">
        <f t="shared" si="42"/>
        <v>0</v>
      </c>
      <c r="BJ13" s="788"/>
      <c r="BK13" s="788">
        <v>200</v>
      </c>
      <c r="BL13" s="788">
        <v>0</v>
      </c>
      <c r="BM13" s="788">
        <v>134</v>
      </c>
      <c r="BN13" s="788">
        <v>0</v>
      </c>
      <c r="BO13" s="788">
        <v>276</v>
      </c>
      <c r="BP13" s="788">
        <v>0</v>
      </c>
      <c r="BQ13" s="788">
        <v>210</v>
      </c>
      <c r="BR13" s="788">
        <v>0</v>
      </c>
      <c r="BS13" s="788">
        <f t="shared" si="44"/>
        <v>-66</v>
      </c>
      <c r="BT13" s="788"/>
      <c r="BU13" s="788">
        <f t="shared" si="45"/>
        <v>76</v>
      </c>
      <c r="BV13" s="788"/>
      <c r="BW13" s="788">
        <v>2600</v>
      </c>
      <c r="BX13" s="788">
        <v>0</v>
      </c>
      <c r="BY13" s="788">
        <v>22701</v>
      </c>
      <c r="BZ13" s="788">
        <v>0</v>
      </c>
      <c r="CA13" s="788">
        <v>6200</v>
      </c>
      <c r="CB13" s="788">
        <v>0</v>
      </c>
      <c r="CC13" s="788">
        <v>27900</v>
      </c>
      <c r="CD13" s="788">
        <v>0</v>
      </c>
      <c r="CE13" s="788">
        <f t="shared" si="47"/>
        <v>21700</v>
      </c>
      <c r="CF13" s="788"/>
      <c r="CG13" s="788">
        <f t="shared" si="48"/>
        <v>3600</v>
      </c>
      <c r="CH13" s="788"/>
      <c r="CI13" s="788">
        <v>70</v>
      </c>
      <c r="CJ13" s="788">
        <v>0</v>
      </c>
      <c r="CK13" s="788">
        <v>50</v>
      </c>
      <c r="CL13" s="788">
        <v>0</v>
      </c>
      <c r="CM13" s="788">
        <v>71</v>
      </c>
      <c r="CN13" s="788">
        <v>0</v>
      </c>
      <c r="CO13" s="788">
        <v>100</v>
      </c>
      <c r="CP13" s="788">
        <v>0</v>
      </c>
      <c r="CQ13" s="788">
        <f t="shared" si="50"/>
        <v>29</v>
      </c>
      <c r="CR13" s="788"/>
      <c r="CS13" s="788">
        <f t="shared" si="51"/>
        <v>1</v>
      </c>
      <c r="CT13" s="788"/>
      <c r="CU13" s="788">
        <v>500</v>
      </c>
      <c r="CV13" s="788">
        <v>0</v>
      </c>
      <c r="CW13" s="788">
        <v>171</v>
      </c>
      <c r="CX13" s="788">
        <v>0</v>
      </c>
      <c r="CY13" s="788">
        <v>290</v>
      </c>
      <c r="CZ13" s="788">
        <v>0</v>
      </c>
      <c r="DA13" s="788">
        <v>350</v>
      </c>
      <c r="DB13" s="788">
        <v>0</v>
      </c>
      <c r="DC13" s="788">
        <f t="shared" si="53"/>
        <v>60</v>
      </c>
      <c r="DD13" s="788"/>
      <c r="DE13" s="788">
        <f t="shared" si="54"/>
        <v>-210</v>
      </c>
      <c r="DF13" s="788"/>
      <c r="DG13" s="788">
        <v>190</v>
      </c>
      <c r="DH13" s="788">
        <v>0</v>
      </c>
      <c r="DI13" s="788">
        <v>134</v>
      </c>
      <c r="DJ13" s="788">
        <v>0</v>
      </c>
      <c r="DK13" s="788">
        <v>204</v>
      </c>
      <c r="DL13" s="788">
        <v>0</v>
      </c>
      <c r="DM13" s="788">
        <v>230</v>
      </c>
      <c r="DN13" s="788">
        <v>0</v>
      </c>
      <c r="DO13" s="788">
        <f t="shared" si="56"/>
        <v>26</v>
      </c>
      <c r="DP13" s="788"/>
      <c r="DQ13" s="788">
        <f t="shared" si="57"/>
        <v>14</v>
      </c>
      <c r="DR13" s="788"/>
      <c r="DS13" s="788">
        <v>250</v>
      </c>
      <c r="DT13" s="788">
        <v>0</v>
      </c>
      <c r="DU13" s="788">
        <v>189</v>
      </c>
      <c r="DV13" s="788">
        <v>0</v>
      </c>
      <c r="DW13" s="788">
        <v>250</v>
      </c>
      <c r="DX13" s="788">
        <v>0</v>
      </c>
      <c r="DY13" s="788">
        <v>350</v>
      </c>
      <c r="DZ13" s="788">
        <v>0</v>
      </c>
      <c r="EA13" s="788">
        <f t="shared" si="59"/>
        <v>100</v>
      </c>
      <c r="EB13" s="788"/>
      <c r="EC13" s="788">
        <f t="shared" si="60"/>
        <v>0</v>
      </c>
      <c r="ED13" s="788"/>
      <c r="EE13" s="788">
        <v>1000</v>
      </c>
      <c r="EF13" s="788">
        <v>0</v>
      </c>
      <c r="EG13" s="788">
        <v>544</v>
      </c>
      <c r="EH13" s="788">
        <v>0</v>
      </c>
      <c r="EI13" s="788">
        <v>800</v>
      </c>
      <c r="EJ13" s="788">
        <v>0</v>
      </c>
      <c r="EK13" s="788">
        <v>1100</v>
      </c>
      <c r="EL13" s="788">
        <v>0</v>
      </c>
      <c r="EM13" s="788">
        <f t="shared" si="62"/>
        <v>300</v>
      </c>
      <c r="EN13" s="788"/>
      <c r="EO13" s="788">
        <f t="shared" si="63"/>
        <v>-200</v>
      </c>
      <c r="EP13" s="788"/>
      <c r="EQ13" s="788">
        <v>200</v>
      </c>
      <c r="ER13" s="788">
        <v>0</v>
      </c>
      <c r="ES13" s="788">
        <v>108</v>
      </c>
      <c r="ET13" s="788">
        <v>0</v>
      </c>
      <c r="EU13" s="788">
        <v>200</v>
      </c>
      <c r="EV13" s="788">
        <v>0</v>
      </c>
      <c r="EW13" s="788">
        <v>220</v>
      </c>
      <c r="EX13" s="788">
        <v>0</v>
      </c>
      <c r="EY13" s="788">
        <f t="shared" si="65"/>
        <v>20</v>
      </c>
      <c r="EZ13" s="788"/>
      <c r="FA13" s="788">
        <f t="shared" si="66"/>
        <v>0</v>
      </c>
      <c r="FB13" s="788"/>
    </row>
    <row r="14" spans="1:158" x14ac:dyDescent="0.25">
      <c r="A14" s="256" t="s">
        <v>449</v>
      </c>
      <c r="B14" s="257" t="s">
        <v>286</v>
      </c>
      <c r="C14" s="788">
        <f t="shared" si="67"/>
        <v>9460</v>
      </c>
      <c r="D14" s="788">
        <f t="shared" si="67"/>
        <v>0</v>
      </c>
      <c r="E14" s="788">
        <f t="shared" si="67"/>
        <v>9982</v>
      </c>
      <c r="F14" s="788">
        <f t="shared" si="67"/>
        <v>0</v>
      </c>
      <c r="G14" s="788">
        <f t="shared" si="67"/>
        <v>19380</v>
      </c>
      <c r="H14" s="788">
        <f t="shared" si="68"/>
        <v>0</v>
      </c>
      <c r="I14" s="788">
        <f t="shared" si="68"/>
        <v>13230</v>
      </c>
      <c r="J14" s="788">
        <f t="shared" si="68"/>
        <v>0</v>
      </c>
      <c r="K14" s="788">
        <f t="shared" si="29"/>
        <v>-6150</v>
      </c>
      <c r="L14" s="788">
        <f t="shared" si="1"/>
        <v>68.266253869969034</v>
      </c>
      <c r="M14" s="788">
        <f t="shared" si="30"/>
        <v>9920</v>
      </c>
      <c r="N14" s="788">
        <f t="shared" si="2"/>
        <v>204.86257928118391</v>
      </c>
      <c r="O14" s="788">
        <v>100</v>
      </c>
      <c r="P14" s="788">
        <v>0</v>
      </c>
      <c r="Q14" s="790">
        <v>27</v>
      </c>
      <c r="R14" s="788">
        <v>0</v>
      </c>
      <c r="S14" s="788">
        <v>124</v>
      </c>
      <c r="T14" s="788">
        <v>0</v>
      </c>
      <c r="U14" s="788">
        <v>100</v>
      </c>
      <c r="V14" s="788">
        <v>0</v>
      </c>
      <c r="W14" s="788">
        <f t="shared" si="32"/>
        <v>-24</v>
      </c>
      <c r="X14" s="788">
        <f>+U14/S14*100</f>
        <v>80.645161290322577</v>
      </c>
      <c r="Y14" s="788">
        <f t="shared" si="33"/>
        <v>24</v>
      </c>
      <c r="Z14" s="788">
        <f>+S14/O14*100</f>
        <v>124</v>
      </c>
      <c r="AA14" s="788">
        <v>0</v>
      </c>
      <c r="AB14" s="788">
        <v>0</v>
      </c>
      <c r="AC14" s="788">
        <v>8</v>
      </c>
      <c r="AD14" s="788">
        <v>0</v>
      </c>
      <c r="AE14" s="788">
        <v>0</v>
      </c>
      <c r="AF14" s="788">
        <v>0</v>
      </c>
      <c r="AG14" s="788">
        <v>0</v>
      </c>
      <c r="AH14" s="788">
        <v>0</v>
      </c>
      <c r="AI14" s="788">
        <f t="shared" si="35"/>
        <v>0</v>
      </c>
      <c r="AJ14" s="788"/>
      <c r="AK14" s="788">
        <f t="shared" si="69"/>
        <v>0</v>
      </c>
      <c r="AL14" s="788"/>
      <c r="AM14" s="788">
        <v>10</v>
      </c>
      <c r="AN14" s="788">
        <v>0</v>
      </c>
      <c r="AO14" s="788">
        <v>29</v>
      </c>
      <c r="AP14" s="788">
        <v>0</v>
      </c>
      <c r="AQ14" s="788">
        <v>15</v>
      </c>
      <c r="AR14" s="788">
        <v>0</v>
      </c>
      <c r="AS14" s="788">
        <v>10</v>
      </c>
      <c r="AT14" s="788">
        <v>0</v>
      </c>
      <c r="AU14" s="788">
        <f t="shared" si="38"/>
        <v>-5</v>
      </c>
      <c r="AV14" s="788"/>
      <c r="AW14" s="788">
        <f t="shared" si="39"/>
        <v>5</v>
      </c>
      <c r="AX14" s="788"/>
      <c r="AY14" s="788">
        <v>180</v>
      </c>
      <c r="AZ14" s="788">
        <v>0</v>
      </c>
      <c r="BA14" s="788">
        <v>347</v>
      </c>
      <c r="BB14" s="788">
        <v>0</v>
      </c>
      <c r="BC14" s="788">
        <v>180</v>
      </c>
      <c r="BD14" s="788">
        <v>0</v>
      </c>
      <c r="BE14" s="801">
        <v>130</v>
      </c>
      <c r="BF14" s="788">
        <v>0</v>
      </c>
      <c r="BG14" s="788">
        <f t="shared" si="41"/>
        <v>-50</v>
      </c>
      <c r="BH14" s="788"/>
      <c r="BI14" s="788">
        <f t="shared" si="42"/>
        <v>0</v>
      </c>
      <c r="BJ14" s="788"/>
      <c r="BK14" s="788">
        <v>1320</v>
      </c>
      <c r="BL14" s="788">
        <v>0</v>
      </c>
      <c r="BM14" s="788">
        <v>216</v>
      </c>
      <c r="BN14" s="788">
        <v>0</v>
      </c>
      <c r="BO14" s="788">
        <v>382</v>
      </c>
      <c r="BP14" s="788">
        <v>0</v>
      </c>
      <c r="BQ14" s="788">
        <v>340</v>
      </c>
      <c r="BR14" s="788">
        <v>0</v>
      </c>
      <c r="BS14" s="788">
        <f t="shared" si="44"/>
        <v>-42</v>
      </c>
      <c r="BT14" s="788"/>
      <c r="BU14" s="788">
        <f t="shared" si="45"/>
        <v>-938</v>
      </c>
      <c r="BV14" s="788"/>
      <c r="BW14" s="788">
        <v>6200</v>
      </c>
      <c r="BX14" s="788">
        <v>0</v>
      </c>
      <c r="BY14" s="788">
        <v>7579</v>
      </c>
      <c r="BZ14" s="788">
        <v>0</v>
      </c>
      <c r="CA14" s="788">
        <v>17000</v>
      </c>
      <c r="CB14" s="788">
        <v>0</v>
      </c>
      <c r="CC14" s="788">
        <v>10250</v>
      </c>
      <c r="CD14" s="788">
        <v>0</v>
      </c>
      <c r="CE14" s="788">
        <f t="shared" si="47"/>
        <v>-6750</v>
      </c>
      <c r="CF14" s="788"/>
      <c r="CG14" s="788">
        <f t="shared" si="48"/>
        <v>10800</v>
      </c>
      <c r="CH14" s="788"/>
      <c r="CI14" s="788">
        <v>130</v>
      </c>
      <c r="CJ14" s="788">
        <v>0</v>
      </c>
      <c r="CK14" s="788">
        <v>171</v>
      </c>
      <c r="CL14" s="788">
        <v>0</v>
      </c>
      <c r="CM14" s="788">
        <v>145</v>
      </c>
      <c r="CN14" s="788">
        <v>0</v>
      </c>
      <c r="CO14" s="788">
        <v>250</v>
      </c>
      <c r="CP14" s="788">
        <v>0</v>
      </c>
      <c r="CQ14" s="788">
        <f t="shared" si="50"/>
        <v>105</v>
      </c>
      <c r="CR14" s="788"/>
      <c r="CS14" s="788">
        <f t="shared" si="51"/>
        <v>15</v>
      </c>
      <c r="CT14" s="788"/>
      <c r="CU14" s="788">
        <v>120</v>
      </c>
      <c r="CV14" s="788">
        <v>0</v>
      </c>
      <c r="CW14" s="788">
        <v>133</v>
      </c>
      <c r="CX14" s="788">
        <v>0</v>
      </c>
      <c r="CY14" s="788">
        <v>110</v>
      </c>
      <c r="CZ14" s="788">
        <v>0</v>
      </c>
      <c r="DA14" s="788">
        <v>140</v>
      </c>
      <c r="DB14" s="788">
        <v>0</v>
      </c>
      <c r="DC14" s="788">
        <f t="shared" si="53"/>
        <v>30</v>
      </c>
      <c r="DD14" s="788"/>
      <c r="DE14" s="788">
        <f t="shared" si="54"/>
        <v>-10</v>
      </c>
      <c r="DF14" s="788"/>
      <c r="DG14" s="788">
        <v>760</v>
      </c>
      <c r="DH14" s="788">
        <v>0</v>
      </c>
      <c r="DI14" s="788">
        <v>996</v>
      </c>
      <c r="DJ14" s="788">
        <v>0</v>
      </c>
      <c r="DK14" s="788">
        <v>804</v>
      </c>
      <c r="DL14" s="788">
        <v>0</v>
      </c>
      <c r="DM14" s="788">
        <v>1300</v>
      </c>
      <c r="DN14" s="788">
        <v>0</v>
      </c>
      <c r="DO14" s="788">
        <f t="shared" si="56"/>
        <v>496</v>
      </c>
      <c r="DP14" s="788"/>
      <c r="DQ14" s="788">
        <f t="shared" si="57"/>
        <v>44</v>
      </c>
      <c r="DR14" s="788"/>
      <c r="DS14" s="788">
        <v>170</v>
      </c>
      <c r="DT14" s="788">
        <v>0</v>
      </c>
      <c r="DU14" s="788">
        <v>117</v>
      </c>
      <c r="DV14" s="788">
        <v>0</v>
      </c>
      <c r="DW14" s="788">
        <v>150</v>
      </c>
      <c r="DX14" s="788">
        <v>0</v>
      </c>
      <c r="DY14" s="788">
        <v>270</v>
      </c>
      <c r="DZ14" s="788">
        <v>0</v>
      </c>
      <c r="EA14" s="788">
        <f t="shared" si="59"/>
        <v>120</v>
      </c>
      <c r="EB14" s="788"/>
      <c r="EC14" s="788">
        <f t="shared" si="60"/>
        <v>-20</v>
      </c>
      <c r="ED14" s="788"/>
      <c r="EE14" s="788">
        <v>330</v>
      </c>
      <c r="EF14" s="788">
        <v>0</v>
      </c>
      <c r="EG14" s="788">
        <v>265</v>
      </c>
      <c r="EH14" s="788">
        <v>0</v>
      </c>
      <c r="EI14" s="788">
        <v>330</v>
      </c>
      <c r="EJ14" s="788">
        <v>0</v>
      </c>
      <c r="EK14" s="788">
        <v>300</v>
      </c>
      <c r="EL14" s="788">
        <v>0</v>
      </c>
      <c r="EM14" s="788">
        <f t="shared" si="62"/>
        <v>-30</v>
      </c>
      <c r="EN14" s="788"/>
      <c r="EO14" s="788">
        <f t="shared" si="63"/>
        <v>0</v>
      </c>
      <c r="EP14" s="788"/>
      <c r="EQ14" s="788">
        <v>140</v>
      </c>
      <c r="ER14" s="788">
        <v>0</v>
      </c>
      <c r="ES14" s="788">
        <v>94</v>
      </c>
      <c r="ET14" s="788">
        <v>0</v>
      </c>
      <c r="EU14" s="788">
        <v>140</v>
      </c>
      <c r="EV14" s="788">
        <v>0</v>
      </c>
      <c r="EW14" s="788">
        <v>140</v>
      </c>
      <c r="EX14" s="788">
        <v>0</v>
      </c>
      <c r="EY14" s="788">
        <f t="shared" si="65"/>
        <v>0</v>
      </c>
      <c r="EZ14" s="788"/>
      <c r="FA14" s="788">
        <f t="shared" si="66"/>
        <v>0</v>
      </c>
      <c r="FB14" s="788"/>
    </row>
    <row r="15" spans="1:158" x14ac:dyDescent="0.25">
      <c r="A15" s="256" t="s">
        <v>449</v>
      </c>
      <c r="B15" s="257" t="s">
        <v>288</v>
      </c>
      <c r="C15" s="788">
        <f t="shared" si="67"/>
        <v>19060</v>
      </c>
      <c r="D15" s="788">
        <f t="shared" si="67"/>
        <v>19060</v>
      </c>
      <c r="E15" s="788">
        <f t="shared" si="67"/>
        <v>0</v>
      </c>
      <c r="F15" s="788">
        <f t="shared" si="67"/>
        <v>0</v>
      </c>
      <c r="G15" s="788">
        <f t="shared" si="67"/>
        <v>11248</v>
      </c>
      <c r="H15" s="788">
        <f t="shared" si="68"/>
        <v>11248</v>
      </c>
      <c r="I15" s="788">
        <f t="shared" si="68"/>
        <v>5920</v>
      </c>
      <c r="J15" s="788">
        <f t="shared" si="68"/>
        <v>5920</v>
      </c>
      <c r="K15" s="788">
        <f t="shared" si="29"/>
        <v>-5328</v>
      </c>
      <c r="L15" s="788">
        <f t="shared" si="1"/>
        <v>52.631578947368418</v>
      </c>
      <c r="M15" s="788">
        <f t="shared" si="30"/>
        <v>-7812</v>
      </c>
      <c r="N15" s="788">
        <f t="shared" si="2"/>
        <v>59.013641133263384</v>
      </c>
      <c r="O15" s="788">
        <v>220</v>
      </c>
      <c r="P15" s="788">
        <f>O15</f>
        <v>220</v>
      </c>
      <c r="Q15" s="788">
        <v>0</v>
      </c>
      <c r="R15" s="788">
        <f>Q15</f>
        <v>0</v>
      </c>
      <c r="S15" s="788">
        <v>223</v>
      </c>
      <c r="T15" s="788">
        <f>+S15</f>
        <v>223</v>
      </c>
      <c r="U15" s="788">
        <v>220</v>
      </c>
      <c r="V15" s="788">
        <f>U15</f>
        <v>220</v>
      </c>
      <c r="W15" s="788">
        <f t="shared" si="32"/>
        <v>-3</v>
      </c>
      <c r="X15" s="788">
        <f>+U15/S15*100</f>
        <v>98.654708520179369</v>
      </c>
      <c r="Y15" s="788">
        <f t="shared" si="33"/>
        <v>3</v>
      </c>
      <c r="Z15" s="788">
        <f>+S15/O15*100</f>
        <v>101.36363636363637</v>
      </c>
      <c r="AA15" s="788">
        <v>500</v>
      </c>
      <c r="AB15" s="788">
        <f>AA15</f>
        <v>500</v>
      </c>
      <c r="AC15" s="788">
        <v>0</v>
      </c>
      <c r="AD15" s="788">
        <f>AC15</f>
        <v>0</v>
      </c>
      <c r="AE15" s="788">
        <v>500</v>
      </c>
      <c r="AF15" s="788">
        <f>+AE15</f>
        <v>500</v>
      </c>
      <c r="AG15" s="788">
        <v>550</v>
      </c>
      <c r="AH15" s="788">
        <f>AG15</f>
        <v>550</v>
      </c>
      <c r="AI15" s="788">
        <f t="shared" si="35"/>
        <v>50</v>
      </c>
      <c r="AJ15" s="788">
        <f>+AG15/AE15*100</f>
        <v>110.00000000000001</v>
      </c>
      <c r="AK15" s="788">
        <f t="shared" si="69"/>
        <v>0</v>
      </c>
      <c r="AL15" s="788">
        <f t="shared" si="36"/>
        <v>100</v>
      </c>
      <c r="AM15" s="788">
        <v>350</v>
      </c>
      <c r="AN15" s="788">
        <f>AM15</f>
        <v>350</v>
      </c>
      <c r="AO15" s="788"/>
      <c r="AP15" s="788">
        <f>AO15</f>
        <v>0</v>
      </c>
      <c r="AQ15" s="788">
        <v>350</v>
      </c>
      <c r="AR15" s="788">
        <f>+AQ15</f>
        <v>350</v>
      </c>
      <c r="AS15" s="788">
        <v>210</v>
      </c>
      <c r="AT15" s="788">
        <f>AS15</f>
        <v>210</v>
      </c>
      <c r="AU15" s="788">
        <f t="shared" si="38"/>
        <v>-140</v>
      </c>
      <c r="AV15" s="788">
        <f>+AS15/AQ15*100</f>
        <v>60</v>
      </c>
      <c r="AW15" s="788">
        <f t="shared" si="39"/>
        <v>0</v>
      </c>
      <c r="AX15" s="788">
        <f>+AQ15/AM15*100</f>
        <v>100</v>
      </c>
      <c r="AY15" s="788">
        <v>2000</v>
      </c>
      <c r="AZ15" s="788">
        <f>AY15</f>
        <v>2000</v>
      </c>
      <c r="BA15" s="788">
        <v>0</v>
      </c>
      <c r="BB15" s="788">
        <f>BA15</f>
        <v>0</v>
      </c>
      <c r="BC15" s="788">
        <v>2000</v>
      </c>
      <c r="BD15" s="788">
        <f>+BC15</f>
        <v>2000</v>
      </c>
      <c r="BE15" s="788">
        <v>0</v>
      </c>
      <c r="BF15" s="788">
        <f>BE15</f>
        <v>0</v>
      </c>
      <c r="BG15" s="788">
        <f t="shared" si="41"/>
        <v>-2000</v>
      </c>
      <c r="BH15" s="788">
        <f>+BE15/BC15*100</f>
        <v>0</v>
      </c>
      <c r="BI15" s="788">
        <f t="shared" si="42"/>
        <v>0</v>
      </c>
      <c r="BJ15" s="788">
        <f>+BC15/AY15*100</f>
        <v>100</v>
      </c>
      <c r="BK15" s="788">
        <v>920</v>
      </c>
      <c r="BL15" s="788">
        <f>BK15</f>
        <v>920</v>
      </c>
      <c r="BM15" s="788">
        <v>0</v>
      </c>
      <c r="BN15" s="788">
        <f>BM15</f>
        <v>0</v>
      </c>
      <c r="BO15" s="788">
        <v>1355</v>
      </c>
      <c r="BP15" s="788">
        <f>+BO15</f>
        <v>1355</v>
      </c>
      <c r="BQ15" s="788">
        <v>240</v>
      </c>
      <c r="BR15" s="788">
        <f>BQ15</f>
        <v>240</v>
      </c>
      <c r="BS15" s="788">
        <f t="shared" si="44"/>
        <v>-1115</v>
      </c>
      <c r="BT15" s="788">
        <f>+BQ15/BO15*100</f>
        <v>17.712177121771216</v>
      </c>
      <c r="BU15" s="788">
        <f t="shared" si="45"/>
        <v>435</v>
      </c>
      <c r="BV15" s="788">
        <f>+BO15/BK15*100</f>
        <v>147.28260869565219</v>
      </c>
      <c r="BW15" s="788">
        <v>3800</v>
      </c>
      <c r="BX15" s="788">
        <f>BW15</f>
        <v>3800</v>
      </c>
      <c r="BY15" s="788">
        <v>0</v>
      </c>
      <c r="BZ15" s="788">
        <f>BY15</f>
        <v>0</v>
      </c>
      <c r="CA15" s="788">
        <f>+BY15/7*12</f>
        <v>0</v>
      </c>
      <c r="CB15" s="788">
        <f>+CA15</f>
        <v>0</v>
      </c>
      <c r="CC15" s="788">
        <v>1250</v>
      </c>
      <c r="CD15" s="788">
        <f>CC15</f>
        <v>1250</v>
      </c>
      <c r="CE15" s="788">
        <f t="shared" si="47"/>
        <v>1250</v>
      </c>
      <c r="CF15" s="788" t="e">
        <f>+CC15/CA15*100</f>
        <v>#DIV/0!</v>
      </c>
      <c r="CG15" s="788">
        <f t="shared" si="48"/>
        <v>-3800</v>
      </c>
      <c r="CH15" s="788">
        <f>+CA15/BW15*100</f>
        <v>0</v>
      </c>
      <c r="CI15" s="788">
        <v>1230</v>
      </c>
      <c r="CJ15" s="788">
        <f>CI15</f>
        <v>1230</v>
      </c>
      <c r="CK15" s="788">
        <v>0</v>
      </c>
      <c r="CL15" s="788">
        <f>CK15</f>
        <v>0</v>
      </c>
      <c r="CM15" s="788">
        <v>615</v>
      </c>
      <c r="CN15" s="788">
        <f>+CM15</f>
        <v>615</v>
      </c>
      <c r="CO15" s="788">
        <v>100</v>
      </c>
      <c r="CP15" s="788">
        <f>CO15</f>
        <v>100</v>
      </c>
      <c r="CQ15" s="788">
        <f t="shared" si="50"/>
        <v>-515</v>
      </c>
      <c r="CR15" s="788">
        <f>+CO15/CM15*100</f>
        <v>16.260162601626014</v>
      </c>
      <c r="CS15" s="788">
        <f t="shared" si="51"/>
        <v>-615</v>
      </c>
      <c r="CT15" s="788">
        <f>+CM15/CI15*100</f>
        <v>50</v>
      </c>
      <c r="CU15" s="788">
        <v>1200</v>
      </c>
      <c r="CV15" s="788">
        <f>CU15</f>
        <v>1200</v>
      </c>
      <c r="CW15" s="788">
        <v>0</v>
      </c>
      <c r="CX15" s="788">
        <f>CW15</f>
        <v>0</v>
      </c>
      <c r="CY15" s="788">
        <v>390</v>
      </c>
      <c r="CZ15" s="788">
        <f>+CY15</f>
        <v>390</v>
      </c>
      <c r="DA15" s="788">
        <v>200</v>
      </c>
      <c r="DB15" s="788">
        <f>DA15</f>
        <v>200</v>
      </c>
      <c r="DC15" s="788">
        <f t="shared" si="53"/>
        <v>-190</v>
      </c>
      <c r="DD15" s="788">
        <f>+DA15/CY15*100</f>
        <v>51.282051282051277</v>
      </c>
      <c r="DE15" s="788">
        <f t="shared" si="54"/>
        <v>-810</v>
      </c>
      <c r="DF15" s="788">
        <f>+CY15/CU15*100</f>
        <v>32.5</v>
      </c>
      <c r="DG15" s="788">
        <v>2350</v>
      </c>
      <c r="DH15" s="788">
        <f>DG15</f>
        <v>2350</v>
      </c>
      <c r="DI15" s="788">
        <v>0</v>
      </c>
      <c r="DJ15" s="788">
        <f>DI15</f>
        <v>0</v>
      </c>
      <c r="DK15" s="788">
        <v>1055</v>
      </c>
      <c r="DL15" s="788">
        <f>+DK15</f>
        <v>1055</v>
      </c>
      <c r="DM15" s="788">
        <v>1500</v>
      </c>
      <c r="DN15" s="788">
        <f>DM15</f>
        <v>1500</v>
      </c>
      <c r="DO15" s="788">
        <f t="shared" si="56"/>
        <v>445</v>
      </c>
      <c r="DP15" s="788">
        <f>+DM15/DK15*100</f>
        <v>142.18009478672985</v>
      </c>
      <c r="DQ15" s="788">
        <f t="shared" si="57"/>
        <v>-1295</v>
      </c>
      <c r="DR15" s="788">
        <f>+DK15/DG15*100</f>
        <v>44.893617021276597</v>
      </c>
      <c r="DS15" s="788">
        <v>1880</v>
      </c>
      <c r="DT15" s="788">
        <f>DS15</f>
        <v>1880</v>
      </c>
      <c r="DU15" s="788">
        <v>0</v>
      </c>
      <c r="DV15" s="788">
        <f>DU15</f>
        <v>0</v>
      </c>
      <c r="DW15" s="788">
        <v>200</v>
      </c>
      <c r="DX15" s="788">
        <f>+DW15</f>
        <v>200</v>
      </c>
      <c r="DY15" s="788">
        <v>800</v>
      </c>
      <c r="DZ15" s="788">
        <f>DY15</f>
        <v>800</v>
      </c>
      <c r="EA15" s="788">
        <f t="shared" si="59"/>
        <v>600</v>
      </c>
      <c r="EB15" s="788">
        <f>+DY15/DW15*100</f>
        <v>400</v>
      </c>
      <c r="EC15" s="788">
        <f t="shared" si="60"/>
        <v>-1680</v>
      </c>
      <c r="ED15" s="788">
        <f>+DW15/DS15*100</f>
        <v>10.638297872340425</v>
      </c>
      <c r="EE15" s="788">
        <v>2900</v>
      </c>
      <c r="EF15" s="788">
        <f>EE15</f>
        <v>2900</v>
      </c>
      <c r="EG15" s="788">
        <v>0</v>
      </c>
      <c r="EH15" s="788">
        <f>EG15</f>
        <v>0</v>
      </c>
      <c r="EI15" s="788">
        <v>2850</v>
      </c>
      <c r="EJ15" s="788">
        <f>+EI15</f>
        <v>2850</v>
      </c>
      <c r="EK15" s="788">
        <v>400</v>
      </c>
      <c r="EL15" s="788">
        <f>EK15</f>
        <v>400</v>
      </c>
      <c r="EM15" s="788">
        <f t="shared" si="62"/>
        <v>-2450</v>
      </c>
      <c r="EN15" s="788">
        <f>+EK15/EI15*100</f>
        <v>14.035087719298245</v>
      </c>
      <c r="EO15" s="788">
        <f t="shared" si="63"/>
        <v>-50</v>
      </c>
      <c r="EP15" s="788">
        <f>+EI15/EE15*100</f>
        <v>98.275862068965509</v>
      </c>
      <c r="EQ15" s="788">
        <v>1710</v>
      </c>
      <c r="ER15" s="788">
        <f>EQ15</f>
        <v>1710</v>
      </c>
      <c r="ES15" s="788">
        <v>0</v>
      </c>
      <c r="ET15" s="788">
        <f>ES15</f>
        <v>0</v>
      </c>
      <c r="EU15" s="788">
        <v>1710</v>
      </c>
      <c r="EV15" s="788">
        <f>+EU15</f>
        <v>1710</v>
      </c>
      <c r="EW15" s="788">
        <v>450</v>
      </c>
      <c r="EX15" s="788">
        <f>EW15</f>
        <v>450</v>
      </c>
      <c r="EY15" s="788">
        <f t="shared" si="65"/>
        <v>-1260</v>
      </c>
      <c r="EZ15" s="788">
        <f>+EW15/EU15*100</f>
        <v>26.315789473684209</v>
      </c>
      <c r="FA15" s="788">
        <f t="shared" si="66"/>
        <v>0</v>
      </c>
      <c r="FB15" s="788">
        <f>+EU15/EQ15*100</f>
        <v>100</v>
      </c>
    </row>
    <row r="16" spans="1:158" s="168" customFormat="1" x14ac:dyDescent="0.25">
      <c r="A16" s="166">
        <v>2</v>
      </c>
      <c r="B16" s="255" t="s">
        <v>405</v>
      </c>
      <c r="C16" s="787">
        <f t="shared" si="67"/>
        <v>189850</v>
      </c>
      <c r="D16" s="787">
        <f t="shared" si="67"/>
        <v>0</v>
      </c>
      <c r="E16" s="787">
        <f t="shared" si="67"/>
        <v>217564</v>
      </c>
      <c r="F16" s="787">
        <f t="shared" si="67"/>
        <v>0</v>
      </c>
      <c r="G16" s="787">
        <f t="shared" si="67"/>
        <v>242668</v>
      </c>
      <c r="H16" s="787">
        <f t="shared" si="68"/>
        <v>0</v>
      </c>
      <c r="I16" s="787">
        <f t="shared" si="68"/>
        <v>215200</v>
      </c>
      <c r="J16" s="787">
        <f t="shared" si="68"/>
        <v>0</v>
      </c>
      <c r="K16" s="787">
        <f t="shared" si="29"/>
        <v>-27468</v>
      </c>
      <c r="L16" s="787">
        <f t="shared" si="1"/>
        <v>88.680831424003173</v>
      </c>
      <c r="M16" s="787">
        <f t="shared" si="30"/>
        <v>52818</v>
      </c>
      <c r="N16" s="787"/>
      <c r="O16" s="787">
        <v>5700</v>
      </c>
      <c r="P16" s="787">
        <v>0</v>
      </c>
      <c r="Q16" s="787">
        <v>4402</v>
      </c>
      <c r="R16" s="787">
        <v>0</v>
      </c>
      <c r="S16" s="787">
        <v>5758</v>
      </c>
      <c r="T16" s="787">
        <v>0</v>
      </c>
      <c r="U16" s="787">
        <v>6800</v>
      </c>
      <c r="V16" s="787">
        <v>0</v>
      </c>
      <c r="W16" s="787">
        <f t="shared" si="32"/>
        <v>1042</v>
      </c>
      <c r="X16" s="787">
        <f>+U16/S16*100</f>
        <v>118.09656130600902</v>
      </c>
      <c r="Y16" s="787">
        <f t="shared" si="33"/>
        <v>58</v>
      </c>
      <c r="Z16" s="787">
        <f>+S16/O16*100</f>
        <v>101.01754385964912</v>
      </c>
      <c r="AA16" s="787">
        <v>14500</v>
      </c>
      <c r="AB16" s="787">
        <v>0</v>
      </c>
      <c r="AC16" s="787">
        <v>11340</v>
      </c>
      <c r="AD16" s="787">
        <v>0</v>
      </c>
      <c r="AE16" s="787">
        <v>13000</v>
      </c>
      <c r="AF16" s="787">
        <v>0</v>
      </c>
      <c r="AG16" s="787">
        <v>15000</v>
      </c>
      <c r="AH16" s="787">
        <v>0</v>
      </c>
      <c r="AI16" s="787"/>
      <c r="AJ16" s="787"/>
      <c r="AK16" s="787"/>
      <c r="AL16" s="787"/>
      <c r="AM16" s="787">
        <v>8250</v>
      </c>
      <c r="AN16" s="787"/>
      <c r="AO16" s="787">
        <v>7184</v>
      </c>
      <c r="AP16" s="787">
        <v>0</v>
      </c>
      <c r="AQ16" s="787">
        <v>8500</v>
      </c>
      <c r="AR16" s="787">
        <v>0</v>
      </c>
      <c r="AS16" s="787">
        <v>11000</v>
      </c>
      <c r="AT16" s="787"/>
      <c r="AU16" s="787">
        <f t="shared" si="38"/>
        <v>2500</v>
      </c>
      <c r="AV16" s="787"/>
      <c r="AW16" s="787">
        <f t="shared" si="39"/>
        <v>250</v>
      </c>
      <c r="AX16" s="787"/>
      <c r="AY16" s="787">
        <v>13000</v>
      </c>
      <c r="AZ16" s="787"/>
      <c r="BA16" s="787">
        <v>20632</v>
      </c>
      <c r="BB16" s="787">
        <v>0</v>
      </c>
      <c r="BC16" s="787">
        <v>20000</v>
      </c>
      <c r="BD16" s="787">
        <v>0</v>
      </c>
      <c r="BE16" s="787">
        <v>16000</v>
      </c>
      <c r="BF16" s="787"/>
      <c r="BG16" s="787"/>
      <c r="BH16" s="787"/>
      <c r="BI16" s="787"/>
      <c r="BJ16" s="787"/>
      <c r="BK16" s="787">
        <v>11000</v>
      </c>
      <c r="BL16" s="787"/>
      <c r="BM16" s="787">
        <v>9328</v>
      </c>
      <c r="BN16" s="787">
        <v>0</v>
      </c>
      <c r="BO16" s="787">
        <v>10680</v>
      </c>
      <c r="BP16" s="787">
        <v>0</v>
      </c>
      <c r="BQ16" s="787">
        <v>11500</v>
      </c>
      <c r="BR16" s="787"/>
      <c r="BS16" s="787">
        <f t="shared" si="44"/>
        <v>820</v>
      </c>
      <c r="BT16" s="787"/>
      <c r="BU16" s="787">
        <f t="shared" si="45"/>
        <v>-320</v>
      </c>
      <c r="BV16" s="787"/>
      <c r="BW16" s="787">
        <v>38000</v>
      </c>
      <c r="BX16" s="787"/>
      <c r="BY16" s="787">
        <v>59037</v>
      </c>
      <c r="BZ16" s="787">
        <v>0</v>
      </c>
      <c r="CA16" s="787">
        <v>70000</v>
      </c>
      <c r="CB16" s="787">
        <v>0</v>
      </c>
      <c r="CC16" s="787">
        <v>44000</v>
      </c>
      <c r="CD16" s="787"/>
      <c r="CE16" s="787">
        <f t="shared" si="47"/>
        <v>-26000</v>
      </c>
      <c r="CF16" s="787"/>
      <c r="CG16" s="787">
        <f t="shared" si="48"/>
        <v>32000</v>
      </c>
      <c r="CH16" s="787"/>
      <c r="CI16" s="787">
        <v>16600</v>
      </c>
      <c r="CJ16" s="787"/>
      <c r="CK16" s="787">
        <v>12034</v>
      </c>
      <c r="CL16" s="787">
        <v>0</v>
      </c>
      <c r="CM16" s="787">
        <v>15757</v>
      </c>
      <c r="CN16" s="787">
        <v>0</v>
      </c>
      <c r="CO16" s="787">
        <v>17500</v>
      </c>
      <c r="CP16" s="787"/>
      <c r="CQ16" s="787"/>
      <c r="CR16" s="787"/>
      <c r="CS16" s="787"/>
      <c r="CT16" s="787"/>
      <c r="CU16" s="787">
        <v>15800</v>
      </c>
      <c r="CV16" s="787"/>
      <c r="CW16" s="787">
        <v>16339</v>
      </c>
      <c r="CX16" s="787">
        <v>0</v>
      </c>
      <c r="CY16" s="787">
        <v>16000</v>
      </c>
      <c r="CZ16" s="787">
        <v>0</v>
      </c>
      <c r="DA16" s="787">
        <v>17800</v>
      </c>
      <c r="DB16" s="787"/>
      <c r="DC16" s="787">
        <f t="shared" si="53"/>
        <v>1800</v>
      </c>
      <c r="DD16" s="787"/>
      <c r="DE16" s="787">
        <f t="shared" si="54"/>
        <v>200</v>
      </c>
      <c r="DF16" s="787"/>
      <c r="DG16" s="787">
        <v>14500</v>
      </c>
      <c r="DH16" s="787"/>
      <c r="DI16" s="787">
        <v>19601</v>
      </c>
      <c r="DJ16" s="787">
        <v>0</v>
      </c>
      <c r="DK16" s="787">
        <v>20473</v>
      </c>
      <c r="DL16" s="787">
        <v>0</v>
      </c>
      <c r="DM16" s="787">
        <v>14900</v>
      </c>
      <c r="DN16" s="787"/>
      <c r="DO16" s="787"/>
      <c r="DP16" s="787"/>
      <c r="DQ16" s="787"/>
      <c r="DR16" s="787"/>
      <c r="DS16" s="787">
        <v>14000</v>
      </c>
      <c r="DT16" s="787"/>
      <c r="DU16" s="787">
        <v>19366</v>
      </c>
      <c r="DV16" s="787">
        <v>0</v>
      </c>
      <c r="DW16" s="787">
        <v>12500</v>
      </c>
      <c r="DX16" s="787">
        <v>0</v>
      </c>
      <c r="DY16" s="787">
        <v>15200</v>
      </c>
      <c r="DZ16" s="787"/>
      <c r="EA16" s="787">
        <f t="shared" si="59"/>
        <v>2700</v>
      </c>
      <c r="EB16" s="787"/>
      <c r="EC16" s="787">
        <f t="shared" si="60"/>
        <v>-1500</v>
      </c>
      <c r="ED16" s="787"/>
      <c r="EE16" s="787">
        <v>27500</v>
      </c>
      <c r="EF16" s="787"/>
      <c r="EG16" s="787">
        <v>29455</v>
      </c>
      <c r="EH16" s="787">
        <v>0</v>
      </c>
      <c r="EI16" s="787">
        <v>39000</v>
      </c>
      <c r="EJ16" s="787">
        <v>0</v>
      </c>
      <c r="EK16" s="787">
        <v>32000</v>
      </c>
      <c r="EL16" s="787"/>
      <c r="EM16" s="787"/>
      <c r="EN16" s="787"/>
      <c r="EO16" s="787"/>
      <c r="EP16" s="787"/>
      <c r="EQ16" s="787">
        <v>11000</v>
      </c>
      <c r="ER16" s="787"/>
      <c r="ES16" s="787">
        <v>8846</v>
      </c>
      <c r="ET16" s="787">
        <v>0</v>
      </c>
      <c r="EU16" s="787">
        <v>11000</v>
      </c>
      <c r="EV16" s="787">
        <v>0</v>
      </c>
      <c r="EW16" s="787">
        <v>13500</v>
      </c>
      <c r="EX16" s="787"/>
      <c r="EY16" s="787">
        <f t="shared" si="65"/>
        <v>2500</v>
      </c>
      <c r="EZ16" s="787"/>
      <c r="FA16" s="787">
        <f t="shared" si="66"/>
        <v>0</v>
      </c>
      <c r="FB16" s="787"/>
    </row>
    <row r="17" spans="1:158" s="168" customFormat="1" x14ac:dyDescent="0.25">
      <c r="A17" s="166">
        <v>3</v>
      </c>
      <c r="B17" s="255" t="s">
        <v>211</v>
      </c>
      <c r="C17" s="787">
        <f t="shared" si="67"/>
        <v>242800</v>
      </c>
      <c r="D17" s="787">
        <f t="shared" si="67"/>
        <v>242800</v>
      </c>
      <c r="E17" s="787">
        <f t="shared" si="67"/>
        <v>168801</v>
      </c>
      <c r="F17" s="787">
        <f t="shared" si="67"/>
        <v>168801</v>
      </c>
      <c r="G17" s="787">
        <f t="shared" si="67"/>
        <v>207586</v>
      </c>
      <c r="H17" s="787">
        <f t="shared" si="68"/>
        <v>207586</v>
      </c>
      <c r="I17" s="787">
        <f t="shared" si="68"/>
        <v>240000</v>
      </c>
      <c r="J17" s="787">
        <f t="shared" si="68"/>
        <v>240000</v>
      </c>
      <c r="K17" s="787">
        <f t="shared" si="29"/>
        <v>32414</v>
      </c>
      <c r="L17" s="787">
        <f t="shared" si="1"/>
        <v>115.61473317083039</v>
      </c>
      <c r="M17" s="787">
        <f t="shared" si="30"/>
        <v>-35214</v>
      </c>
      <c r="N17" s="787">
        <f t="shared" si="2"/>
        <v>85.496705107084011</v>
      </c>
      <c r="O17" s="787">
        <v>9000</v>
      </c>
      <c r="P17" s="787">
        <f>O17</f>
        <v>9000</v>
      </c>
      <c r="Q17" s="787">
        <v>9320</v>
      </c>
      <c r="R17" s="787">
        <f>Q17</f>
        <v>9320</v>
      </c>
      <c r="S17" s="787">
        <v>9408</v>
      </c>
      <c r="T17" s="787">
        <f>+S17</f>
        <v>9408</v>
      </c>
      <c r="U17" s="787">
        <v>10500</v>
      </c>
      <c r="V17" s="787">
        <f>U17</f>
        <v>10500</v>
      </c>
      <c r="W17" s="787">
        <f>+U17-S17</f>
        <v>1092</v>
      </c>
      <c r="X17" s="787">
        <f>+U17/S17*100</f>
        <v>111.60714285714286</v>
      </c>
      <c r="Y17" s="787">
        <f>+S17-O17</f>
        <v>408</v>
      </c>
      <c r="Z17" s="787">
        <f>+S17/O17*100</f>
        <v>104.53333333333332</v>
      </c>
      <c r="AA17" s="787">
        <v>13000</v>
      </c>
      <c r="AB17" s="787">
        <f>AA17</f>
        <v>13000</v>
      </c>
      <c r="AC17" s="787">
        <v>12126</v>
      </c>
      <c r="AD17" s="787">
        <f>AC17</f>
        <v>12126</v>
      </c>
      <c r="AE17" s="787">
        <v>13000</v>
      </c>
      <c r="AF17" s="787">
        <f>+AE17</f>
        <v>13000</v>
      </c>
      <c r="AG17" s="787">
        <v>16000</v>
      </c>
      <c r="AH17" s="787">
        <f>AG17</f>
        <v>16000</v>
      </c>
      <c r="AI17" s="787">
        <f t="shared" si="35"/>
        <v>3000</v>
      </c>
      <c r="AJ17" s="787">
        <f>+AG17/AE17*100</f>
        <v>123.07692307692308</v>
      </c>
      <c r="AK17" s="787">
        <f t="shared" si="69"/>
        <v>0</v>
      </c>
      <c r="AL17" s="787">
        <f t="shared" si="36"/>
        <v>100</v>
      </c>
      <c r="AM17" s="787">
        <v>9000</v>
      </c>
      <c r="AN17" s="787">
        <f>AM17</f>
        <v>9000</v>
      </c>
      <c r="AO17" s="787">
        <v>7620</v>
      </c>
      <c r="AP17" s="787">
        <f>AO17</f>
        <v>7620</v>
      </c>
      <c r="AQ17" s="787">
        <v>9100</v>
      </c>
      <c r="AR17" s="787">
        <f>+AQ17</f>
        <v>9100</v>
      </c>
      <c r="AS17" s="787">
        <v>10000</v>
      </c>
      <c r="AT17" s="787">
        <f>AS17</f>
        <v>10000</v>
      </c>
      <c r="AU17" s="787">
        <f t="shared" si="38"/>
        <v>900</v>
      </c>
      <c r="AV17" s="787">
        <f>+AS17/AQ17*100</f>
        <v>109.8901098901099</v>
      </c>
      <c r="AW17" s="787">
        <f t="shared" si="39"/>
        <v>100</v>
      </c>
      <c r="AX17" s="787">
        <f>+AQ17/AM17*100</f>
        <v>101.11111111111111</v>
      </c>
      <c r="AY17" s="787">
        <v>11000</v>
      </c>
      <c r="AZ17" s="787">
        <f>AY17</f>
        <v>11000</v>
      </c>
      <c r="BA17" s="787">
        <v>9047</v>
      </c>
      <c r="BB17" s="787">
        <f>BA17</f>
        <v>9047</v>
      </c>
      <c r="BC17" s="787">
        <v>11000</v>
      </c>
      <c r="BD17" s="787">
        <f>+BC17</f>
        <v>11000</v>
      </c>
      <c r="BE17" s="787">
        <v>13000</v>
      </c>
      <c r="BF17" s="787">
        <f>BE17</f>
        <v>13000</v>
      </c>
      <c r="BG17" s="787">
        <f>+BE17-BC17</f>
        <v>2000</v>
      </c>
      <c r="BH17" s="787">
        <f>+BE17/BC17*100</f>
        <v>118.18181818181819</v>
      </c>
      <c r="BI17" s="787">
        <f>+BC17-AY17</f>
        <v>0</v>
      </c>
      <c r="BJ17" s="787">
        <f>+BC17/AY17*100</f>
        <v>100</v>
      </c>
      <c r="BK17" s="787">
        <v>14000</v>
      </c>
      <c r="BL17" s="787">
        <f>BK17</f>
        <v>14000</v>
      </c>
      <c r="BM17" s="787">
        <v>10864</v>
      </c>
      <c r="BN17" s="787">
        <f>BM17</f>
        <v>10864</v>
      </c>
      <c r="BO17" s="787">
        <v>14480</v>
      </c>
      <c r="BP17" s="787">
        <f>+BO17</f>
        <v>14480</v>
      </c>
      <c r="BQ17" s="787">
        <v>15500</v>
      </c>
      <c r="BR17" s="787">
        <f>BQ17</f>
        <v>15500</v>
      </c>
      <c r="BS17" s="787">
        <f t="shared" si="44"/>
        <v>1020</v>
      </c>
      <c r="BT17" s="787">
        <f>+BQ17/BO17*100</f>
        <v>107.04419889502763</v>
      </c>
      <c r="BU17" s="787">
        <f t="shared" si="45"/>
        <v>480</v>
      </c>
      <c r="BV17" s="787">
        <f>+BO17/BK17*100</f>
        <v>103.42857142857143</v>
      </c>
      <c r="BW17" s="787">
        <v>62000</v>
      </c>
      <c r="BX17" s="787">
        <f>BW17</f>
        <v>62000</v>
      </c>
      <c r="BY17" s="787">
        <v>30941</v>
      </c>
      <c r="BZ17" s="787">
        <f>BY17</f>
        <v>30941</v>
      </c>
      <c r="CA17" s="787">
        <v>40000</v>
      </c>
      <c r="CB17" s="787">
        <f>+CA17</f>
        <v>40000</v>
      </c>
      <c r="CC17" s="787">
        <v>46500</v>
      </c>
      <c r="CD17" s="787">
        <f>CC17</f>
        <v>46500</v>
      </c>
      <c r="CE17" s="787">
        <f t="shared" si="47"/>
        <v>6500</v>
      </c>
      <c r="CF17" s="787">
        <f>+CC17/CA17*100</f>
        <v>116.25000000000001</v>
      </c>
      <c r="CG17" s="787">
        <f t="shared" si="48"/>
        <v>-22000</v>
      </c>
      <c r="CH17" s="787">
        <f>+CA17/BW17*100</f>
        <v>64.516129032258064</v>
      </c>
      <c r="CI17" s="787">
        <v>22000</v>
      </c>
      <c r="CJ17" s="787">
        <f>CI17</f>
        <v>22000</v>
      </c>
      <c r="CK17" s="787">
        <v>17548</v>
      </c>
      <c r="CL17" s="787">
        <f>CK17</f>
        <v>17548</v>
      </c>
      <c r="CM17" s="787">
        <v>22000</v>
      </c>
      <c r="CN17" s="787">
        <f>+CM17</f>
        <v>22000</v>
      </c>
      <c r="CO17" s="787">
        <v>23000</v>
      </c>
      <c r="CP17" s="787">
        <f>CO17</f>
        <v>23000</v>
      </c>
      <c r="CQ17" s="787">
        <f>+CO17-CM17</f>
        <v>1000</v>
      </c>
      <c r="CR17" s="787">
        <f>+CO17/CM17*100</f>
        <v>104.54545454545455</v>
      </c>
      <c r="CS17" s="787">
        <f>+CM17-CI17</f>
        <v>0</v>
      </c>
      <c r="CT17" s="787">
        <f>+CM17/CI17*100</f>
        <v>100</v>
      </c>
      <c r="CU17" s="787">
        <v>18000</v>
      </c>
      <c r="CV17" s="787">
        <f>CU17</f>
        <v>18000</v>
      </c>
      <c r="CW17" s="787">
        <v>11960</v>
      </c>
      <c r="CX17" s="787">
        <f>CW17</f>
        <v>11960</v>
      </c>
      <c r="CY17" s="787">
        <v>14000</v>
      </c>
      <c r="CZ17" s="787">
        <f>+CY17</f>
        <v>14000</v>
      </c>
      <c r="DA17" s="787">
        <v>18000</v>
      </c>
      <c r="DB17" s="787">
        <f>DA17</f>
        <v>18000</v>
      </c>
      <c r="DC17" s="787">
        <f t="shared" si="53"/>
        <v>4000</v>
      </c>
      <c r="DD17" s="787">
        <f>+DA17/CY17*100</f>
        <v>128.57142857142858</v>
      </c>
      <c r="DE17" s="787">
        <f t="shared" si="54"/>
        <v>-4000</v>
      </c>
      <c r="DF17" s="787">
        <f>+CY17/CU17*100</f>
        <v>77.777777777777786</v>
      </c>
      <c r="DG17" s="787">
        <v>20600</v>
      </c>
      <c r="DH17" s="787">
        <f>DG17</f>
        <v>20600</v>
      </c>
      <c r="DI17" s="787">
        <v>12939</v>
      </c>
      <c r="DJ17" s="787">
        <f>DI17</f>
        <v>12939</v>
      </c>
      <c r="DK17" s="787">
        <v>16598</v>
      </c>
      <c r="DL17" s="787">
        <f>+DK17</f>
        <v>16598</v>
      </c>
      <c r="DM17" s="787">
        <v>19000</v>
      </c>
      <c r="DN17" s="787">
        <f>DM17</f>
        <v>19000</v>
      </c>
      <c r="DO17" s="787">
        <f>+DM17-DK17</f>
        <v>2402</v>
      </c>
      <c r="DP17" s="787">
        <f>+DM17/DK17*100</f>
        <v>114.47162308711893</v>
      </c>
      <c r="DQ17" s="787">
        <f>+DK17-DG17</f>
        <v>-4002</v>
      </c>
      <c r="DR17" s="787">
        <f>+DK17/DG17*100</f>
        <v>80.572815533980574</v>
      </c>
      <c r="DS17" s="787">
        <v>18200</v>
      </c>
      <c r="DT17" s="787">
        <f>DS17</f>
        <v>18200</v>
      </c>
      <c r="DU17" s="787">
        <v>12887</v>
      </c>
      <c r="DV17" s="787">
        <f>DU17</f>
        <v>12887</v>
      </c>
      <c r="DW17" s="787">
        <v>16000</v>
      </c>
      <c r="DX17" s="787">
        <f>+DW17</f>
        <v>16000</v>
      </c>
      <c r="DY17" s="787">
        <v>18500</v>
      </c>
      <c r="DZ17" s="787">
        <f>DY17</f>
        <v>18500</v>
      </c>
      <c r="EA17" s="787">
        <f t="shared" si="59"/>
        <v>2500</v>
      </c>
      <c r="EB17" s="787">
        <f>+DY17/DW17*100</f>
        <v>115.625</v>
      </c>
      <c r="EC17" s="787">
        <f t="shared" si="60"/>
        <v>-2200</v>
      </c>
      <c r="ED17" s="787">
        <f>+DW17/DS17*100</f>
        <v>87.912087912087912</v>
      </c>
      <c r="EE17" s="787">
        <v>34000</v>
      </c>
      <c r="EF17" s="787">
        <f>EE17</f>
        <v>34000</v>
      </c>
      <c r="EG17" s="787">
        <v>22898</v>
      </c>
      <c r="EH17" s="787">
        <f>EG17</f>
        <v>22898</v>
      </c>
      <c r="EI17" s="787">
        <v>30000</v>
      </c>
      <c r="EJ17" s="787">
        <f>+EI17</f>
        <v>30000</v>
      </c>
      <c r="EK17" s="787">
        <v>36000</v>
      </c>
      <c r="EL17" s="787">
        <f>EK17</f>
        <v>36000</v>
      </c>
      <c r="EM17" s="787">
        <f>+EK17-EI17</f>
        <v>6000</v>
      </c>
      <c r="EN17" s="787">
        <f>+EK17/EI17*100</f>
        <v>120</v>
      </c>
      <c r="EO17" s="787">
        <f>+EI17-EE17</f>
        <v>-4000</v>
      </c>
      <c r="EP17" s="787">
        <f>+EI17/EE17*100</f>
        <v>88.235294117647058</v>
      </c>
      <c r="EQ17" s="787">
        <v>12000</v>
      </c>
      <c r="ER17" s="787">
        <f>EQ17</f>
        <v>12000</v>
      </c>
      <c r="ES17" s="787">
        <v>10651</v>
      </c>
      <c r="ET17" s="787">
        <f>ES17</f>
        <v>10651</v>
      </c>
      <c r="EU17" s="787">
        <v>12000</v>
      </c>
      <c r="EV17" s="787">
        <f>+EU17</f>
        <v>12000</v>
      </c>
      <c r="EW17" s="787">
        <v>14000</v>
      </c>
      <c r="EX17" s="787">
        <f>EW17</f>
        <v>14000</v>
      </c>
      <c r="EY17" s="787">
        <f t="shared" si="65"/>
        <v>2000</v>
      </c>
      <c r="EZ17" s="787">
        <f>+EW17/EU17*100</f>
        <v>116.66666666666667</v>
      </c>
      <c r="FA17" s="787">
        <f t="shared" si="66"/>
        <v>0</v>
      </c>
      <c r="FB17" s="787">
        <f>+EU17/EQ17*100</f>
        <v>100</v>
      </c>
    </row>
    <row r="18" spans="1:158" s="168" customFormat="1" x14ac:dyDescent="0.25">
      <c r="A18" s="166">
        <v>4</v>
      </c>
      <c r="B18" s="255" t="s">
        <v>45</v>
      </c>
      <c r="C18" s="787">
        <f t="shared" si="67"/>
        <v>0</v>
      </c>
      <c r="D18" s="787">
        <f t="shared" si="67"/>
        <v>0</v>
      </c>
      <c r="E18" s="787">
        <f t="shared" si="67"/>
        <v>476.05682000000002</v>
      </c>
      <c r="F18" s="787">
        <f t="shared" si="67"/>
        <v>476.05682000000002</v>
      </c>
      <c r="G18" s="787">
        <f t="shared" si="67"/>
        <v>450</v>
      </c>
      <c r="H18" s="787">
        <f t="shared" si="68"/>
        <v>450</v>
      </c>
      <c r="I18" s="787">
        <f t="shared" si="68"/>
        <v>0</v>
      </c>
      <c r="J18" s="787">
        <f t="shared" si="68"/>
        <v>0</v>
      </c>
      <c r="K18" s="787">
        <f t="shared" si="29"/>
        <v>-450</v>
      </c>
      <c r="L18" s="787">
        <f t="shared" si="1"/>
        <v>0</v>
      </c>
      <c r="M18" s="787">
        <f t="shared" si="30"/>
        <v>450</v>
      </c>
      <c r="N18" s="787"/>
      <c r="O18" s="787">
        <v>0</v>
      </c>
      <c r="P18" s="787">
        <f>O18</f>
        <v>0</v>
      </c>
      <c r="Q18" s="787">
        <v>0</v>
      </c>
      <c r="R18" s="787">
        <f>Q18</f>
        <v>0</v>
      </c>
      <c r="S18" s="787"/>
      <c r="T18" s="787">
        <f>+S18</f>
        <v>0</v>
      </c>
      <c r="U18" s="787">
        <v>0</v>
      </c>
      <c r="V18" s="787">
        <f>U18</f>
        <v>0</v>
      </c>
      <c r="W18" s="787">
        <f>+U18-S18</f>
        <v>0</v>
      </c>
      <c r="X18" s="787"/>
      <c r="Y18" s="787">
        <f>+S18-O18</f>
        <v>0</v>
      </c>
      <c r="Z18" s="787"/>
      <c r="AA18" s="787">
        <v>0</v>
      </c>
      <c r="AB18" s="787">
        <f>AA18</f>
        <v>0</v>
      </c>
      <c r="AC18" s="787">
        <v>0</v>
      </c>
      <c r="AD18" s="787">
        <f>AC18</f>
        <v>0</v>
      </c>
      <c r="AE18" s="787"/>
      <c r="AF18" s="787">
        <f>+AE18</f>
        <v>0</v>
      </c>
      <c r="AG18" s="787">
        <v>0</v>
      </c>
      <c r="AH18" s="787">
        <f>AG18</f>
        <v>0</v>
      </c>
      <c r="AI18" s="787">
        <f t="shared" si="35"/>
        <v>0</v>
      </c>
      <c r="AJ18" s="787"/>
      <c r="AK18" s="787">
        <f t="shared" si="69"/>
        <v>0</v>
      </c>
      <c r="AL18" s="787"/>
      <c r="AM18" s="787">
        <v>0</v>
      </c>
      <c r="AN18" s="787">
        <f>AM18</f>
        <v>0</v>
      </c>
      <c r="AO18" s="787">
        <v>0</v>
      </c>
      <c r="AP18" s="787">
        <f>AO18</f>
        <v>0</v>
      </c>
      <c r="AQ18" s="787">
        <v>0</v>
      </c>
      <c r="AR18" s="787">
        <f>+AQ18</f>
        <v>0</v>
      </c>
      <c r="AS18" s="787">
        <v>0</v>
      </c>
      <c r="AT18" s="787">
        <f>AS18</f>
        <v>0</v>
      </c>
      <c r="AU18" s="787">
        <f t="shared" si="38"/>
        <v>0</v>
      </c>
      <c r="AV18" s="787"/>
      <c r="AW18" s="787">
        <f t="shared" si="39"/>
        <v>0</v>
      </c>
      <c r="AX18" s="787"/>
      <c r="AY18" s="787">
        <v>0</v>
      </c>
      <c r="AZ18" s="787">
        <f>AY18</f>
        <v>0</v>
      </c>
      <c r="BA18" s="787">
        <v>0</v>
      </c>
      <c r="BB18" s="787">
        <f>BA18</f>
        <v>0</v>
      </c>
      <c r="BC18" s="787">
        <v>0</v>
      </c>
      <c r="BD18" s="787">
        <f>+BC18</f>
        <v>0</v>
      </c>
      <c r="BE18" s="787">
        <v>0</v>
      </c>
      <c r="BF18" s="787">
        <f>BE18</f>
        <v>0</v>
      </c>
      <c r="BG18" s="787">
        <f>+BE18-BC18</f>
        <v>0</v>
      </c>
      <c r="BH18" s="787"/>
      <c r="BI18" s="787">
        <f>+BC18-AY18</f>
        <v>0</v>
      </c>
      <c r="BJ18" s="787"/>
      <c r="BK18" s="787">
        <v>0</v>
      </c>
      <c r="BL18" s="787">
        <f>BK18</f>
        <v>0</v>
      </c>
      <c r="BM18" s="787">
        <v>0</v>
      </c>
      <c r="BN18" s="787">
        <f>BM18</f>
        <v>0</v>
      </c>
      <c r="BO18" s="787">
        <f>+BM18/7*12</f>
        <v>0</v>
      </c>
      <c r="BP18" s="787">
        <f>+BO18</f>
        <v>0</v>
      </c>
      <c r="BQ18" s="787">
        <v>0</v>
      </c>
      <c r="BR18" s="787">
        <f>BQ18</f>
        <v>0</v>
      </c>
      <c r="BS18" s="787">
        <f t="shared" si="44"/>
        <v>0</v>
      </c>
      <c r="BT18" s="787"/>
      <c r="BU18" s="787">
        <f t="shared" si="45"/>
        <v>0</v>
      </c>
      <c r="BV18" s="787"/>
      <c r="BW18" s="787">
        <v>0</v>
      </c>
      <c r="BX18" s="787">
        <f>BW18</f>
        <v>0</v>
      </c>
      <c r="BY18" s="787">
        <v>0</v>
      </c>
      <c r="BZ18" s="787">
        <f>BY18</f>
        <v>0</v>
      </c>
      <c r="CA18" s="787">
        <v>0</v>
      </c>
      <c r="CB18" s="787">
        <f>+CA18</f>
        <v>0</v>
      </c>
      <c r="CC18" s="787">
        <v>0</v>
      </c>
      <c r="CD18" s="787">
        <f>CC18</f>
        <v>0</v>
      </c>
      <c r="CE18" s="787">
        <f t="shared" si="47"/>
        <v>0</v>
      </c>
      <c r="CF18" s="787"/>
      <c r="CG18" s="787">
        <f t="shared" si="48"/>
        <v>0</v>
      </c>
      <c r="CH18" s="787"/>
      <c r="CI18" s="787">
        <v>0</v>
      </c>
      <c r="CJ18" s="787">
        <f>CI18</f>
        <v>0</v>
      </c>
      <c r="CK18" s="787">
        <v>472</v>
      </c>
      <c r="CL18" s="787">
        <f>CK18</f>
        <v>472</v>
      </c>
      <c r="CM18" s="787">
        <v>450</v>
      </c>
      <c r="CN18" s="787">
        <f>+CM18</f>
        <v>450</v>
      </c>
      <c r="CO18" s="787">
        <v>0</v>
      </c>
      <c r="CP18" s="787">
        <f>CO18</f>
        <v>0</v>
      </c>
      <c r="CQ18" s="787">
        <f>+CO18-CM18</f>
        <v>-450</v>
      </c>
      <c r="CR18" s="787"/>
      <c r="CS18" s="787">
        <f>+CM18-CI18</f>
        <v>450</v>
      </c>
      <c r="CT18" s="787"/>
      <c r="CU18" s="787">
        <v>0</v>
      </c>
      <c r="CV18" s="787">
        <f>CU18</f>
        <v>0</v>
      </c>
      <c r="CW18" s="787">
        <f>56820/1000000</f>
        <v>5.6820000000000002E-2</v>
      </c>
      <c r="CX18" s="787">
        <f>CW18</f>
        <v>5.6820000000000002E-2</v>
      </c>
      <c r="CY18" s="787"/>
      <c r="CZ18" s="787">
        <f>+CY18</f>
        <v>0</v>
      </c>
      <c r="DA18" s="787">
        <v>0</v>
      </c>
      <c r="DB18" s="787">
        <f>DA18</f>
        <v>0</v>
      </c>
      <c r="DC18" s="787">
        <f t="shared" si="53"/>
        <v>0</v>
      </c>
      <c r="DD18" s="787"/>
      <c r="DE18" s="787">
        <f t="shared" si="54"/>
        <v>0</v>
      </c>
      <c r="DF18" s="787"/>
      <c r="DG18" s="787">
        <v>0</v>
      </c>
      <c r="DH18" s="787">
        <f>DG18</f>
        <v>0</v>
      </c>
      <c r="DI18" s="787">
        <v>4</v>
      </c>
      <c r="DJ18" s="787">
        <f>DI18</f>
        <v>4</v>
      </c>
      <c r="DK18" s="787">
        <v>0</v>
      </c>
      <c r="DL18" s="787">
        <f>+DK18</f>
        <v>0</v>
      </c>
      <c r="DM18" s="787">
        <v>0</v>
      </c>
      <c r="DN18" s="787">
        <f>DM18</f>
        <v>0</v>
      </c>
      <c r="DO18" s="787">
        <f>+DM18-DK18</f>
        <v>0</v>
      </c>
      <c r="DP18" s="787"/>
      <c r="DQ18" s="787">
        <f>+DK18-DG18</f>
        <v>0</v>
      </c>
      <c r="DR18" s="787"/>
      <c r="DS18" s="787">
        <v>0</v>
      </c>
      <c r="DT18" s="787">
        <f>DS18</f>
        <v>0</v>
      </c>
      <c r="DU18" s="787">
        <v>0</v>
      </c>
      <c r="DV18" s="787">
        <f>DU18</f>
        <v>0</v>
      </c>
      <c r="DW18" s="787">
        <v>0</v>
      </c>
      <c r="DX18" s="787">
        <f>+DW18</f>
        <v>0</v>
      </c>
      <c r="DY18" s="787">
        <v>0</v>
      </c>
      <c r="DZ18" s="787">
        <f>DY18</f>
        <v>0</v>
      </c>
      <c r="EA18" s="787">
        <f t="shared" si="59"/>
        <v>0</v>
      </c>
      <c r="EB18" s="787"/>
      <c r="EC18" s="787">
        <f t="shared" si="60"/>
        <v>0</v>
      </c>
      <c r="ED18" s="787"/>
      <c r="EE18" s="787">
        <v>0</v>
      </c>
      <c r="EF18" s="787">
        <f>EE18</f>
        <v>0</v>
      </c>
      <c r="EG18" s="787">
        <v>0</v>
      </c>
      <c r="EH18" s="787">
        <f>EG18</f>
        <v>0</v>
      </c>
      <c r="EI18" s="787">
        <v>0</v>
      </c>
      <c r="EJ18" s="787">
        <f>+EI18</f>
        <v>0</v>
      </c>
      <c r="EK18" s="787">
        <v>0</v>
      </c>
      <c r="EL18" s="787">
        <f>EK18</f>
        <v>0</v>
      </c>
      <c r="EM18" s="787">
        <f>+EK18-EI18</f>
        <v>0</v>
      </c>
      <c r="EN18" s="787"/>
      <c r="EO18" s="787">
        <f>+EI18-EE18</f>
        <v>0</v>
      </c>
      <c r="EP18" s="787"/>
      <c r="EQ18" s="787">
        <v>0</v>
      </c>
      <c r="ER18" s="787">
        <f>EQ18</f>
        <v>0</v>
      </c>
      <c r="ES18" s="787">
        <v>0</v>
      </c>
      <c r="ET18" s="787">
        <f>ES18</f>
        <v>0</v>
      </c>
      <c r="EU18" s="787">
        <v>0</v>
      </c>
      <c r="EV18" s="787">
        <f>+EU18</f>
        <v>0</v>
      </c>
      <c r="EW18" s="787">
        <v>0</v>
      </c>
      <c r="EX18" s="787">
        <f>EW18</f>
        <v>0</v>
      </c>
      <c r="EY18" s="787">
        <f t="shared" si="65"/>
        <v>0</v>
      </c>
      <c r="EZ18" s="787"/>
      <c r="FA18" s="787">
        <f t="shared" si="66"/>
        <v>0</v>
      </c>
      <c r="FB18" s="787"/>
    </row>
    <row r="19" spans="1:158" s="168" customFormat="1" x14ac:dyDescent="0.25">
      <c r="A19" s="166">
        <v>5</v>
      </c>
      <c r="B19" s="255" t="s">
        <v>129</v>
      </c>
      <c r="C19" s="787">
        <f t="shared" si="67"/>
        <v>8500</v>
      </c>
      <c r="D19" s="787">
        <f t="shared" si="67"/>
        <v>8500</v>
      </c>
      <c r="E19" s="787">
        <f t="shared" si="67"/>
        <v>8612</v>
      </c>
      <c r="F19" s="787">
        <f t="shared" si="67"/>
        <v>8612</v>
      </c>
      <c r="G19" s="787">
        <f t="shared" si="67"/>
        <v>10245</v>
      </c>
      <c r="H19" s="787">
        <f t="shared" si="68"/>
        <v>10245</v>
      </c>
      <c r="I19" s="787">
        <f t="shared" si="68"/>
        <v>6000</v>
      </c>
      <c r="J19" s="787">
        <f t="shared" si="68"/>
        <v>6000</v>
      </c>
      <c r="K19" s="787">
        <f t="shared" si="29"/>
        <v>-4245</v>
      </c>
      <c r="L19" s="787">
        <f t="shared" si="1"/>
        <v>58.565153733528554</v>
      </c>
      <c r="M19" s="787">
        <f t="shared" si="30"/>
        <v>1745</v>
      </c>
      <c r="N19" s="787">
        <f>+G19/C19*100</f>
        <v>120.52941176470588</v>
      </c>
      <c r="O19" s="787">
        <v>0</v>
      </c>
      <c r="P19" s="787">
        <f>O19</f>
        <v>0</v>
      </c>
      <c r="Q19" s="787">
        <v>3</v>
      </c>
      <c r="R19" s="787">
        <f>Q19</f>
        <v>3</v>
      </c>
      <c r="S19" s="787">
        <v>3</v>
      </c>
      <c r="T19" s="787">
        <f>S19</f>
        <v>3</v>
      </c>
      <c r="U19" s="787">
        <v>0</v>
      </c>
      <c r="V19" s="787">
        <f>U19</f>
        <v>0</v>
      </c>
      <c r="W19" s="787">
        <f>+U19-S19</f>
        <v>-3</v>
      </c>
      <c r="X19" s="787"/>
      <c r="Y19" s="787">
        <f>+S19-O19</f>
        <v>3</v>
      </c>
      <c r="Z19" s="787">
        <v>160</v>
      </c>
      <c r="AA19" s="787">
        <v>150</v>
      </c>
      <c r="AB19" s="787">
        <f>AA19</f>
        <v>150</v>
      </c>
      <c r="AC19" s="787">
        <v>104</v>
      </c>
      <c r="AD19" s="787">
        <f>AC19</f>
        <v>104</v>
      </c>
      <c r="AE19" s="787">
        <v>100</v>
      </c>
      <c r="AF19" s="787">
        <f>AE19</f>
        <v>100</v>
      </c>
      <c r="AG19" s="787">
        <v>150</v>
      </c>
      <c r="AH19" s="787">
        <f>AG19</f>
        <v>150</v>
      </c>
      <c r="AI19" s="787">
        <f t="shared" si="35"/>
        <v>50</v>
      </c>
      <c r="AJ19" s="787">
        <f>+AG19/AE19*100</f>
        <v>150</v>
      </c>
      <c r="AK19" s="787">
        <f t="shared" si="69"/>
        <v>-50</v>
      </c>
      <c r="AL19" s="787">
        <v>160</v>
      </c>
      <c r="AM19" s="787">
        <v>50</v>
      </c>
      <c r="AN19" s="787">
        <f>AM19</f>
        <v>50</v>
      </c>
      <c r="AO19" s="787">
        <v>78</v>
      </c>
      <c r="AP19" s="787">
        <f>AO19</f>
        <v>78</v>
      </c>
      <c r="AQ19" s="787">
        <v>50</v>
      </c>
      <c r="AR19" s="787">
        <f>AQ19</f>
        <v>50</v>
      </c>
      <c r="AS19" s="787">
        <v>50</v>
      </c>
      <c r="AT19" s="787">
        <f>AS19</f>
        <v>50</v>
      </c>
      <c r="AU19" s="787">
        <f t="shared" si="38"/>
        <v>0</v>
      </c>
      <c r="AV19" s="787">
        <f>+AS19/AQ19*100</f>
        <v>100</v>
      </c>
      <c r="AW19" s="787">
        <f t="shared" si="39"/>
        <v>0</v>
      </c>
      <c r="AX19" s="787">
        <v>160</v>
      </c>
      <c r="AY19" s="787">
        <v>100</v>
      </c>
      <c r="AZ19" s="787">
        <f>AY19</f>
        <v>100</v>
      </c>
      <c r="BA19" s="787">
        <v>70</v>
      </c>
      <c r="BB19" s="787">
        <f>BA19</f>
        <v>70</v>
      </c>
      <c r="BC19" s="787">
        <v>100</v>
      </c>
      <c r="BD19" s="787">
        <f>BC19</f>
        <v>100</v>
      </c>
      <c r="BE19" s="787">
        <v>100</v>
      </c>
      <c r="BF19" s="787">
        <f>BE19</f>
        <v>100</v>
      </c>
      <c r="BG19" s="787">
        <f>+BE19-BC19</f>
        <v>0</v>
      </c>
      <c r="BH19" s="787">
        <f>+BE19/BC19*100</f>
        <v>100</v>
      </c>
      <c r="BI19" s="787">
        <f>+BC19-AY19</f>
        <v>0</v>
      </c>
      <c r="BJ19" s="787">
        <v>160</v>
      </c>
      <c r="BK19" s="787">
        <v>300</v>
      </c>
      <c r="BL19" s="787">
        <f>BK19</f>
        <v>300</v>
      </c>
      <c r="BM19" s="787">
        <v>616</v>
      </c>
      <c r="BN19" s="787">
        <f>BM19</f>
        <v>616</v>
      </c>
      <c r="BO19" s="787">
        <v>500</v>
      </c>
      <c r="BP19" s="787">
        <f>BO19</f>
        <v>500</v>
      </c>
      <c r="BQ19" s="787">
        <v>300</v>
      </c>
      <c r="BR19" s="787">
        <f>BQ19</f>
        <v>300</v>
      </c>
      <c r="BS19" s="787">
        <f t="shared" si="44"/>
        <v>-200</v>
      </c>
      <c r="BT19" s="787">
        <f>+BQ19/BO19*100</f>
        <v>60</v>
      </c>
      <c r="BU19" s="787">
        <f t="shared" si="45"/>
        <v>200</v>
      </c>
      <c r="BV19" s="787">
        <v>160</v>
      </c>
      <c r="BW19" s="787">
        <v>3000</v>
      </c>
      <c r="BX19" s="787">
        <f>BW19</f>
        <v>3000</v>
      </c>
      <c r="BY19" s="787">
        <v>2847</v>
      </c>
      <c r="BZ19" s="787">
        <f>BY19</f>
        <v>2847</v>
      </c>
      <c r="CA19" s="787">
        <v>3670</v>
      </c>
      <c r="CB19" s="787">
        <f>CA19</f>
        <v>3670</v>
      </c>
      <c r="CC19" s="892">
        <f>2500-1000</f>
        <v>1500</v>
      </c>
      <c r="CD19" s="787">
        <f>CC19</f>
        <v>1500</v>
      </c>
      <c r="CE19" s="787">
        <f t="shared" si="47"/>
        <v>-2170</v>
      </c>
      <c r="CF19" s="787">
        <f>+CC19/CA19*100</f>
        <v>40.871934604904631</v>
      </c>
      <c r="CG19" s="787">
        <f t="shared" si="48"/>
        <v>670</v>
      </c>
      <c r="CH19" s="787">
        <v>160</v>
      </c>
      <c r="CI19" s="787">
        <v>1000</v>
      </c>
      <c r="CJ19" s="787">
        <f>CI19</f>
        <v>1000</v>
      </c>
      <c r="CK19" s="787">
        <v>975</v>
      </c>
      <c r="CL19" s="787">
        <f>CK19</f>
        <v>975</v>
      </c>
      <c r="CM19" s="787">
        <v>1105</v>
      </c>
      <c r="CN19" s="787">
        <f>CM19</f>
        <v>1105</v>
      </c>
      <c r="CO19" s="892">
        <f>1000-500</f>
        <v>500</v>
      </c>
      <c r="CP19" s="787">
        <f>CO19</f>
        <v>500</v>
      </c>
      <c r="CQ19" s="787">
        <f>+CO19-CM19</f>
        <v>-605</v>
      </c>
      <c r="CR19" s="787">
        <f>+CO19/CM19*100</f>
        <v>45.248868778280546</v>
      </c>
      <c r="CS19" s="787">
        <f>+CM19-CI19</f>
        <v>105</v>
      </c>
      <c r="CT19" s="787">
        <v>160</v>
      </c>
      <c r="CU19" s="787">
        <v>550</v>
      </c>
      <c r="CV19" s="787">
        <f>CU19</f>
        <v>550</v>
      </c>
      <c r="CW19" s="787">
        <v>547</v>
      </c>
      <c r="CX19" s="787">
        <f>CW19</f>
        <v>547</v>
      </c>
      <c r="CY19" s="787">
        <v>550</v>
      </c>
      <c r="CZ19" s="787">
        <f>CY19</f>
        <v>550</v>
      </c>
      <c r="DA19" s="787">
        <v>550</v>
      </c>
      <c r="DB19" s="787">
        <f>DA19</f>
        <v>550</v>
      </c>
      <c r="DC19" s="787">
        <f t="shared" si="53"/>
        <v>0</v>
      </c>
      <c r="DD19" s="787">
        <f>+DA19/CY19*100</f>
        <v>100</v>
      </c>
      <c r="DE19" s="787">
        <f t="shared" si="54"/>
        <v>0</v>
      </c>
      <c r="DF19" s="787">
        <v>160</v>
      </c>
      <c r="DG19" s="787">
        <v>500</v>
      </c>
      <c r="DH19" s="787">
        <f>DG19</f>
        <v>500</v>
      </c>
      <c r="DI19" s="787">
        <v>546</v>
      </c>
      <c r="DJ19" s="787">
        <f>DI19</f>
        <v>546</v>
      </c>
      <c r="DK19" s="787">
        <v>517</v>
      </c>
      <c r="DL19" s="787">
        <f>DK19</f>
        <v>517</v>
      </c>
      <c r="DM19" s="787">
        <v>500</v>
      </c>
      <c r="DN19" s="787">
        <f>DM19</f>
        <v>500</v>
      </c>
      <c r="DO19" s="787">
        <f>+DM19-DK19</f>
        <v>-17</v>
      </c>
      <c r="DP19" s="787">
        <f>+DM19/DK19*100</f>
        <v>96.711798839458424</v>
      </c>
      <c r="DQ19" s="787">
        <f>+DK19-DG19</f>
        <v>17</v>
      </c>
      <c r="DR19" s="787">
        <v>160</v>
      </c>
      <c r="DS19" s="787">
        <v>500</v>
      </c>
      <c r="DT19" s="787">
        <f>DS19</f>
        <v>500</v>
      </c>
      <c r="DU19" s="787">
        <v>660</v>
      </c>
      <c r="DV19" s="787">
        <f>DU19</f>
        <v>660</v>
      </c>
      <c r="DW19" s="787">
        <v>800</v>
      </c>
      <c r="DX19" s="787">
        <f>DW19</f>
        <v>800</v>
      </c>
      <c r="DY19" s="787">
        <v>500</v>
      </c>
      <c r="DZ19" s="787">
        <f>DY19</f>
        <v>500</v>
      </c>
      <c r="EA19" s="787">
        <f t="shared" si="59"/>
        <v>-300</v>
      </c>
      <c r="EB19" s="787">
        <f>+DY19/DW19*100</f>
        <v>62.5</v>
      </c>
      <c r="EC19" s="787">
        <f t="shared" si="60"/>
        <v>300</v>
      </c>
      <c r="ED19" s="787">
        <v>160</v>
      </c>
      <c r="EE19" s="787">
        <v>2000</v>
      </c>
      <c r="EF19" s="787">
        <f>EE19</f>
        <v>2000</v>
      </c>
      <c r="EG19" s="787">
        <v>1761</v>
      </c>
      <c r="EH19" s="787">
        <f>EG19</f>
        <v>1761</v>
      </c>
      <c r="EI19" s="787">
        <v>2500</v>
      </c>
      <c r="EJ19" s="787">
        <f>EI19</f>
        <v>2500</v>
      </c>
      <c r="EK19" s="892">
        <f>2000-500</f>
        <v>1500</v>
      </c>
      <c r="EL19" s="787">
        <f>EK19</f>
        <v>1500</v>
      </c>
      <c r="EM19" s="787">
        <f>+EK19-EI19</f>
        <v>-1000</v>
      </c>
      <c r="EN19" s="787">
        <f>+EK19/EI19*100</f>
        <v>60</v>
      </c>
      <c r="EO19" s="787">
        <f>+EI19-EE19</f>
        <v>500</v>
      </c>
      <c r="EP19" s="787">
        <v>160</v>
      </c>
      <c r="EQ19" s="787">
        <v>350</v>
      </c>
      <c r="ER19" s="787">
        <f>EQ19</f>
        <v>350</v>
      </c>
      <c r="ES19" s="787">
        <v>405</v>
      </c>
      <c r="ET19" s="787">
        <f>ES19</f>
        <v>405</v>
      </c>
      <c r="EU19" s="787">
        <v>350</v>
      </c>
      <c r="EV19" s="787">
        <f>EU19</f>
        <v>350</v>
      </c>
      <c r="EW19" s="787">
        <v>350</v>
      </c>
      <c r="EX19" s="787">
        <f>EW19</f>
        <v>350</v>
      </c>
      <c r="EY19" s="787">
        <f t="shared" si="65"/>
        <v>0</v>
      </c>
      <c r="EZ19" s="787">
        <f>+EW19/EU19*100</f>
        <v>100</v>
      </c>
      <c r="FA19" s="787">
        <f t="shared" si="66"/>
        <v>0</v>
      </c>
      <c r="FB19" s="787">
        <v>160</v>
      </c>
    </row>
    <row r="20" spans="1:158" s="881" customFormat="1" x14ac:dyDescent="0.25">
      <c r="A20" s="878">
        <v>6</v>
      </c>
      <c r="B20" s="879" t="s">
        <v>212</v>
      </c>
      <c r="C20" s="880">
        <f t="shared" si="67"/>
        <v>175000</v>
      </c>
      <c r="D20" s="880">
        <f t="shared" si="67"/>
        <v>97500</v>
      </c>
      <c r="E20" s="880">
        <f t="shared" si="67"/>
        <v>75708</v>
      </c>
      <c r="F20" s="880">
        <f t="shared" si="67"/>
        <v>53361</v>
      </c>
      <c r="G20" s="880">
        <f t="shared" si="67"/>
        <v>145600</v>
      </c>
      <c r="H20" s="880">
        <f t="shared" si="68"/>
        <v>97100</v>
      </c>
      <c r="I20" s="880">
        <f t="shared" si="68"/>
        <v>106900</v>
      </c>
      <c r="J20" s="880">
        <f t="shared" si="68"/>
        <v>97900</v>
      </c>
      <c r="K20" s="880">
        <f t="shared" si="29"/>
        <v>-38700</v>
      </c>
      <c r="L20" s="880">
        <f t="shared" si="1"/>
        <v>73.420329670329664</v>
      </c>
      <c r="M20" s="880">
        <f t="shared" si="30"/>
        <v>-29400</v>
      </c>
      <c r="N20" s="880">
        <f>+G20/C20*100</f>
        <v>83.2</v>
      </c>
      <c r="O20" s="880">
        <f>SUM(O21:O23)</f>
        <v>8000</v>
      </c>
      <c r="P20" s="880">
        <f t="shared" ref="P20:V20" si="70">SUM(P21:P23)</f>
        <v>5000</v>
      </c>
      <c r="Q20" s="880">
        <f t="shared" si="70"/>
        <v>1807</v>
      </c>
      <c r="R20" s="880">
        <f t="shared" si="70"/>
        <v>1158</v>
      </c>
      <c r="S20" s="880">
        <f t="shared" si="70"/>
        <v>7000</v>
      </c>
      <c r="T20" s="880">
        <f t="shared" si="70"/>
        <v>5000</v>
      </c>
      <c r="U20" s="880">
        <f>SUM(U21:U23)</f>
        <v>6200</v>
      </c>
      <c r="V20" s="880">
        <f t="shared" si="70"/>
        <v>6200</v>
      </c>
      <c r="W20" s="880">
        <f>+U20-S20</f>
        <v>-800</v>
      </c>
      <c r="X20" s="880">
        <f>+U20/S20*100</f>
        <v>88.571428571428569</v>
      </c>
      <c r="Y20" s="880">
        <f>+S20-O20</f>
        <v>-1000</v>
      </c>
      <c r="Z20" s="880">
        <f>+S20/O20*100</f>
        <v>87.5</v>
      </c>
      <c r="AA20" s="880">
        <f t="shared" ref="AA20:AH20" si="71">SUM(AA21:AA23)</f>
        <v>12000</v>
      </c>
      <c r="AB20" s="880">
        <f t="shared" si="71"/>
        <v>5000</v>
      </c>
      <c r="AC20" s="880">
        <f t="shared" si="71"/>
        <v>6188</v>
      </c>
      <c r="AD20" s="880">
        <f t="shared" si="71"/>
        <v>2739</v>
      </c>
      <c r="AE20" s="880">
        <f t="shared" si="71"/>
        <v>9500</v>
      </c>
      <c r="AF20" s="880">
        <f t="shared" si="71"/>
        <v>5000</v>
      </c>
      <c r="AG20" s="880">
        <f t="shared" si="71"/>
        <v>7000</v>
      </c>
      <c r="AH20" s="880">
        <f t="shared" si="71"/>
        <v>3500</v>
      </c>
      <c r="AI20" s="880">
        <f t="shared" si="35"/>
        <v>-2500</v>
      </c>
      <c r="AJ20" s="880">
        <f>+AG20/AE20*100</f>
        <v>73.68421052631578</v>
      </c>
      <c r="AK20" s="880">
        <f t="shared" si="69"/>
        <v>-2500</v>
      </c>
      <c r="AL20" s="880">
        <f>+AE20/AA20*100</f>
        <v>79.166666666666657</v>
      </c>
      <c r="AM20" s="880">
        <f t="shared" ref="AM20:AT20" si="72">SUM(AM21:AM23)</f>
        <v>6000</v>
      </c>
      <c r="AN20" s="880">
        <f t="shared" si="72"/>
        <v>4000</v>
      </c>
      <c r="AO20" s="880">
        <f t="shared" si="72"/>
        <v>2083</v>
      </c>
      <c r="AP20" s="880">
        <f t="shared" si="72"/>
        <v>1316</v>
      </c>
      <c r="AQ20" s="880">
        <f t="shared" si="72"/>
        <v>5000</v>
      </c>
      <c r="AR20" s="880">
        <f t="shared" si="72"/>
        <v>3500</v>
      </c>
      <c r="AS20" s="880">
        <f t="shared" si="72"/>
        <v>3900</v>
      </c>
      <c r="AT20" s="880">
        <f t="shared" si="72"/>
        <v>3900</v>
      </c>
      <c r="AU20" s="880">
        <f t="shared" si="38"/>
        <v>-1100</v>
      </c>
      <c r="AV20" s="880">
        <f>+AS20/AQ20*100</f>
        <v>78</v>
      </c>
      <c r="AW20" s="880">
        <f t="shared" si="39"/>
        <v>-1000</v>
      </c>
      <c r="AX20" s="880">
        <f>+AQ20/AM20*100</f>
        <v>83.333333333333343</v>
      </c>
      <c r="AY20" s="880">
        <f t="shared" ref="AY20:BF20" si="73">SUM(AY21:AY23)</f>
        <v>12000</v>
      </c>
      <c r="AZ20" s="880">
        <f t="shared" si="73"/>
        <v>8000</v>
      </c>
      <c r="BA20" s="880">
        <f t="shared" si="73"/>
        <v>3286</v>
      </c>
      <c r="BB20" s="880">
        <f t="shared" si="73"/>
        <v>2302</v>
      </c>
      <c r="BC20" s="880">
        <f t="shared" si="73"/>
        <v>6000</v>
      </c>
      <c r="BD20" s="880">
        <f t="shared" si="73"/>
        <v>3500</v>
      </c>
      <c r="BE20" s="880">
        <f t="shared" si="73"/>
        <v>3500</v>
      </c>
      <c r="BF20" s="880">
        <f t="shared" si="73"/>
        <v>3500</v>
      </c>
      <c r="BG20" s="880">
        <f>+BE20-BC20</f>
        <v>-2500</v>
      </c>
      <c r="BH20" s="880">
        <f>+BE20/BC20*100</f>
        <v>58.333333333333336</v>
      </c>
      <c r="BI20" s="880">
        <f>+BC20-AY20</f>
        <v>-6000</v>
      </c>
      <c r="BJ20" s="880">
        <f>+BC20/AY20*100</f>
        <v>50</v>
      </c>
      <c r="BK20" s="880">
        <f t="shared" ref="BK20:BR20" si="74">SUM(BK21:BK23)</f>
        <v>15000</v>
      </c>
      <c r="BL20" s="880">
        <f t="shared" si="74"/>
        <v>8000</v>
      </c>
      <c r="BM20" s="880">
        <f t="shared" si="74"/>
        <v>3542</v>
      </c>
      <c r="BN20" s="880">
        <f t="shared" si="74"/>
        <v>2424</v>
      </c>
      <c r="BO20" s="880">
        <f t="shared" si="74"/>
        <v>10500</v>
      </c>
      <c r="BP20" s="880">
        <f t="shared" si="74"/>
        <v>8000</v>
      </c>
      <c r="BQ20" s="880">
        <f t="shared" si="74"/>
        <v>8600</v>
      </c>
      <c r="BR20" s="880">
        <f t="shared" si="74"/>
        <v>8600</v>
      </c>
      <c r="BS20" s="880">
        <f t="shared" si="44"/>
        <v>-1900</v>
      </c>
      <c r="BT20" s="880">
        <f>+BQ20/BO20*100</f>
        <v>81.904761904761898</v>
      </c>
      <c r="BU20" s="880">
        <f t="shared" si="45"/>
        <v>-4500</v>
      </c>
      <c r="BV20" s="880">
        <f>+BO20/BK20*100</f>
        <v>70</v>
      </c>
      <c r="BW20" s="880">
        <f t="shared" ref="BW20:CD20" si="75">SUM(BW21:BW23)</f>
        <v>41000</v>
      </c>
      <c r="BX20" s="880">
        <f t="shared" si="75"/>
        <v>11000</v>
      </c>
      <c r="BY20" s="880">
        <f t="shared" si="75"/>
        <v>19528</v>
      </c>
      <c r="BZ20" s="880">
        <f t="shared" si="75"/>
        <v>13945</v>
      </c>
      <c r="CA20" s="880">
        <f t="shared" si="75"/>
        <v>25000</v>
      </c>
      <c r="CB20" s="880">
        <f t="shared" si="75"/>
        <v>16000</v>
      </c>
      <c r="CC20" s="880">
        <f t="shared" si="75"/>
        <v>16000</v>
      </c>
      <c r="CD20" s="880">
        <f t="shared" si="75"/>
        <v>16000</v>
      </c>
      <c r="CE20" s="880">
        <f t="shared" si="47"/>
        <v>-9000</v>
      </c>
      <c r="CF20" s="880">
        <f>+CC20/CA20*100</f>
        <v>64</v>
      </c>
      <c r="CG20" s="880">
        <f t="shared" si="48"/>
        <v>-16000</v>
      </c>
      <c r="CH20" s="880">
        <f>+CA20/BW20*100</f>
        <v>60.975609756097562</v>
      </c>
      <c r="CI20" s="880">
        <f t="shared" ref="CI20:CP20" si="76">SUM(CI21:CI23)</f>
        <v>18000</v>
      </c>
      <c r="CJ20" s="880">
        <f t="shared" si="76"/>
        <v>12000</v>
      </c>
      <c r="CK20" s="880">
        <f t="shared" si="76"/>
        <v>8291</v>
      </c>
      <c r="CL20" s="880">
        <f t="shared" si="76"/>
        <v>6752</v>
      </c>
      <c r="CM20" s="880">
        <f t="shared" si="76"/>
        <v>15000</v>
      </c>
      <c r="CN20" s="880">
        <f t="shared" si="76"/>
        <v>11000</v>
      </c>
      <c r="CO20" s="880">
        <f t="shared" si="76"/>
        <v>11000</v>
      </c>
      <c r="CP20" s="880">
        <f t="shared" si="76"/>
        <v>11000</v>
      </c>
      <c r="CQ20" s="880">
        <f>+CO20-CM20</f>
        <v>-4000</v>
      </c>
      <c r="CR20" s="880">
        <f>+CO20/CM20*100</f>
        <v>73.333333333333329</v>
      </c>
      <c r="CS20" s="880">
        <f>+CM20-CI20</f>
        <v>-3000</v>
      </c>
      <c r="CT20" s="880">
        <f>+CM20/CI20*100</f>
        <v>83.333333333333343</v>
      </c>
      <c r="CU20" s="880">
        <f t="shared" ref="CU20:DB20" si="77">SUM(CU21:CU23)</f>
        <v>14000</v>
      </c>
      <c r="CV20" s="880">
        <f t="shared" si="77"/>
        <v>10000</v>
      </c>
      <c r="CW20" s="880">
        <f t="shared" si="77"/>
        <v>7893</v>
      </c>
      <c r="CX20" s="880">
        <f t="shared" si="77"/>
        <v>7002</v>
      </c>
      <c r="CY20" s="880">
        <f t="shared" si="77"/>
        <v>18000</v>
      </c>
      <c r="CZ20" s="880">
        <f t="shared" si="77"/>
        <v>14000</v>
      </c>
      <c r="DA20" s="880">
        <f t="shared" si="77"/>
        <v>14000</v>
      </c>
      <c r="DB20" s="880">
        <f t="shared" si="77"/>
        <v>14000</v>
      </c>
      <c r="DC20" s="880">
        <f t="shared" si="53"/>
        <v>-4000</v>
      </c>
      <c r="DD20" s="880">
        <f>+DA20/CY20*100</f>
        <v>77.777777777777786</v>
      </c>
      <c r="DE20" s="880">
        <f t="shared" si="54"/>
        <v>4000</v>
      </c>
      <c r="DF20" s="880">
        <f>+CY20/CU20*100</f>
        <v>128.57142857142858</v>
      </c>
      <c r="DG20" s="880">
        <f t="shared" ref="DG20:DN20" si="78">SUM(DG21:DG23)</f>
        <v>14500</v>
      </c>
      <c r="DH20" s="880">
        <f t="shared" si="78"/>
        <v>10500</v>
      </c>
      <c r="DI20" s="880">
        <f t="shared" si="78"/>
        <v>7012</v>
      </c>
      <c r="DJ20" s="880">
        <f t="shared" si="78"/>
        <v>5601</v>
      </c>
      <c r="DK20" s="880">
        <f t="shared" si="78"/>
        <v>15000</v>
      </c>
      <c r="DL20" s="880">
        <f t="shared" si="78"/>
        <v>10000</v>
      </c>
      <c r="DM20" s="880">
        <f t="shared" si="78"/>
        <v>10000</v>
      </c>
      <c r="DN20" s="880">
        <f t="shared" si="78"/>
        <v>10000</v>
      </c>
      <c r="DO20" s="880">
        <f>+DM20-DK20</f>
        <v>-5000</v>
      </c>
      <c r="DP20" s="880">
        <f>+DM20/DK20*100</f>
        <v>66.666666666666657</v>
      </c>
      <c r="DQ20" s="880">
        <f>+DK20-DG20</f>
        <v>500</v>
      </c>
      <c r="DR20" s="880">
        <f>+DK20/DG20*100</f>
        <v>103.44827586206897</v>
      </c>
      <c r="DS20" s="880">
        <f t="shared" ref="DS20:DZ20" si="79">SUM(DS21:DS23)</f>
        <v>9800</v>
      </c>
      <c r="DT20" s="880">
        <f t="shared" si="79"/>
        <v>7000</v>
      </c>
      <c r="DU20" s="880">
        <f t="shared" si="79"/>
        <v>3133</v>
      </c>
      <c r="DV20" s="880">
        <f t="shared" si="79"/>
        <v>2256</v>
      </c>
      <c r="DW20" s="880">
        <f t="shared" si="79"/>
        <v>12000</v>
      </c>
      <c r="DX20" s="880">
        <f t="shared" si="79"/>
        <v>8000</v>
      </c>
      <c r="DY20" s="880">
        <f t="shared" si="79"/>
        <v>8000</v>
      </c>
      <c r="DZ20" s="880">
        <f t="shared" si="79"/>
        <v>8000</v>
      </c>
      <c r="EA20" s="880">
        <f t="shared" si="59"/>
        <v>-4000</v>
      </c>
      <c r="EB20" s="880">
        <f>+DY20/DW20*100</f>
        <v>66.666666666666657</v>
      </c>
      <c r="EC20" s="880">
        <f t="shared" si="60"/>
        <v>2200</v>
      </c>
      <c r="ED20" s="880">
        <f>+DW20/DS20*100</f>
        <v>122.44897959183673</v>
      </c>
      <c r="EE20" s="880">
        <f t="shared" ref="EE20:EL20" si="80">SUM(EE21:EE23)</f>
        <v>14000</v>
      </c>
      <c r="EF20" s="880">
        <f t="shared" si="80"/>
        <v>8000</v>
      </c>
      <c r="EG20" s="880">
        <f t="shared" si="80"/>
        <v>9558</v>
      </c>
      <c r="EH20" s="880">
        <f t="shared" si="80"/>
        <v>5510</v>
      </c>
      <c r="EI20" s="880">
        <f t="shared" si="80"/>
        <v>14000</v>
      </c>
      <c r="EJ20" s="880">
        <f t="shared" si="80"/>
        <v>7500</v>
      </c>
      <c r="EK20" s="880">
        <f t="shared" si="80"/>
        <v>13000</v>
      </c>
      <c r="EL20" s="880">
        <f t="shared" si="80"/>
        <v>7500</v>
      </c>
      <c r="EM20" s="880">
        <f>+EK20-EI20</f>
        <v>-1000</v>
      </c>
      <c r="EN20" s="880">
        <f>+EK20/EI20*100</f>
        <v>92.857142857142861</v>
      </c>
      <c r="EO20" s="880">
        <f>+EI20-EE20</f>
        <v>0</v>
      </c>
      <c r="EP20" s="880">
        <f>+EI20/EE20*100</f>
        <v>100</v>
      </c>
      <c r="EQ20" s="880">
        <f t="shared" ref="EQ20:EX20" si="81">SUM(EQ21:EQ23)</f>
        <v>10700</v>
      </c>
      <c r="ER20" s="880">
        <f t="shared" si="81"/>
        <v>9000</v>
      </c>
      <c r="ES20" s="880">
        <f t="shared" si="81"/>
        <v>3387</v>
      </c>
      <c r="ET20" s="880">
        <f t="shared" si="81"/>
        <v>2356</v>
      </c>
      <c r="EU20" s="880">
        <f t="shared" si="81"/>
        <v>8600</v>
      </c>
      <c r="EV20" s="880">
        <f t="shared" si="81"/>
        <v>5600</v>
      </c>
      <c r="EW20" s="880">
        <f t="shared" si="81"/>
        <v>5700</v>
      </c>
      <c r="EX20" s="880">
        <f t="shared" si="81"/>
        <v>5700</v>
      </c>
      <c r="EY20" s="880">
        <f t="shared" si="65"/>
        <v>-2900</v>
      </c>
      <c r="EZ20" s="880">
        <f>+EW20/EU20*100</f>
        <v>66.279069767441854</v>
      </c>
      <c r="FA20" s="880">
        <f t="shared" si="66"/>
        <v>-2100</v>
      </c>
      <c r="FB20" s="880">
        <f>+EU20/EQ20*100</f>
        <v>80.373831775700936</v>
      </c>
    </row>
    <row r="21" spans="1:158" s="259" customFormat="1" x14ac:dyDescent="0.25">
      <c r="A21" s="893" t="s">
        <v>449</v>
      </c>
      <c r="B21" s="894" t="s">
        <v>554</v>
      </c>
      <c r="C21" s="882">
        <f t="shared" si="67"/>
        <v>34500</v>
      </c>
      <c r="D21" s="882">
        <f t="shared" si="67"/>
        <v>0</v>
      </c>
      <c r="E21" s="882">
        <f t="shared" si="67"/>
        <v>16222</v>
      </c>
      <c r="F21" s="882">
        <f t="shared" si="67"/>
        <v>0</v>
      </c>
      <c r="G21" s="882">
        <f t="shared" si="67"/>
        <v>29500</v>
      </c>
      <c r="H21" s="882">
        <f t="shared" si="67"/>
        <v>0</v>
      </c>
      <c r="I21" s="882">
        <f t="shared" si="67"/>
        <v>5500</v>
      </c>
      <c r="J21" s="882">
        <f t="shared" si="67"/>
        <v>0</v>
      </c>
      <c r="K21" s="882"/>
      <c r="L21" s="882"/>
      <c r="M21" s="882"/>
      <c r="N21" s="882"/>
      <c r="O21" s="882">
        <v>1500</v>
      </c>
      <c r="P21" s="882">
        <v>0</v>
      </c>
      <c r="Q21" s="882">
        <v>624</v>
      </c>
      <c r="R21" s="882">
        <v>0</v>
      </c>
      <c r="S21" s="882">
        <v>1000</v>
      </c>
      <c r="T21" s="882">
        <v>0</v>
      </c>
      <c r="U21" s="882"/>
      <c r="V21" s="882">
        <v>0</v>
      </c>
      <c r="W21" s="882"/>
      <c r="X21" s="882"/>
      <c r="Y21" s="882"/>
      <c r="Z21" s="882"/>
      <c r="AA21" s="882">
        <v>3800</v>
      </c>
      <c r="AB21" s="882">
        <v>0</v>
      </c>
      <c r="AC21" s="882">
        <v>2382</v>
      </c>
      <c r="AD21" s="882">
        <v>0</v>
      </c>
      <c r="AE21" s="882">
        <v>3000</v>
      </c>
      <c r="AF21" s="882">
        <v>0</v>
      </c>
      <c r="AG21" s="882">
        <v>2000</v>
      </c>
      <c r="AH21" s="882">
        <v>0</v>
      </c>
      <c r="AI21" s="882"/>
      <c r="AJ21" s="882"/>
      <c r="AK21" s="882"/>
      <c r="AL21" s="882"/>
      <c r="AM21" s="882">
        <v>1800</v>
      </c>
      <c r="AN21" s="882">
        <v>0</v>
      </c>
      <c r="AO21" s="882">
        <v>749</v>
      </c>
      <c r="AP21" s="882">
        <v>0</v>
      </c>
      <c r="AQ21" s="882">
        <v>1000</v>
      </c>
      <c r="AR21" s="882">
        <v>0</v>
      </c>
      <c r="AS21" s="882"/>
      <c r="AT21" s="882">
        <v>0</v>
      </c>
      <c r="AU21" s="882"/>
      <c r="AV21" s="882"/>
      <c r="AW21" s="882"/>
      <c r="AX21" s="882"/>
      <c r="AY21" s="882">
        <v>2800</v>
      </c>
      <c r="AZ21" s="882">
        <v>0</v>
      </c>
      <c r="BA21" s="882">
        <v>916</v>
      </c>
      <c r="BB21" s="882">
        <v>0</v>
      </c>
      <c r="BC21" s="882">
        <v>2000</v>
      </c>
      <c r="BD21" s="882">
        <v>0</v>
      </c>
      <c r="BE21" s="882"/>
      <c r="BF21" s="882">
        <v>0</v>
      </c>
      <c r="BG21" s="882"/>
      <c r="BH21" s="882"/>
      <c r="BI21" s="882"/>
      <c r="BJ21" s="882"/>
      <c r="BK21" s="882">
        <v>3300</v>
      </c>
      <c r="BL21" s="882">
        <v>0</v>
      </c>
      <c r="BM21" s="882">
        <v>1075</v>
      </c>
      <c r="BN21" s="882">
        <v>0</v>
      </c>
      <c r="BO21" s="882">
        <v>2000</v>
      </c>
      <c r="BP21" s="882">
        <v>0</v>
      </c>
      <c r="BQ21" s="882"/>
      <c r="BR21" s="882">
        <v>0</v>
      </c>
      <c r="BS21" s="882"/>
      <c r="BT21" s="882"/>
      <c r="BU21" s="882"/>
      <c r="BV21" s="882"/>
      <c r="BW21" s="882">
        <v>5100</v>
      </c>
      <c r="BX21" s="882">
        <v>0</v>
      </c>
      <c r="BY21" s="882">
        <v>1916</v>
      </c>
      <c r="BZ21" s="882">
        <v>0</v>
      </c>
      <c r="CA21" s="882">
        <v>3000</v>
      </c>
      <c r="CB21" s="882">
        <v>0</v>
      </c>
      <c r="CC21" s="882"/>
      <c r="CD21" s="882">
        <v>0</v>
      </c>
      <c r="CE21" s="882"/>
      <c r="CF21" s="882"/>
      <c r="CG21" s="882"/>
      <c r="CH21" s="882"/>
      <c r="CI21" s="882">
        <v>3800</v>
      </c>
      <c r="CJ21" s="882">
        <v>0</v>
      </c>
      <c r="CK21" s="882">
        <v>1524</v>
      </c>
      <c r="CL21" s="882">
        <v>0</v>
      </c>
      <c r="CM21" s="882">
        <v>3000</v>
      </c>
      <c r="CN21" s="882">
        <v>0</v>
      </c>
      <c r="CO21" s="882"/>
      <c r="CP21" s="882">
        <v>0</v>
      </c>
      <c r="CQ21" s="882">
        <f>+CO21-CM21</f>
        <v>-3000</v>
      </c>
      <c r="CR21" s="882"/>
      <c r="CS21" s="882"/>
      <c r="CT21" s="882"/>
      <c r="CU21" s="882">
        <v>2800</v>
      </c>
      <c r="CV21" s="882">
        <v>0</v>
      </c>
      <c r="CW21" s="882">
        <v>839</v>
      </c>
      <c r="CX21" s="882">
        <v>0</v>
      </c>
      <c r="CY21" s="882">
        <v>2000</v>
      </c>
      <c r="CZ21" s="882">
        <v>0</v>
      </c>
      <c r="DA21" s="882"/>
      <c r="DB21" s="882">
        <v>0</v>
      </c>
      <c r="DC21" s="882"/>
      <c r="DD21" s="882"/>
      <c r="DE21" s="882"/>
      <c r="DF21" s="882"/>
      <c r="DG21" s="882">
        <v>2000</v>
      </c>
      <c r="DH21" s="882">
        <v>0</v>
      </c>
      <c r="DI21" s="882">
        <v>1090</v>
      </c>
      <c r="DJ21" s="882">
        <v>0</v>
      </c>
      <c r="DK21" s="882">
        <v>3000</v>
      </c>
      <c r="DL21" s="882">
        <v>0</v>
      </c>
      <c r="DM21" s="882"/>
      <c r="DN21" s="882">
        <v>0</v>
      </c>
      <c r="DO21" s="882"/>
      <c r="DP21" s="882"/>
      <c r="DQ21" s="882"/>
      <c r="DR21" s="882"/>
      <c r="DS21" s="882">
        <v>1600</v>
      </c>
      <c r="DT21" s="882">
        <v>0</v>
      </c>
      <c r="DU21" s="882">
        <v>854</v>
      </c>
      <c r="DV21" s="882">
        <v>0</v>
      </c>
      <c r="DW21" s="882">
        <v>3000</v>
      </c>
      <c r="DX21" s="882">
        <v>0</v>
      </c>
      <c r="DY21" s="882"/>
      <c r="DZ21" s="882">
        <v>0</v>
      </c>
      <c r="EA21" s="882"/>
      <c r="EB21" s="882"/>
      <c r="EC21" s="882"/>
      <c r="ED21" s="882"/>
      <c r="EE21" s="882">
        <v>4500</v>
      </c>
      <c r="EF21" s="882">
        <v>0</v>
      </c>
      <c r="EG21" s="882">
        <v>3256</v>
      </c>
      <c r="EH21" s="882">
        <v>0</v>
      </c>
      <c r="EI21" s="882">
        <v>4500</v>
      </c>
      <c r="EJ21" s="882">
        <v>0</v>
      </c>
      <c r="EK21" s="882">
        <v>3500</v>
      </c>
      <c r="EL21" s="882">
        <v>0</v>
      </c>
      <c r="EM21" s="882"/>
      <c r="EN21" s="882"/>
      <c r="EO21" s="882"/>
      <c r="EP21" s="882"/>
      <c r="EQ21" s="882">
        <v>1500</v>
      </c>
      <c r="ER21" s="882">
        <v>0</v>
      </c>
      <c r="ES21" s="882">
        <v>997</v>
      </c>
      <c r="ET21" s="882">
        <v>0</v>
      </c>
      <c r="EU21" s="882">
        <v>2000</v>
      </c>
      <c r="EV21" s="882">
        <v>0</v>
      </c>
      <c r="EW21" s="882"/>
      <c r="EX21" s="882">
        <v>0</v>
      </c>
      <c r="EY21" s="882"/>
      <c r="EZ21" s="882"/>
      <c r="FA21" s="882"/>
      <c r="FB21" s="882"/>
    </row>
    <row r="22" spans="1:158" s="259" customFormat="1" x14ac:dyDescent="0.25">
      <c r="A22" s="893" t="s">
        <v>449</v>
      </c>
      <c r="B22" s="894" t="s">
        <v>555</v>
      </c>
      <c r="C22" s="882">
        <f t="shared" si="67"/>
        <v>43000</v>
      </c>
      <c r="D22" s="882">
        <f t="shared" si="67"/>
        <v>0</v>
      </c>
      <c r="E22" s="882">
        <f t="shared" si="67"/>
        <v>6125</v>
      </c>
      <c r="F22" s="882">
        <f t="shared" si="67"/>
        <v>0</v>
      </c>
      <c r="G22" s="882">
        <f t="shared" si="67"/>
        <v>19000</v>
      </c>
      <c r="H22" s="882">
        <f t="shared" si="67"/>
        <v>0</v>
      </c>
      <c r="I22" s="882">
        <f t="shared" si="67"/>
        <v>3500</v>
      </c>
      <c r="J22" s="882">
        <f t="shared" si="67"/>
        <v>0</v>
      </c>
      <c r="K22" s="882"/>
      <c r="L22" s="882"/>
      <c r="M22" s="882"/>
      <c r="N22" s="882"/>
      <c r="O22" s="882">
        <v>1500</v>
      </c>
      <c r="P22" s="882">
        <v>0</v>
      </c>
      <c r="Q22" s="882">
        <v>25</v>
      </c>
      <c r="R22" s="882">
        <v>0</v>
      </c>
      <c r="S22" s="882">
        <v>1000</v>
      </c>
      <c r="T22" s="882">
        <v>0</v>
      </c>
      <c r="U22" s="882"/>
      <c r="V22" s="882">
        <v>0</v>
      </c>
      <c r="W22" s="882"/>
      <c r="X22" s="882"/>
      <c r="Y22" s="882"/>
      <c r="Z22" s="882"/>
      <c r="AA22" s="882">
        <v>3200</v>
      </c>
      <c r="AB22" s="882">
        <v>0</v>
      </c>
      <c r="AC22" s="882">
        <v>1067</v>
      </c>
      <c r="AD22" s="882">
        <v>0</v>
      </c>
      <c r="AE22" s="882">
        <v>1500</v>
      </c>
      <c r="AF22" s="882">
        <v>0</v>
      </c>
      <c r="AG22" s="882">
        <v>1500</v>
      </c>
      <c r="AH22" s="882">
        <v>0</v>
      </c>
      <c r="AI22" s="882"/>
      <c r="AJ22" s="882"/>
      <c r="AK22" s="882"/>
      <c r="AL22" s="882"/>
      <c r="AM22" s="882">
        <v>200</v>
      </c>
      <c r="AN22" s="882">
        <v>0</v>
      </c>
      <c r="AO22" s="882">
        <v>18</v>
      </c>
      <c r="AP22" s="882">
        <v>0</v>
      </c>
      <c r="AQ22" s="882">
        <v>500</v>
      </c>
      <c r="AR22" s="882">
        <v>0</v>
      </c>
      <c r="AS22" s="882"/>
      <c r="AT22" s="882">
        <v>0</v>
      </c>
      <c r="AU22" s="882"/>
      <c r="AV22" s="882"/>
      <c r="AW22" s="882"/>
      <c r="AX22" s="882"/>
      <c r="AY22" s="882">
        <v>1200</v>
      </c>
      <c r="AZ22" s="882">
        <v>0</v>
      </c>
      <c r="BA22" s="882">
        <v>68</v>
      </c>
      <c r="BB22" s="882">
        <v>0</v>
      </c>
      <c r="BC22" s="882">
        <v>500</v>
      </c>
      <c r="BD22" s="882">
        <v>0</v>
      </c>
      <c r="BE22" s="882"/>
      <c r="BF22" s="882">
        <v>0</v>
      </c>
      <c r="BG22" s="882"/>
      <c r="BH22" s="882"/>
      <c r="BI22" s="882"/>
      <c r="BJ22" s="882"/>
      <c r="BK22" s="882">
        <v>3700</v>
      </c>
      <c r="BL22" s="882">
        <v>0</v>
      </c>
      <c r="BM22" s="882">
        <v>43</v>
      </c>
      <c r="BN22" s="882">
        <v>0</v>
      </c>
      <c r="BO22" s="882">
        <v>500</v>
      </c>
      <c r="BP22" s="882">
        <v>0</v>
      </c>
      <c r="BQ22" s="882"/>
      <c r="BR22" s="882">
        <v>0</v>
      </c>
      <c r="BS22" s="882"/>
      <c r="BT22" s="882"/>
      <c r="BU22" s="882"/>
      <c r="BV22" s="882"/>
      <c r="BW22" s="882">
        <v>24900</v>
      </c>
      <c r="BX22" s="882">
        <v>0</v>
      </c>
      <c r="BY22" s="882">
        <v>3667</v>
      </c>
      <c r="BZ22" s="882">
        <v>0</v>
      </c>
      <c r="CA22" s="882">
        <v>6000</v>
      </c>
      <c r="CB22" s="882">
        <v>0</v>
      </c>
      <c r="CC22" s="882"/>
      <c r="CD22" s="882">
        <v>0</v>
      </c>
      <c r="CE22" s="882"/>
      <c r="CF22" s="882"/>
      <c r="CG22" s="882"/>
      <c r="CH22" s="882"/>
      <c r="CI22" s="882">
        <v>2200</v>
      </c>
      <c r="CJ22" s="882">
        <v>0</v>
      </c>
      <c r="CK22" s="882">
        <v>15</v>
      </c>
      <c r="CL22" s="882">
        <v>0</v>
      </c>
      <c r="CM22" s="882">
        <v>1000</v>
      </c>
      <c r="CN22" s="882">
        <v>0</v>
      </c>
      <c r="CO22" s="882"/>
      <c r="CP22" s="882">
        <v>0</v>
      </c>
      <c r="CQ22" s="882"/>
      <c r="CR22" s="882"/>
      <c r="CS22" s="882"/>
      <c r="CT22" s="882"/>
      <c r="CU22" s="882">
        <v>1200</v>
      </c>
      <c r="CV22" s="882">
        <v>0</v>
      </c>
      <c r="CW22" s="882">
        <v>52</v>
      </c>
      <c r="CX22" s="882">
        <v>0</v>
      </c>
      <c r="CY22" s="882">
        <v>2000</v>
      </c>
      <c r="CZ22" s="882">
        <v>0</v>
      </c>
      <c r="DA22" s="882"/>
      <c r="DB22" s="882">
        <v>0</v>
      </c>
      <c r="DC22" s="882"/>
      <c r="DD22" s="882"/>
      <c r="DE22" s="882"/>
      <c r="DF22" s="882"/>
      <c r="DG22" s="882">
        <v>2000</v>
      </c>
      <c r="DH22" s="882">
        <v>0</v>
      </c>
      <c r="DI22" s="882">
        <v>321</v>
      </c>
      <c r="DJ22" s="882">
        <v>0</v>
      </c>
      <c r="DK22" s="882">
        <v>2000</v>
      </c>
      <c r="DL22" s="882">
        <v>0</v>
      </c>
      <c r="DM22" s="882"/>
      <c r="DN22" s="882">
        <v>0</v>
      </c>
      <c r="DO22" s="882"/>
      <c r="DP22" s="882"/>
      <c r="DQ22" s="882"/>
      <c r="DR22" s="882"/>
      <c r="DS22" s="882">
        <v>1200</v>
      </c>
      <c r="DT22" s="882">
        <v>0</v>
      </c>
      <c r="DU22" s="882">
        <v>23</v>
      </c>
      <c r="DV22" s="882">
        <v>0</v>
      </c>
      <c r="DW22" s="882">
        <v>1000</v>
      </c>
      <c r="DX22" s="882">
        <v>0</v>
      </c>
      <c r="DY22" s="882"/>
      <c r="DZ22" s="882">
        <v>0</v>
      </c>
      <c r="EA22" s="882"/>
      <c r="EB22" s="882"/>
      <c r="EC22" s="882"/>
      <c r="ED22" s="882"/>
      <c r="EE22" s="882">
        <v>1500</v>
      </c>
      <c r="EF22" s="882">
        <v>0</v>
      </c>
      <c r="EG22" s="882">
        <v>792</v>
      </c>
      <c r="EH22" s="882">
        <v>0</v>
      </c>
      <c r="EI22" s="882">
        <v>2000</v>
      </c>
      <c r="EJ22" s="882">
        <v>0</v>
      </c>
      <c r="EK22" s="882">
        <v>2000</v>
      </c>
      <c r="EL22" s="882">
        <v>0</v>
      </c>
      <c r="EM22" s="882"/>
      <c r="EN22" s="882"/>
      <c r="EO22" s="882"/>
      <c r="EP22" s="882"/>
      <c r="EQ22" s="882">
        <v>200</v>
      </c>
      <c r="ER22" s="882">
        <v>0</v>
      </c>
      <c r="ES22" s="882">
        <v>34</v>
      </c>
      <c r="ET22" s="882">
        <v>0</v>
      </c>
      <c r="EU22" s="882">
        <v>1000</v>
      </c>
      <c r="EV22" s="882">
        <v>0</v>
      </c>
      <c r="EW22" s="882"/>
      <c r="EX22" s="882">
        <v>0</v>
      </c>
      <c r="EY22" s="882"/>
      <c r="EZ22" s="882"/>
      <c r="FA22" s="882"/>
      <c r="FB22" s="882"/>
    </row>
    <row r="23" spans="1:158" s="259" customFormat="1" x14ac:dyDescent="0.25">
      <c r="A23" s="893" t="s">
        <v>449</v>
      </c>
      <c r="B23" s="894" t="s">
        <v>556</v>
      </c>
      <c r="C23" s="882">
        <f t="shared" si="67"/>
        <v>97500</v>
      </c>
      <c r="D23" s="882">
        <f t="shared" si="67"/>
        <v>97500</v>
      </c>
      <c r="E23" s="882">
        <f t="shared" si="67"/>
        <v>53361</v>
      </c>
      <c r="F23" s="882">
        <f t="shared" si="67"/>
        <v>53361</v>
      </c>
      <c r="G23" s="882">
        <f t="shared" si="67"/>
        <v>97100</v>
      </c>
      <c r="H23" s="882">
        <f t="shared" si="67"/>
        <v>97100</v>
      </c>
      <c r="I23" s="882">
        <f t="shared" si="67"/>
        <v>97900</v>
      </c>
      <c r="J23" s="882">
        <f t="shared" si="67"/>
        <v>97900</v>
      </c>
      <c r="K23" s="882"/>
      <c r="L23" s="882"/>
      <c r="M23" s="882"/>
      <c r="N23" s="882"/>
      <c r="O23" s="882">
        <v>5000</v>
      </c>
      <c r="P23" s="882">
        <f>O23</f>
        <v>5000</v>
      </c>
      <c r="Q23" s="882">
        <v>1158</v>
      </c>
      <c r="R23" s="882">
        <f>Q23</f>
        <v>1158</v>
      </c>
      <c r="S23" s="882">
        <v>5000</v>
      </c>
      <c r="T23" s="882">
        <f>S23</f>
        <v>5000</v>
      </c>
      <c r="U23" s="882">
        <v>6200</v>
      </c>
      <c r="V23" s="882">
        <f>U23</f>
        <v>6200</v>
      </c>
      <c r="W23" s="882"/>
      <c r="X23" s="882"/>
      <c r="Y23" s="882"/>
      <c r="Z23" s="882"/>
      <c r="AA23" s="882">
        <v>5000</v>
      </c>
      <c r="AB23" s="882">
        <f>AA23</f>
        <v>5000</v>
      </c>
      <c r="AC23" s="882">
        <v>2739</v>
      </c>
      <c r="AD23" s="882">
        <f>AC23</f>
        <v>2739</v>
      </c>
      <c r="AE23" s="882">
        <v>5000</v>
      </c>
      <c r="AF23" s="882">
        <f>AE23</f>
        <v>5000</v>
      </c>
      <c r="AG23" s="882">
        <f>7000-AG21-AG22</f>
        <v>3500</v>
      </c>
      <c r="AH23" s="882">
        <f>AG23</f>
        <v>3500</v>
      </c>
      <c r="AI23" s="882"/>
      <c r="AJ23" s="882"/>
      <c r="AK23" s="882"/>
      <c r="AL23" s="882"/>
      <c r="AM23" s="882">
        <v>4000</v>
      </c>
      <c r="AN23" s="882">
        <f>AM23</f>
        <v>4000</v>
      </c>
      <c r="AO23" s="882">
        <v>1316</v>
      </c>
      <c r="AP23" s="882">
        <f>AO23</f>
        <v>1316</v>
      </c>
      <c r="AQ23" s="882">
        <v>3500</v>
      </c>
      <c r="AR23" s="882">
        <f>AQ23</f>
        <v>3500</v>
      </c>
      <c r="AS23" s="882">
        <v>3900</v>
      </c>
      <c r="AT23" s="882">
        <f>AS23</f>
        <v>3900</v>
      </c>
      <c r="AU23" s="882"/>
      <c r="AV23" s="882"/>
      <c r="AW23" s="882"/>
      <c r="AX23" s="882"/>
      <c r="AY23" s="882">
        <v>8000</v>
      </c>
      <c r="AZ23" s="882">
        <f>AY23</f>
        <v>8000</v>
      </c>
      <c r="BA23" s="882">
        <v>2302</v>
      </c>
      <c r="BB23" s="882">
        <f>BA23</f>
        <v>2302</v>
      </c>
      <c r="BC23" s="882">
        <v>3500</v>
      </c>
      <c r="BD23" s="882">
        <f>BC23</f>
        <v>3500</v>
      </c>
      <c r="BE23" s="882">
        <v>3500</v>
      </c>
      <c r="BF23" s="882">
        <f>BE23</f>
        <v>3500</v>
      </c>
      <c r="BG23" s="882"/>
      <c r="BH23" s="882"/>
      <c r="BI23" s="882"/>
      <c r="BJ23" s="882"/>
      <c r="BK23" s="882">
        <v>8000</v>
      </c>
      <c r="BL23" s="882">
        <f>BK23</f>
        <v>8000</v>
      </c>
      <c r="BM23" s="882">
        <v>2424</v>
      </c>
      <c r="BN23" s="882">
        <f>BM23</f>
        <v>2424</v>
      </c>
      <c r="BO23" s="882">
        <v>8000</v>
      </c>
      <c r="BP23" s="882">
        <f>BO23</f>
        <v>8000</v>
      </c>
      <c r="BQ23" s="882">
        <v>8600</v>
      </c>
      <c r="BR23" s="882">
        <f>BQ23</f>
        <v>8600</v>
      </c>
      <c r="BS23" s="882"/>
      <c r="BT23" s="882"/>
      <c r="BU23" s="882"/>
      <c r="BV23" s="882"/>
      <c r="BW23" s="882">
        <v>11000</v>
      </c>
      <c r="BX23" s="882">
        <f>BW23</f>
        <v>11000</v>
      </c>
      <c r="BY23" s="882">
        <v>13945</v>
      </c>
      <c r="BZ23" s="882">
        <f>BY23</f>
        <v>13945</v>
      </c>
      <c r="CA23" s="882">
        <v>16000</v>
      </c>
      <c r="CB23" s="882">
        <f>CA23</f>
        <v>16000</v>
      </c>
      <c r="CC23" s="882">
        <v>16000</v>
      </c>
      <c r="CD23" s="882">
        <f>CC23</f>
        <v>16000</v>
      </c>
      <c r="CE23" s="882"/>
      <c r="CF23" s="882"/>
      <c r="CG23" s="882"/>
      <c r="CH23" s="882"/>
      <c r="CI23" s="882">
        <v>12000</v>
      </c>
      <c r="CJ23" s="882">
        <f>CI23</f>
        <v>12000</v>
      </c>
      <c r="CK23" s="882">
        <v>6752</v>
      </c>
      <c r="CL23" s="882">
        <f>CK23</f>
        <v>6752</v>
      </c>
      <c r="CM23" s="882">
        <v>11000</v>
      </c>
      <c r="CN23" s="882">
        <f>CM23</f>
        <v>11000</v>
      </c>
      <c r="CO23" s="882">
        <v>11000</v>
      </c>
      <c r="CP23" s="882">
        <f>CO23</f>
        <v>11000</v>
      </c>
      <c r="CQ23" s="882"/>
      <c r="CR23" s="882"/>
      <c r="CS23" s="882"/>
      <c r="CT23" s="882"/>
      <c r="CU23" s="882">
        <v>10000</v>
      </c>
      <c r="CV23" s="882">
        <f>CU23</f>
        <v>10000</v>
      </c>
      <c r="CW23" s="882">
        <v>7002</v>
      </c>
      <c r="CX23" s="882">
        <f>CW23</f>
        <v>7002</v>
      </c>
      <c r="CY23" s="882">
        <v>14000</v>
      </c>
      <c r="CZ23" s="882">
        <f>CY23</f>
        <v>14000</v>
      </c>
      <c r="DA23" s="882">
        <v>14000</v>
      </c>
      <c r="DB23" s="882">
        <f>DA23</f>
        <v>14000</v>
      </c>
      <c r="DC23" s="882"/>
      <c r="DD23" s="882"/>
      <c r="DE23" s="882"/>
      <c r="DF23" s="882"/>
      <c r="DG23" s="882">
        <v>10500</v>
      </c>
      <c r="DH23" s="882">
        <f>DG23</f>
        <v>10500</v>
      </c>
      <c r="DI23" s="882">
        <v>5601</v>
      </c>
      <c r="DJ23" s="882">
        <f>DI23</f>
        <v>5601</v>
      </c>
      <c r="DK23" s="882">
        <v>10000</v>
      </c>
      <c r="DL23" s="882">
        <f>DK23</f>
        <v>10000</v>
      </c>
      <c r="DM23" s="882">
        <v>10000</v>
      </c>
      <c r="DN23" s="882">
        <f>DM23</f>
        <v>10000</v>
      </c>
      <c r="DO23" s="882"/>
      <c r="DP23" s="882"/>
      <c r="DQ23" s="882"/>
      <c r="DR23" s="882"/>
      <c r="DS23" s="882">
        <v>7000</v>
      </c>
      <c r="DT23" s="882">
        <f>DS23</f>
        <v>7000</v>
      </c>
      <c r="DU23" s="895">
        <v>2256</v>
      </c>
      <c r="DV23" s="882">
        <f>DU23</f>
        <v>2256</v>
      </c>
      <c r="DW23" s="882">
        <v>8000</v>
      </c>
      <c r="DX23" s="882">
        <f>DW23</f>
        <v>8000</v>
      </c>
      <c r="DY23" s="882">
        <v>8000</v>
      </c>
      <c r="DZ23" s="882">
        <f>DY23</f>
        <v>8000</v>
      </c>
      <c r="EA23" s="882"/>
      <c r="EB23" s="882"/>
      <c r="EC23" s="882"/>
      <c r="ED23" s="882"/>
      <c r="EE23" s="882">
        <v>8000</v>
      </c>
      <c r="EF23" s="882">
        <f>EE23</f>
        <v>8000</v>
      </c>
      <c r="EG23" s="882">
        <v>5510</v>
      </c>
      <c r="EH23" s="882">
        <f>EG23</f>
        <v>5510</v>
      </c>
      <c r="EI23" s="882">
        <v>7500</v>
      </c>
      <c r="EJ23" s="882">
        <f>EI23</f>
        <v>7500</v>
      </c>
      <c r="EK23" s="882">
        <f>13000-EK21-EK22</f>
        <v>7500</v>
      </c>
      <c r="EL23" s="882">
        <f>EK23</f>
        <v>7500</v>
      </c>
      <c r="EM23" s="882"/>
      <c r="EN23" s="882"/>
      <c r="EO23" s="882"/>
      <c r="EP23" s="882"/>
      <c r="EQ23" s="882">
        <v>9000</v>
      </c>
      <c r="ER23" s="882">
        <f>EQ23</f>
        <v>9000</v>
      </c>
      <c r="ES23" s="882">
        <v>2356</v>
      </c>
      <c r="ET23" s="882">
        <f>ES23</f>
        <v>2356</v>
      </c>
      <c r="EU23" s="882">
        <v>5600</v>
      </c>
      <c r="EV23" s="882">
        <f>EU23</f>
        <v>5600</v>
      </c>
      <c r="EW23" s="882">
        <v>5700</v>
      </c>
      <c r="EX23" s="882">
        <f>EW23</f>
        <v>5700</v>
      </c>
      <c r="EY23" s="882"/>
      <c r="EZ23" s="882"/>
      <c r="FA23" s="882"/>
      <c r="FB23" s="882"/>
    </row>
    <row r="24" spans="1:158" hidden="1" x14ac:dyDescent="0.25">
      <c r="A24" s="335"/>
      <c r="B24" s="257" t="s">
        <v>1040</v>
      </c>
      <c r="C24" s="788">
        <f t="shared" si="67"/>
        <v>0</v>
      </c>
      <c r="D24" s="788">
        <f t="shared" si="67"/>
        <v>0</v>
      </c>
      <c r="E24" s="788"/>
      <c r="F24" s="788"/>
      <c r="G24" s="788">
        <f t="shared" si="67"/>
        <v>0</v>
      </c>
      <c r="H24" s="788">
        <f t="shared" si="67"/>
        <v>0</v>
      </c>
      <c r="I24" s="788">
        <f t="shared" si="67"/>
        <v>16300</v>
      </c>
      <c r="J24" s="788">
        <f t="shared" si="67"/>
        <v>16300</v>
      </c>
      <c r="K24" s="788"/>
      <c r="L24" s="788"/>
      <c r="M24" s="788"/>
      <c r="N24" s="788"/>
      <c r="O24" s="788"/>
      <c r="P24" s="788">
        <f>O24</f>
        <v>0</v>
      </c>
      <c r="Q24" s="788"/>
      <c r="R24" s="788">
        <f>Q24</f>
        <v>0</v>
      </c>
      <c r="S24" s="788"/>
      <c r="T24" s="788">
        <f>S24</f>
        <v>0</v>
      </c>
      <c r="U24" s="788">
        <f>550+10</f>
        <v>560</v>
      </c>
      <c r="V24" s="788">
        <f>U24</f>
        <v>560</v>
      </c>
      <c r="W24" s="788"/>
      <c r="X24" s="788"/>
      <c r="Y24" s="788"/>
      <c r="Z24" s="788"/>
      <c r="AA24" s="788"/>
      <c r="AB24" s="788">
        <f>AA24</f>
        <v>0</v>
      </c>
      <c r="AC24" s="788"/>
      <c r="AD24" s="788"/>
      <c r="AE24" s="788"/>
      <c r="AF24" s="788">
        <f>AE24</f>
        <v>0</v>
      </c>
      <c r="AG24" s="788">
        <v>1250</v>
      </c>
      <c r="AH24" s="788">
        <f>AG24</f>
        <v>1250</v>
      </c>
      <c r="AI24" s="788"/>
      <c r="AJ24" s="788"/>
      <c r="AK24" s="788"/>
      <c r="AL24" s="788"/>
      <c r="AM24" s="788"/>
      <c r="AN24" s="788"/>
      <c r="AO24" s="788"/>
      <c r="AP24" s="788"/>
      <c r="AQ24" s="788"/>
      <c r="AR24" s="788"/>
      <c r="AS24" s="788">
        <f>650+10</f>
        <v>660</v>
      </c>
      <c r="AT24" s="788">
        <f>AS24</f>
        <v>660</v>
      </c>
      <c r="AU24" s="788"/>
      <c r="AV24" s="788"/>
      <c r="AW24" s="788"/>
      <c r="AX24" s="788"/>
      <c r="AY24" s="788"/>
      <c r="AZ24" s="788"/>
      <c r="BA24" s="788"/>
      <c r="BB24" s="788"/>
      <c r="BC24" s="788"/>
      <c r="BD24" s="788"/>
      <c r="BE24" s="788">
        <f>950+30</f>
        <v>980</v>
      </c>
      <c r="BF24" s="788">
        <f>BE24</f>
        <v>980</v>
      </c>
      <c r="BG24" s="788"/>
      <c r="BH24" s="788"/>
      <c r="BI24" s="788"/>
      <c r="BJ24" s="788"/>
      <c r="BK24" s="788"/>
      <c r="BL24" s="788"/>
      <c r="BM24" s="788"/>
      <c r="BN24" s="788"/>
      <c r="BO24" s="788"/>
      <c r="BP24" s="788"/>
      <c r="BQ24" s="788">
        <f>800+30</f>
        <v>830</v>
      </c>
      <c r="BR24" s="788">
        <f>BQ24</f>
        <v>830</v>
      </c>
      <c r="BS24" s="788"/>
      <c r="BT24" s="788"/>
      <c r="BU24" s="788"/>
      <c r="BV24" s="788"/>
      <c r="BW24" s="788"/>
      <c r="BX24" s="788"/>
      <c r="BY24" s="788"/>
      <c r="BZ24" s="788"/>
      <c r="CA24" s="788"/>
      <c r="CB24" s="788"/>
      <c r="CC24" s="788">
        <f>4300+500+620</f>
        <v>5420</v>
      </c>
      <c r="CD24" s="788">
        <f>CC24</f>
        <v>5420</v>
      </c>
      <c r="CE24" s="788"/>
      <c r="CF24" s="788"/>
      <c r="CG24" s="788"/>
      <c r="CH24" s="788"/>
      <c r="CI24" s="788"/>
      <c r="CJ24" s="788"/>
      <c r="CK24" s="788"/>
      <c r="CL24" s="788"/>
      <c r="CM24" s="788"/>
      <c r="CN24" s="788"/>
      <c r="CO24" s="788">
        <f>60</f>
        <v>60</v>
      </c>
      <c r="CP24" s="788">
        <f>CO24</f>
        <v>60</v>
      </c>
      <c r="CQ24" s="788"/>
      <c r="CR24" s="788"/>
      <c r="CS24" s="788"/>
      <c r="CT24" s="788"/>
      <c r="CU24" s="788"/>
      <c r="CV24" s="788"/>
      <c r="CW24" s="788"/>
      <c r="CX24" s="788"/>
      <c r="CY24" s="788"/>
      <c r="CZ24" s="788"/>
      <c r="DA24" s="788">
        <f>1400+10</f>
        <v>1410</v>
      </c>
      <c r="DB24" s="788">
        <f>DA24</f>
        <v>1410</v>
      </c>
      <c r="DC24" s="788"/>
      <c r="DD24" s="788"/>
      <c r="DE24" s="788"/>
      <c r="DF24" s="788"/>
      <c r="DG24" s="788"/>
      <c r="DH24" s="788"/>
      <c r="DI24" s="788"/>
      <c r="DJ24" s="788"/>
      <c r="DK24" s="788"/>
      <c r="DL24" s="788"/>
      <c r="DM24" s="788">
        <f>1400+60</f>
        <v>1460</v>
      </c>
      <c r="DN24" s="788">
        <f>DM24</f>
        <v>1460</v>
      </c>
      <c r="DO24" s="788"/>
      <c r="DP24" s="788"/>
      <c r="DQ24" s="788"/>
      <c r="DR24" s="788"/>
      <c r="DS24" s="788"/>
      <c r="DT24" s="788"/>
      <c r="DU24" s="791"/>
      <c r="DV24" s="788"/>
      <c r="DW24" s="788"/>
      <c r="DX24" s="788"/>
      <c r="DY24" s="788">
        <f>30</f>
        <v>30</v>
      </c>
      <c r="DZ24" s="788">
        <f>DY24</f>
        <v>30</v>
      </c>
      <c r="EA24" s="788"/>
      <c r="EB24" s="788"/>
      <c r="EC24" s="788"/>
      <c r="ED24" s="788"/>
      <c r="EE24" s="788"/>
      <c r="EF24" s="788"/>
      <c r="EG24" s="788"/>
      <c r="EH24" s="788"/>
      <c r="EI24" s="788"/>
      <c r="EJ24" s="788"/>
      <c r="EK24" s="788">
        <f>2000+200</f>
        <v>2200</v>
      </c>
      <c r="EL24" s="788">
        <f>EK24</f>
        <v>2200</v>
      </c>
      <c r="EM24" s="788"/>
      <c r="EN24" s="788"/>
      <c r="EO24" s="788"/>
      <c r="EP24" s="788"/>
      <c r="EQ24" s="788"/>
      <c r="ER24" s="788"/>
      <c r="ES24" s="788"/>
      <c r="ET24" s="788"/>
      <c r="EU24" s="788"/>
      <c r="EV24" s="788"/>
      <c r="EW24" s="788">
        <f>1400+40</f>
        <v>1440</v>
      </c>
      <c r="EX24" s="788">
        <f>EW24</f>
        <v>1440</v>
      </c>
      <c r="EY24" s="788"/>
      <c r="EZ24" s="788"/>
      <c r="FA24" s="788"/>
      <c r="FB24" s="788"/>
    </row>
    <row r="25" spans="1:158" s="168" customFormat="1" x14ac:dyDescent="0.25">
      <c r="A25" s="166">
        <v>7</v>
      </c>
      <c r="B25" s="255" t="s">
        <v>407</v>
      </c>
      <c r="C25" s="787">
        <f t="shared" si="67"/>
        <v>65000</v>
      </c>
      <c r="D25" s="787">
        <f t="shared" si="67"/>
        <v>53100</v>
      </c>
      <c r="E25" s="787">
        <f t="shared" si="67"/>
        <v>276763</v>
      </c>
      <c r="F25" s="787">
        <f t="shared" si="67"/>
        <v>168888</v>
      </c>
      <c r="G25" s="787">
        <f t="shared" si="67"/>
        <v>289039</v>
      </c>
      <c r="H25" s="787">
        <f t="shared" si="68"/>
        <v>183700</v>
      </c>
      <c r="I25" s="787">
        <f t="shared" si="68"/>
        <v>70000</v>
      </c>
      <c r="J25" s="787">
        <f t="shared" si="68"/>
        <v>70000</v>
      </c>
      <c r="K25" s="787"/>
      <c r="L25" s="787"/>
      <c r="M25" s="787"/>
      <c r="N25" s="787"/>
      <c r="O25" s="787">
        <f t="shared" ref="O25:V25" si="82">SUM(O26:O27)</f>
        <v>2400</v>
      </c>
      <c r="P25" s="787">
        <f t="shared" si="82"/>
        <v>2400</v>
      </c>
      <c r="Q25" s="787">
        <f t="shared" si="82"/>
        <v>1189</v>
      </c>
      <c r="R25" s="787">
        <f t="shared" si="82"/>
        <v>1189</v>
      </c>
      <c r="S25" s="787">
        <f t="shared" si="82"/>
        <v>2000</v>
      </c>
      <c r="T25" s="787">
        <f t="shared" si="82"/>
        <v>2000</v>
      </c>
      <c r="U25" s="787">
        <f t="shared" si="82"/>
        <v>2000</v>
      </c>
      <c r="V25" s="787">
        <f t="shared" si="82"/>
        <v>2000</v>
      </c>
      <c r="W25" s="787">
        <f>+U25-S25</f>
        <v>0</v>
      </c>
      <c r="X25" s="787">
        <f>+U25/S25*100</f>
        <v>100</v>
      </c>
      <c r="Y25" s="787">
        <f>+S25-O25</f>
        <v>-400</v>
      </c>
      <c r="Z25" s="787"/>
      <c r="AA25" s="787">
        <f t="shared" ref="AA25:AH25" si="83">SUM(AA26:AA27)</f>
        <v>2000</v>
      </c>
      <c r="AB25" s="787">
        <f t="shared" si="83"/>
        <v>2000</v>
      </c>
      <c r="AC25" s="787">
        <f t="shared" si="83"/>
        <v>16120</v>
      </c>
      <c r="AD25" s="787">
        <f t="shared" si="83"/>
        <v>16120</v>
      </c>
      <c r="AE25" s="787">
        <f t="shared" si="83"/>
        <v>18000</v>
      </c>
      <c r="AF25" s="787">
        <f t="shared" si="83"/>
        <v>18000</v>
      </c>
      <c r="AG25" s="787">
        <f t="shared" si="83"/>
        <v>3000</v>
      </c>
      <c r="AH25" s="787">
        <f t="shared" si="83"/>
        <v>3000</v>
      </c>
      <c r="AI25" s="787">
        <f>+AG25-AE25</f>
        <v>-15000</v>
      </c>
      <c r="AJ25" s="787">
        <f>+AG25/AE25*100</f>
        <v>16.666666666666664</v>
      </c>
      <c r="AK25" s="787"/>
      <c r="AL25" s="787"/>
      <c r="AM25" s="787">
        <f t="shared" ref="AM25:AT25" si="84">SUM(AM26:AM27)</f>
        <v>400</v>
      </c>
      <c r="AN25" s="787">
        <f t="shared" si="84"/>
        <v>400</v>
      </c>
      <c r="AO25" s="787">
        <f t="shared" si="84"/>
        <v>185</v>
      </c>
      <c r="AP25" s="787">
        <f t="shared" si="84"/>
        <v>185</v>
      </c>
      <c r="AQ25" s="787">
        <f t="shared" si="84"/>
        <v>400</v>
      </c>
      <c r="AR25" s="787">
        <f t="shared" si="84"/>
        <v>400</v>
      </c>
      <c r="AS25" s="787">
        <f t="shared" si="84"/>
        <v>400</v>
      </c>
      <c r="AT25" s="787">
        <f t="shared" si="84"/>
        <v>400</v>
      </c>
      <c r="AU25" s="787">
        <f>+AS25-AQ25</f>
        <v>0</v>
      </c>
      <c r="AV25" s="787">
        <f>+AS25/AQ25*100</f>
        <v>100</v>
      </c>
      <c r="AW25" s="787"/>
      <c r="AX25" s="787"/>
      <c r="AY25" s="787">
        <f t="shared" ref="AY25:BF25" si="85">SUM(AY26:AY27)</f>
        <v>700</v>
      </c>
      <c r="AZ25" s="787">
        <f t="shared" si="85"/>
        <v>700</v>
      </c>
      <c r="BA25" s="787">
        <f t="shared" si="85"/>
        <v>105696</v>
      </c>
      <c r="BB25" s="787">
        <f t="shared" si="85"/>
        <v>357</v>
      </c>
      <c r="BC25" s="787">
        <f t="shared" si="85"/>
        <v>106039</v>
      </c>
      <c r="BD25" s="787">
        <f t="shared" si="85"/>
        <v>700</v>
      </c>
      <c r="BE25" s="787">
        <f t="shared" si="85"/>
        <v>1000</v>
      </c>
      <c r="BF25" s="787">
        <f t="shared" si="85"/>
        <v>1000</v>
      </c>
      <c r="BG25" s="787">
        <f>+BE25-BC25</f>
        <v>-105039</v>
      </c>
      <c r="BH25" s="787">
        <f>+BE25/BC25*100</f>
        <v>0.94304925546261287</v>
      </c>
      <c r="BI25" s="787"/>
      <c r="BJ25" s="787"/>
      <c r="BK25" s="787">
        <f t="shared" ref="BK25:BR25" si="86">SUM(BK26:BK27)</f>
        <v>8900</v>
      </c>
      <c r="BL25" s="787">
        <f t="shared" si="86"/>
        <v>7000</v>
      </c>
      <c r="BM25" s="787">
        <f t="shared" si="86"/>
        <v>2182</v>
      </c>
      <c r="BN25" s="787">
        <f t="shared" si="86"/>
        <v>2182</v>
      </c>
      <c r="BO25" s="787">
        <f t="shared" si="86"/>
        <v>4000</v>
      </c>
      <c r="BP25" s="787">
        <f t="shared" si="86"/>
        <v>4000</v>
      </c>
      <c r="BQ25" s="787">
        <f t="shared" si="86"/>
        <v>4000</v>
      </c>
      <c r="BR25" s="787">
        <f t="shared" si="86"/>
        <v>4000</v>
      </c>
      <c r="BS25" s="787">
        <f>+BQ25-BO25</f>
        <v>0</v>
      </c>
      <c r="BT25" s="787">
        <f>+BQ25/BO25*100</f>
        <v>100</v>
      </c>
      <c r="BU25" s="787"/>
      <c r="BV25" s="787"/>
      <c r="BW25" s="787">
        <f t="shared" ref="BW25:CD25" si="87">SUM(BW26:BW27)</f>
        <v>24000</v>
      </c>
      <c r="BX25" s="787">
        <f t="shared" si="87"/>
        <v>14000</v>
      </c>
      <c r="BY25" s="787">
        <f t="shared" si="87"/>
        <v>56234</v>
      </c>
      <c r="BZ25" s="787">
        <f t="shared" si="87"/>
        <v>56101</v>
      </c>
      <c r="CA25" s="787">
        <f t="shared" si="87"/>
        <v>60000</v>
      </c>
      <c r="CB25" s="787">
        <f t="shared" si="87"/>
        <v>60000</v>
      </c>
      <c r="CC25" s="787">
        <f t="shared" si="87"/>
        <v>30000</v>
      </c>
      <c r="CD25" s="787">
        <f t="shared" si="87"/>
        <v>30000</v>
      </c>
      <c r="CE25" s="787">
        <f>+CC25-CA25</f>
        <v>-30000</v>
      </c>
      <c r="CF25" s="787">
        <f>+CC25/CA25*100</f>
        <v>50</v>
      </c>
      <c r="CG25" s="787"/>
      <c r="CH25" s="787"/>
      <c r="CI25" s="787">
        <f t="shared" ref="CI25:CP25" si="88">SUM(CI26:CI27)</f>
        <v>5000</v>
      </c>
      <c r="CJ25" s="787">
        <f t="shared" si="88"/>
        <v>5000</v>
      </c>
      <c r="CK25" s="787">
        <f t="shared" si="88"/>
        <v>11250</v>
      </c>
      <c r="CL25" s="787">
        <f t="shared" si="88"/>
        <v>11250</v>
      </c>
      <c r="CM25" s="787">
        <f t="shared" si="88"/>
        <v>12000</v>
      </c>
      <c r="CN25" s="787">
        <f t="shared" si="88"/>
        <v>12000</v>
      </c>
      <c r="CO25" s="787">
        <f t="shared" si="88"/>
        <v>3000</v>
      </c>
      <c r="CP25" s="787">
        <f t="shared" si="88"/>
        <v>3000</v>
      </c>
      <c r="CQ25" s="787">
        <f>+CO25-CM25</f>
        <v>-9000</v>
      </c>
      <c r="CR25" s="787">
        <f>+CO25/CM25*100</f>
        <v>25</v>
      </c>
      <c r="CS25" s="787"/>
      <c r="CT25" s="787"/>
      <c r="CU25" s="787">
        <f t="shared" ref="CU25:DB25" si="89">SUM(CU26:CU27)</f>
        <v>1500</v>
      </c>
      <c r="CV25" s="787">
        <f t="shared" si="89"/>
        <v>1500</v>
      </c>
      <c r="CW25" s="787">
        <f t="shared" si="89"/>
        <v>1263</v>
      </c>
      <c r="CX25" s="787">
        <f t="shared" si="89"/>
        <v>1263</v>
      </c>
      <c r="CY25" s="787">
        <f t="shared" si="89"/>
        <v>1600</v>
      </c>
      <c r="CZ25" s="787">
        <f t="shared" si="89"/>
        <v>1600</v>
      </c>
      <c r="DA25" s="787">
        <f t="shared" si="89"/>
        <v>1600</v>
      </c>
      <c r="DB25" s="787">
        <f t="shared" si="89"/>
        <v>1600</v>
      </c>
      <c r="DC25" s="787">
        <f>+DA25-CY25</f>
        <v>0</v>
      </c>
      <c r="DD25" s="787">
        <f>+DA25/CY25*100</f>
        <v>100</v>
      </c>
      <c r="DE25" s="787"/>
      <c r="DF25" s="787"/>
      <c r="DG25" s="787">
        <f t="shared" ref="DG25:DN25" si="90">SUM(DG26:DG27)</f>
        <v>2100</v>
      </c>
      <c r="DH25" s="787">
        <f t="shared" si="90"/>
        <v>2100</v>
      </c>
      <c r="DI25" s="787">
        <f t="shared" si="90"/>
        <v>2490</v>
      </c>
      <c r="DJ25" s="787">
        <f t="shared" si="90"/>
        <v>2490</v>
      </c>
      <c r="DK25" s="787">
        <f t="shared" si="90"/>
        <v>3300</v>
      </c>
      <c r="DL25" s="787">
        <f t="shared" si="90"/>
        <v>3300</v>
      </c>
      <c r="DM25" s="787">
        <f t="shared" si="90"/>
        <v>3300</v>
      </c>
      <c r="DN25" s="787">
        <f t="shared" si="90"/>
        <v>3300</v>
      </c>
      <c r="DO25" s="787">
        <f>+DM25-DK25</f>
        <v>0</v>
      </c>
      <c r="DP25" s="787">
        <f>+DM25/DK25*100</f>
        <v>100</v>
      </c>
      <c r="DQ25" s="787"/>
      <c r="DR25" s="787"/>
      <c r="DS25" s="787">
        <f t="shared" ref="DS25:DZ25" si="91">SUM(DS26:DS27)</f>
        <v>2000</v>
      </c>
      <c r="DT25" s="787">
        <f t="shared" si="91"/>
        <v>2000</v>
      </c>
      <c r="DU25" s="787">
        <f t="shared" si="91"/>
        <v>6244</v>
      </c>
      <c r="DV25" s="787">
        <f t="shared" si="91"/>
        <v>3841</v>
      </c>
      <c r="DW25" s="787">
        <f t="shared" si="91"/>
        <v>4700</v>
      </c>
      <c r="DX25" s="787">
        <f t="shared" si="91"/>
        <v>4700</v>
      </c>
      <c r="DY25" s="787">
        <f t="shared" si="91"/>
        <v>4700</v>
      </c>
      <c r="DZ25" s="787">
        <f t="shared" si="91"/>
        <v>4700</v>
      </c>
      <c r="EA25" s="787">
        <f>+DY25-DW25</f>
        <v>0</v>
      </c>
      <c r="EB25" s="787">
        <f>+DY25/DW25*100</f>
        <v>100</v>
      </c>
      <c r="EC25" s="787"/>
      <c r="ED25" s="787"/>
      <c r="EE25" s="787">
        <f t="shared" ref="EE25:EL25" si="92">SUM(EE26:EE27)</f>
        <v>12500</v>
      </c>
      <c r="EF25" s="787">
        <f t="shared" si="92"/>
        <v>12500</v>
      </c>
      <c r="EG25" s="787">
        <f t="shared" si="92"/>
        <v>73139</v>
      </c>
      <c r="EH25" s="787">
        <f t="shared" si="92"/>
        <v>73139</v>
      </c>
      <c r="EI25" s="787">
        <f t="shared" si="92"/>
        <v>75000</v>
      </c>
      <c r="EJ25" s="787">
        <f t="shared" si="92"/>
        <v>75000</v>
      </c>
      <c r="EK25" s="787">
        <f t="shared" si="92"/>
        <v>15000</v>
      </c>
      <c r="EL25" s="787">
        <f t="shared" si="92"/>
        <v>15000</v>
      </c>
      <c r="EM25" s="787">
        <f>+EK25-EI25</f>
        <v>-60000</v>
      </c>
      <c r="EN25" s="787">
        <f>+EK25/EI25*100</f>
        <v>20</v>
      </c>
      <c r="EO25" s="787"/>
      <c r="EP25" s="787"/>
      <c r="EQ25" s="787">
        <f t="shared" ref="EQ25:EX25" si="93">SUM(EQ26:EQ27)</f>
        <v>3500</v>
      </c>
      <c r="ER25" s="787">
        <f t="shared" si="93"/>
        <v>3500</v>
      </c>
      <c r="ES25" s="787">
        <f t="shared" si="93"/>
        <v>771</v>
      </c>
      <c r="ET25" s="787">
        <f t="shared" si="93"/>
        <v>771</v>
      </c>
      <c r="EU25" s="787">
        <f t="shared" si="93"/>
        <v>2000</v>
      </c>
      <c r="EV25" s="787">
        <f t="shared" si="93"/>
        <v>2000</v>
      </c>
      <c r="EW25" s="787">
        <f t="shared" si="93"/>
        <v>2000</v>
      </c>
      <c r="EX25" s="787">
        <f t="shared" si="93"/>
        <v>2000</v>
      </c>
      <c r="EY25" s="787">
        <f>+EW25-EU25</f>
        <v>0</v>
      </c>
      <c r="EZ25" s="787">
        <f>+EW25/EU25*100</f>
        <v>100</v>
      </c>
      <c r="FA25" s="787"/>
      <c r="FB25" s="787"/>
    </row>
    <row r="26" spans="1:158" x14ac:dyDescent="0.25">
      <c r="A26" s="335" t="s">
        <v>449</v>
      </c>
      <c r="B26" s="257" t="s">
        <v>560</v>
      </c>
      <c r="C26" s="788">
        <f t="shared" si="67"/>
        <v>11900</v>
      </c>
      <c r="D26" s="788">
        <f t="shared" si="67"/>
        <v>0</v>
      </c>
      <c r="E26" s="788">
        <f t="shared" si="67"/>
        <v>107875</v>
      </c>
      <c r="F26" s="788">
        <f t="shared" si="67"/>
        <v>0</v>
      </c>
      <c r="G26" s="788">
        <f t="shared" si="67"/>
        <v>105339</v>
      </c>
      <c r="H26" s="788">
        <f t="shared" si="67"/>
        <v>0</v>
      </c>
      <c r="I26" s="788">
        <f t="shared" si="67"/>
        <v>0</v>
      </c>
      <c r="J26" s="788">
        <f t="shared" si="67"/>
        <v>0</v>
      </c>
      <c r="K26" s="788"/>
      <c r="L26" s="788"/>
      <c r="M26" s="788"/>
      <c r="N26" s="788"/>
      <c r="O26" s="788"/>
      <c r="P26" s="788">
        <v>0</v>
      </c>
      <c r="Q26" s="788">
        <v>0</v>
      </c>
      <c r="R26" s="788">
        <v>0</v>
      </c>
      <c r="S26" s="788"/>
      <c r="T26" s="788">
        <v>0</v>
      </c>
      <c r="U26" s="788"/>
      <c r="V26" s="788">
        <v>0</v>
      </c>
      <c r="W26" s="788"/>
      <c r="X26" s="788"/>
      <c r="Y26" s="788"/>
      <c r="Z26" s="788"/>
      <c r="AA26" s="788"/>
      <c r="AB26" s="788">
        <v>0</v>
      </c>
      <c r="AC26" s="788">
        <v>0</v>
      </c>
      <c r="AD26" s="788">
        <v>0</v>
      </c>
      <c r="AE26" s="788"/>
      <c r="AF26" s="788">
        <v>0</v>
      </c>
      <c r="AG26" s="788"/>
      <c r="AH26" s="788">
        <v>0</v>
      </c>
      <c r="AI26" s="788"/>
      <c r="AJ26" s="788"/>
      <c r="AK26" s="788"/>
      <c r="AL26" s="788"/>
      <c r="AM26" s="788"/>
      <c r="AN26" s="788">
        <v>0</v>
      </c>
      <c r="AO26" s="788">
        <v>0</v>
      </c>
      <c r="AP26" s="788">
        <v>0</v>
      </c>
      <c r="AQ26" s="788"/>
      <c r="AR26" s="788">
        <v>0</v>
      </c>
      <c r="AS26" s="788"/>
      <c r="AT26" s="788">
        <v>0</v>
      </c>
      <c r="AU26" s="788"/>
      <c r="AV26" s="788"/>
      <c r="AW26" s="788"/>
      <c r="AX26" s="788"/>
      <c r="AY26" s="788">
        <v>0</v>
      </c>
      <c r="AZ26" s="788">
        <v>0</v>
      </c>
      <c r="BA26" s="788">
        <v>105339</v>
      </c>
      <c r="BB26" s="788">
        <v>0</v>
      </c>
      <c r="BC26" s="788">
        <f>+BA26</f>
        <v>105339</v>
      </c>
      <c r="BD26" s="788">
        <v>0</v>
      </c>
      <c r="BE26" s="788">
        <v>0</v>
      </c>
      <c r="BF26" s="788">
        <v>0</v>
      </c>
      <c r="BG26" s="788"/>
      <c r="BH26" s="788"/>
      <c r="BI26" s="788"/>
      <c r="BJ26" s="788"/>
      <c r="BK26" s="788">
        <v>1900</v>
      </c>
      <c r="BL26" s="788">
        <v>0</v>
      </c>
      <c r="BM26" s="788">
        <v>0</v>
      </c>
      <c r="BN26" s="788">
        <v>0</v>
      </c>
      <c r="BO26" s="788"/>
      <c r="BP26" s="788">
        <v>0</v>
      </c>
      <c r="BQ26" s="788"/>
      <c r="BR26" s="788">
        <v>0</v>
      </c>
      <c r="BS26" s="788"/>
      <c r="BT26" s="788"/>
      <c r="BU26" s="788"/>
      <c r="BV26" s="788"/>
      <c r="BW26" s="788">
        <v>10000</v>
      </c>
      <c r="BX26" s="788">
        <v>0</v>
      </c>
      <c r="BY26" s="788">
        <v>133</v>
      </c>
      <c r="BZ26" s="788">
        <v>0</v>
      </c>
      <c r="CA26" s="788"/>
      <c r="CB26" s="788">
        <v>0</v>
      </c>
      <c r="CC26" s="788">
        <v>0</v>
      </c>
      <c r="CD26" s="788">
        <v>0</v>
      </c>
      <c r="CE26" s="788"/>
      <c r="CF26" s="788"/>
      <c r="CG26" s="788"/>
      <c r="CH26" s="788"/>
      <c r="CI26" s="788">
        <v>0</v>
      </c>
      <c r="CJ26" s="788">
        <v>0</v>
      </c>
      <c r="CK26" s="788">
        <v>0</v>
      </c>
      <c r="CL26" s="788">
        <v>0</v>
      </c>
      <c r="CM26" s="788"/>
      <c r="CN26" s="788">
        <v>0</v>
      </c>
      <c r="CO26" s="791">
        <v>0</v>
      </c>
      <c r="CP26" s="788">
        <v>0</v>
      </c>
      <c r="CQ26" s="788"/>
      <c r="CR26" s="788"/>
      <c r="CS26" s="788"/>
      <c r="CT26" s="788"/>
      <c r="CU26" s="788">
        <v>0</v>
      </c>
      <c r="CV26" s="788">
        <v>0</v>
      </c>
      <c r="CW26" s="788">
        <v>0</v>
      </c>
      <c r="CX26" s="788">
        <v>0</v>
      </c>
      <c r="CY26" s="788"/>
      <c r="CZ26" s="788">
        <v>0</v>
      </c>
      <c r="DA26" s="788">
        <v>0</v>
      </c>
      <c r="DB26" s="788">
        <v>0</v>
      </c>
      <c r="DC26" s="788"/>
      <c r="DD26" s="788"/>
      <c r="DE26" s="788"/>
      <c r="DF26" s="788"/>
      <c r="DG26" s="788">
        <v>0</v>
      </c>
      <c r="DH26" s="788">
        <v>0</v>
      </c>
      <c r="DI26" s="788">
        <v>0</v>
      </c>
      <c r="DJ26" s="788">
        <v>0</v>
      </c>
      <c r="DK26" s="788">
        <v>0</v>
      </c>
      <c r="DL26" s="788">
        <v>0</v>
      </c>
      <c r="DM26" s="788">
        <v>0</v>
      </c>
      <c r="DN26" s="788">
        <v>0</v>
      </c>
      <c r="DO26" s="788"/>
      <c r="DP26" s="788"/>
      <c r="DQ26" s="788"/>
      <c r="DR26" s="788"/>
      <c r="DS26" s="788">
        <v>0</v>
      </c>
      <c r="DT26" s="788">
        <v>0</v>
      </c>
      <c r="DU26" s="788">
        <v>2403</v>
      </c>
      <c r="DV26" s="788">
        <v>0</v>
      </c>
      <c r="DW26" s="788">
        <v>0</v>
      </c>
      <c r="DX26" s="788">
        <v>0</v>
      </c>
      <c r="DY26" s="788">
        <v>0</v>
      </c>
      <c r="DZ26" s="788">
        <v>0</v>
      </c>
      <c r="EA26" s="788"/>
      <c r="EB26" s="788"/>
      <c r="EC26" s="788"/>
      <c r="ED26" s="788"/>
      <c r="EE26" s="788">
        <v>0</v>
      </c>
      <c r="EF26" s="788">
        <v>0</v>
      </c>
      <c r="EG26" s="788">
        <f>+(0)</f>
        <v>0</v>
      </c>
      <c r="EH26" s="788">
        <v>0</v>
      </c>
      <c r="EI26" s="788">
        <v>0</v>
      </c>
      <c r="EJ26" s="788">
        <v>0</v>
      </c>
      <c r="EK26" s="788">
        <v>0</v>
      </c>
      <c r="EL26" s="788">
        <v>0</v>
      </c>
      <c r="EM26" s="788"/>
      <c r="EN26" s="788"/>
      <c r="EO26" s="788"/>
      <c r="EP26" s="788"/>
      <c r="EQ26" s="788">
        <v>0</v>
      </c>
      <c r="ER26" s="788">
        <v>0</v>
      </c>
      <c r="ES26" s="788">
        <v>0</v>
      </c>
      <c r="ET26" s="788">
        <v>0</v>
      </c>
      <c r="EU26" s="788"/>
      <c r="EV26" s="788">
        <v>0</v>
      </c>
      <c r="EW26" s="788"/>
      <c r="EX26" s="788">
        <v>0</v>
      </c>
      <c r="EY26" s="788"/>
      <c r="EZ26" s="788"/>
      <c r="FA26" s="788"/>
      <c r="FB26" s="788"/>
    </row>
    <row r="27" spans="1:158" x14ac:dyDescent="0.25">
      <c r="A27" s="335" t="s">
        <v>449</v>
      </c>
      <c r="B27" s="257" t="s">
        <v>561</v>
      </c>
      <c r="C27" s="788">
        <f t="shared" si="67"/>
        <v>53100</v>
      </c>
      <c r="D27" s="788">
        <f t="shared" si="67"/>
        <v>53100</v>
      </c>
      <c r="E27" s="788">
        <f t="shared" si="67"/>
        <v>168888</v>
      </c>
      <c r="F27" s="788">
        <f t="shared" si="67"/>
        <v>168888</v>
      </c>
      <c r="G27" s="788">
        <f t="shared" si="67"/>
        <v>183700</v>
      </c>
      <c r="H27" s="788">
        <f t="shared" si="67"/>
        <v>183700</v>
      </c>
      <c r="I27" s="788">
        <f t="shared" si="67"/>
        <v>70000</v>
      </c>
      <c r="J27" s="788">
        <f t="shared" si="67"/>
        <v>70000</v>
      </c>
      <c r="K27" s="788"/>
      <c r="L27" s="788"/>
      <c r="M27" s="788"/>
      <c r="N27" s="788"/>
      <c r="O27" s="788">
        <v>2400</v>
      </c>
      <c r="P27" s="788">
        <f>O27</f>
        <v>2400</v>
      </c>
      <c r="Q27" s="788">
        <v>1189</v>
      </c>
      <c r="R27" s="788">
        <f>Q27</f>
        <v>1189</v>
      </c>
      <c r="S27" s="788">
        <v>2000</v>
      </c>
      <c r="T27" s="788">
        <f>S27</f>
        <v>2000</v>
      </c>
      <c r="U27" s="788">
        <v>2000</v>
      </c>
      <c r="V27" s="788">
        <f>U27</f>
        <v>2000</v>
      </c>
      <c r="W27" s="788"/>
      <c r="X27" s="788"/>
      <c r="Y27" s="788"/>
      <c r="Z27" s="788"/>
      <c r="AA27" s="788">
        <v>2000</v>
      </c>
      <c r="AB27" s="788">
        <f>AA27</f>
        <v>2000</v>
      </c>
      <c r="AC27" s="788">
        <v>16120</v>
      </c>
      <c r="AD27" s="788">
        <f>AC27</f>
        <v>16120</v>
      </c>
      <c r="AE27" s="788">
        <v>18000</v>
      </c>
      <c r="AF27" s="788">
        <f>AE27</f>
        <v>18000</v>
      </c>
      <c r="AG27" s="788">
        <v>3000</v>
      </c>
      <c r="AH27" s="788">
        <f>AG27</f>
        <v>3000</v>
      </c>
      <c r="AI27" s="788"/>
      <c r="AJ27" s="788"/>
      <c r="AK27" s="788"/>
      <c r="AL27" s="788"/>
      <c r="AM27" s="788">
        <v>400</v>
      </c>
      <c r="AN27" s="788">
        <f>AM27</f>
        <v>400</v>
      </c>
      <c r="AO27" s="788">
        <v>185</v>
      </c>
      <c r="AP27" s="788">
        <f>AO27</f>
        <v>185</v>
      </c>
      <c r="AQ27" s="788">
        <v>400</v>
      </c>
      <c r="AR27" s="788">
        <f>AQ27</f>
        <v>400</v>
      </c>
      <c r="AS27" s="788">
        <v>400</v>
      </c>
      <c r="AT27" s="788">
        <f>AS27</f>
        <v>400</v>
      </c>
      <c r="AU27" s="788"/>
      <c r="AV27" s="788"/>
      <c r="AW27" s="788"/>
      <c r="AX27" s="788"/>
      <c r="AY27" s="788">
        <v>700</v>
      </c>
      <c r="AZ27" s="788">
        <f>AY27</f>
        <v>700</v>
      </c>
      <c r="BA27" s="788">
        <v>357</v>
      </c>
      <c r="BB27" s="788">
        <f>BA27</f>
        <v>357</v>
      </c>
      <c r="BC27" s="788">
        <v>700</v>
      </c>
      <c r="BD27" s="788">
        <f>BC27</f>
        <v>700</v>
      </c>
      <c r="BE27" s="788">
        <v>1000</v>
      </c>
      <c r="BF27" s="788">
        <f>BE27</f>
        <v>1000</v>
      </c>
      <c r="BG27" s="788"/>
      <c r="BH27" s="788"/>
      <c r="BI27" s="788"/>
      <c r="BJ27" s="788"/>
      <c r="BK27" s="788">
        <v>7000</v>
      </c>
      <c r="BL27" s="788">
        <f>BK27</f>
        <v>7000</v>
      </c>
      <c r="BM27" s="788">
        <v>2182</v>
      </c>
      <c r="BN27" s="788">
        <f>BM27</f>
        <v>2182</v>
      </c>
      <c r="BO27" s="788">
        <v>4000</v>
      </c>
      <c r="BP27" s="788">
        <f>BO27</f>
        <v>4000</v>
      </c>
      <c r="BQ27" s="788">
        <v>4000</v>
      </c>
      <c r="BR27" s="788">
        <f>BQ27</f>
        <v>4000</v>
      </c>
      <c r="BS27" s="788"/>
      <c r="BT27" s="788"/>
      <c r="BU27" s="788"/>
      <c r="BV27" s="788"/>
      <c r="BW27" s="788">
        <v>14000</v>
      </c>
      <c r="BX27" s="788">
        <f>BW27</f>
        <v>14000</v>
      </c>
      <c r="BY27" s="788">
        <v>56101</v>
      </c>
      <c r="BZ27" s="788">
        <f>BY27</f>
        <v>56101</v>
      </c>
      <c r="CA27" s="788">
        <v>60000</v>
      </c>
      <c r="CB27" s="788">
        <f>CA27</f>
        <v>60000</v>
      </c>
      <c r="CC27" s="788">
        <v>30000</v>
      </c>
      <c r="CD27" s="788">
        <f>CC27</f>
        <v>30000</v>
      </c>
      <c r="CE27" s="788"/>
      <c r="CF27" s="788"/>
      <c r="CG27" s="788"/>
      <c r="CH27" s="788"/>
      <c r="CI27" s="788">
        <v>5000</v>
      </c>
      <c r="CJ27" s="788">
        <f>CI27</f>
        <v>5000</v>
      </c>
      <c r="CK27" s="788">
        <v>11250</v>
      </c>
      <c r="CL27" s="788">
        <f>CK27</f>
        <v>11250</v>
      </c>
      <c r="CM27" s="788">
        <v>12000</v>
      </c>
      <c r="CN27" s="788">
        <f>CM27</f>
        <v>12000</v>
      </c>
      <c r="CO27" s="788">
        <v>3000</v>
      </c>
      <c r="CP27" s="788">
        <f>CO27</f>
        <v>3000</v>
      </c>
      <c r="CQ27" s="788"/>
      <c r="CR27" s="788"/>
      <c r="CS27" s="788"/>
      <c r="CT27" s="788"/>
      <c r="CU27" s="788">
        <v>1500</v>
      </c>
      <c r="CV27" s="788">
        <f>CU27</f>
        <v>1500</v>
      </c>
      <c r="CW27" s="788">
        <v>1263</v>
      </c>
      <c r="CX27" s="788">
        <f>CW27</f>
        <v>1263</v>
      </c>
      <c r="CY27" s="788">
        <v>1600</v>
      </c>
      <c r="CZ27" s="788">
        <f>CY27</f>
        <v>1600</v>
      </c>
      <c r="DA27" s="788">
        <v>1600</v>
      </c>
      <c r="DB27" s="788">
        <f>DA27</f>
        <v>1600</v>
      </c>
      <c r="DC27" s="788"/>
      <c r="DD27" s="788"/>
      <c r="DE27" s="788"/>
      <c r="DF27" s="788"/>
      <c r="DG27" s="788">
        <v>2100</v>
      </c>
      <c r="DH27" s="788">
        <f>DG27</f>
        <v>2100</v>
      </c>
      <c r="DI27" s="788">
        <v>2490</v>
      </c>
      <c r="DJ27" s="788">
        <f>DI27</f>
        <v>2490</v>
      </c>
      <c r="DK27" s="788">
        <v>3300</v>
      </c>
      <c r="DL27" s="788">
        <f>DK27</f>
        <v>3300</v>
      </c>
      <c r="DM27" s="788">
        <v>3300</v>
      </c>
      <c r="DN27" s="788">
        <f>DM27</f>
        <v>3300</v>
      </c>
      <c r="DO27" s="788"/>
      <c r="DP27" s="788"/>
      <c r="DQ27" s="788"/>
      <c r="DR27" s="788"/>
      <c r="DS27" s="788">
        <v>2000</v>
      </c>
      <c r="DT27" s="788">
        <f>DS27</f>
        <v>2000</v>
      </c>
      <c r="DU27" s="788">
        <v>3841</v>
      </c>
      <c r="DV27" s="788">
        <f>DU27</f>
        <v>3841</v>
      </c>
      <c r="DW27" s="788">
        <v>4700</v>
      </c>
      <c r="DX27" s="788">
        <f>DW27</f>
        <v>4700</v>
      </c>
      <c r="DY27" s="788">
        <v>4700</v>
      </c>
      <c r="DZ27" s="788">
        <f>DY27</f>
        <v>4700</v>
      </c>
      <c r="EA27" s="788"/>
      <c r="EB27" s="788"/>
      <c r="EC27" s="788"/>
      <c r="ED27" s="788"/>
      <c r="EE27" s="788">
        <v>12500</v>
      </c>
      <c r="EF27" s="788">
        <f>EE27</f>
        <v>12500</v>
      </c>
      <c r="EG27" s="788">
        <v>73139</v>
      </c>
      <c r="EH27" s="788">
        <f>EG27</f>
        <v>73139</v>
      </c>
      <c r="EI27" s="788">
        <v>75000</v>
      </c>
      <c r="EJ27" s="788">
        <f>EI27</f>
        <v>75000</v>
      </c>
      <c r="EK27" s="788">
        <v>15000</v>
      </c>
      <c r="EL27" s="788">
        <f>EK27</f>
        <v>15000</v>
      </c>
      <c r="EM27" s="788"/>
      <c r="EN27" s="788"/>
      <c r="EO27" s="788"/>
      <c r="EP27" s="788"/>
      <c r="EQ27" s="788">
        <v>3500</v>
      </c>
      <c r="ER27" s="788">
        <f>EQ27</f>
        <v>3500</v>
      </c>
      <c r="ES27" s="788">
        <v>771</v>
      </c>
      <c r="ET27" s="788">
        <f>ES27</f>
        <v>771</v>
      </c>
      <c r="EU27" s="788">
        <v>2000</v>
      </c>
      <c r="EV27" s="788">
        <f>EU27</f>
        <v>2000</v>
      </c>
      <c r="EW27" s="788">
        <v>2000</v>
      </c>
      <c r="EX27" s="788">
        <f>EW27</f>
        <v>2000</v>
      </c>
      <c r="EY27" s="788"/>
      <c r="EZ27" s="788"/>
      <c r="FA27" s="788"/>
      <c r="FB27" s="788"/>
    </row>
    <row r="28" spans="1:158" s="168" customFormat="1" x14ac:dyDescent="0.25">
      <c r="A28" s="166">
        <v>8</v>
      </c>
      <c r="B28" s="255" t="s">
        <v>213</v>
      </c>
      <c r="C28" s="787">
        <f t="shared" si="67"/>
        <v>450000</v>
      </c>
      <c r="D28" s="787">
        <f t="shared" si="67"/>
        <v>400000</v>
      </c>
      <c r="E28" s="787">
        <f t="shared" si="67"/>
        <v>569664</v>
      </c>
      <c r="F28" s="787">
        <f t="shared" si="67"/>
        <v>561377</v>
      </c>
      <c r="G28" s="787">
        <f t="shared" si="67"/>
        <v>677000</v>
      </c>
      <c r="H28" s="787">
        <f t="shared" si="68"/>
        <v>635000</v>
      </c>
      <c r="I28" s="787">
        <f>SUM(U28,AG28,AS28,BE28,BQ28,CC28,CO28,DA28,DM28,DY28,EK28,EW28)</f>
        <v>450000</v>
      </c>
      <c r="J28" s="787">
        <f t="shared" si="68"/>
        <v>380000</v>
      </c>
      <c r="K28" s="787">
        <f>+I28-G28</f>
        <v>-227000</v>
      </c>
      <c r="L28" s="787">
        <f t="shared" si="1"/>
        <v>66.469719350073859</v>
      </c>
      <c r="M28" s="787">
        <f>+G28-C28</f>
        <v>227000</v>
      </c>
      <c r="N28" s="787">
        <f>+G28/C28*100</f>
        <v>150.44444444444446</v>
      </c>
      <c r="O28" s="787">
        <f t="shared" ref="O28:V28" si="94">SUM(O29:O30)</f>
        <v>10000</v>
      </c>
      <c r="P28" s="787">
        <f t="shared" si="94"/>
        <v>10000</v>
      </c>
      <c r="Q28" s="787">
        <f t="shared" si="94"/>
        <v>20040</v>
      </c>
      <c r="R28" s="787">
        <f t="shared" si="94"/>
        <v>20040</v>
      </c>
      <c r="S28" s="787">
        <f t="shared" si="94"/>
        <v>21000</v>
      </c>
      <c r="T28" s="787">
        <f t="shared" si="94"/>
        <v>21000</v>
      </c>
      <c r="U28" s="787">
        <f t="shared" si="94"/>
        <v>10000</v>
      </c>
      <c r="V28" s="787">
        <f t="shared" si="94"/>
        <v>10000</v>
      </c>
      <c r="W28" s="787">
        <f>+U28-S28</f>
        <v>-11000</v>
      </c>
      <c r="X28" s="787">
        <f>+U28/S28*100</f>
        <v>47.619047619047613</v>
      </c>
      <c r="Y28" s="787">
        <f>+S28-O28</f>
        <v>11000</v>
      </c>
      <c r="Z28" s="787">
        <f>+S28/O28*100</f>
        <v>210</v>
      </c>
      <c r="AA28" s="787">
        <f t="shared" ref="AA28:AH28" si="95">SUM(AA29:AA30)</f>
        <v>90000</v>
      </c>
      <c r="AB28" s="787">
        <f t="shared" si="95"/>
        <v>90000</v>
      </c>
      <c r="AC28" s="787">
        <f t="shared" si="95"/>
        <v>76679</v>
      </c>
      <c r="AD28" s="787">
        <f t="shared" si="95"/>
        <v>76679</v>
      </c>
      <c r="AE28" s="787">
        <f t="shared" si="95"/>
        <v>100000</v>
      </c>
      <c r="AF28" s="787">
        <f t="shared" si="95"/>
        <v>100000</v>
      </c>
      <c r="AG28" s="787">
        <f t="shared" si="95"/>
        <v>90000</v>
      </c>
      <c r="AH28" s="787">
        <f t="shared" si="95"/>
        <v>90000</v>
      </c>
      <c r="AI28" s="787">
        <f t="shared" si="35"/>
        <v>-10000</v>
      </c>
      <c r="AJ28" s="787">
        <f>+AG28/AE28*100</f>
        <v>90</v>
      </c>
      <c r="AK28" s="787">
        <f t="shared" si="69"/>
        <v>10000</v>
      </c>
      <c r="AL28" s="787">
        <f>+AE28/AA28*100</f>
        <v>111.11111111111111</v>
      </c>
      <c r="AM28" s="787">
        <f t="shared" ref="AM28:AT28" si="96">SUM(AM29:AM30)</f>
        <v>10000</v>
      </c>
      <c r="AN28" s="787">
        <f t="shared" si="96"/>
        <v>10000</v>
      </c>
      <c r="AO28" s="787">
        <f t="shared" si="96"/>
        <v>28889</v>
      </c>
      <c r="AP28" s="787">
        <f t="shared" si="96"/>
        <v>28889</v>
      </c>
      <c r="AQ28" s="787">
        <f t="shared" si="96"/>
        <v>30000</v>
      </c>
      <c r="AR28" s="787">
        <f t="shared" si="96"/>
        <v>30000</v>
      </c>
      <c r="AS28" s="787">
        <f t="shared" si="96"/>
        <v>10000</v>
      </c>
      <c r="AT28" s="787">
        <f t="shared" si="96"/>
        <v>10000</v>
      </c>
      <c r="AU28" s="787">
        <f>+AS28-AQ28</f>
        <v>-20000</v>
      </c>
      <c r="AV28" s="787">
        <f>+AS28/AQ28*100</f>
        <v>33.333333333333329</v>
      </c>
      <c r="AW28" s="787">
        <f>+AQ28-AM28</f>
        <v>20000</v>
      </c>
      <c r="AX28" s="787">
        <f>+AQ28/AM28*100</f>
        <v>300</v>
      </c>
      <c r="AY28" s="787">
        <f t="shared" ref="AY28:BF28" si="97">SUM(AY29:AY30)</f>
        <v>20000</v>
      </c>
      <c r="AZ28" s="787">
        <f t="shared" si="97"/>
        <v>20000</v>
      </c>
      <c r="BA28" s="787">
        <f t="shared" si="97"/>
        <v>25682</v>
      </c>
      <c r="BB28" s="787">
        <f t="shared" si="97"/>
        <v>25682</v>
      </c>
      <c r="BC28" s="787">
        <f t="shared" si="97"/>
        <v>28000</v>
      </c>
      <c r="BD28" s="787">
        <f t="shared" si="97"/>
        <v>28000</v>
      </c>
      <c r="BE28" s="787">
        <f t="shared" si="97"/>
        <v>20000</v>
      </c>
      <c r="BF28" s="787">
        <f t="shared" si="97"/>
        <v>20000</v>
      </c>
      <c r="BG28" s="787">
        <f>+BE28-BC28</f>
        <v>-8000</v>
      </c>
      <c r="BH28" s="787">
        <f>+BE28/BC28*100</f>
        <v>71.428571428571431</v>
      </c>
      <c r="BI28" s="787">
        <f>+BC28-AY28</f>
        <v>8000</v>
      </c>
      <c r="BJ28" s="787">
        <f>+BC28/AY28*100</f>
        <v>140</v>
      </c>
      <c r="BK28" s="787">
        <f t="shared" ref="BK28:BR28" si="98">SUM(BK29:BK30)</f>
        <v>20000</v>
      </c>
      <c r="BL28" s="787">
        <f t="shared" si="98"/>
        <v>20000</v>
      </c>
      <c r="BM28" s="787">
        <f t="shared" si="98"/>
        <v>13230</v>
      </c>
      <c r="BN28" s="787">
        <f t="shared" si="98"/>
        <v>13230</v>
      </c>
      <c r="BO28" s="787">
        <f t="shared" si="98"/>
        <v>20000</v>
      </c>
      <c r="BP28" s="787">
        <f t="shared" si="98"/>
        <v>20000</v>
      </c>
      <c r="BQ28" s="787">
        <f t="shared" si="98"/>
        <v>20000</v>
      </c>
      <c r="BR28" s="787">
        <f t="shared" si="98"/>
        <v>20000</v>
      </c>
      <c r="BS28" s="787">
        <f>+BQ28-BO28</f>
        <v>0</v>
      </c>
      <c r="BT28" s="787">
        <f>+BQ28/BO28*100</f>
        <v>100</v>
      </c>
      <c r="BU28" s="787">
        <f>+BO28-BK28</f>
        <v>0</v>
      </c>
      <c r="BV28" s="787">
        <f>+BO28/BK28*100</f>
        <v>100</v>
      </c>
      <c r="BW28" s="787">
        <f t="shared" ref="BW28:CD28" si="99">SUM(BW29:BW30)</f>
        <v>100000</v>
      </c>
      <c r="BX28" s="787">
        <f t="shared" si="99"/>
        <v>70000</v>
      </c>
      <c r="BY28" s="787">
        <f t="shared" si="99"/>
        <v>160167</v>
      </c>
      <c r="BZ28" s="787">
        <f t="shared" si="99"/>
        <v>159051</v>
      </c>
      <c r="CA28" s="787">
        <f t="shared" si="99"/>
        <v>210000</v>
      </c>
      <c r="CB28" s="787">
        <f t="shared" si="99"/>
        <v>180000</v>
      </c>
      <c r="CC28" s="787">
        <f t="shared" si="99"/>
        <v>107000</v>
      </c>
      <c r="CD28" s="787">
        <f t="shared" si="99"/>
        <v>50000</v>
      </c>
      <c r="CE28" s="787">
        <f>+CC28-CA28</f>
        <v>-103000</v>
      </c>
      <c r="CF28" s="787">
        <f>+CC28/CA28*100</f>
        <v>50.952380952380949</v>
      </c>
      <c r="CG28" s="787">
        <f>+CA28-BW28</f>
        <v>110000</v>
      </c>
      <c r="CH28" s="787">
        <f>+CA28/BW28*100</f>
        <v>210</v>
      </c>
      <c r="CI28" s="787">
        <f t="shared" ref="CI28:CP28" si="100">SUM(CI29:CI30)</f>
        <v>35000</v>
      </c>
      <c r="CJ28" s="787">
        <f t="shared" si="100"/>
        <v>35000</v>
      </c>
      <c r="CK28" s="787">
        <f t="shared" si="100"/>
        <v>31722</v>
      </c>
      <c r="CL28" s="787">
        <f t="shared" si="100"/>
        <v>31722</v>
      </c>
      <c r="CM28" s="787">
        <f t="shared" si="100"/>
        <v>35000</v>
      </c>
      <c r="CN28" s="787">
        <f t="shared" si="100"/>
        <v>35000</v>
      </c>
      <c r="CO28" s="787">
        <f t="shared" si="100"/>
        <v>35000</v>
      </c>
      <c r="CP28" s="787">
        <f t="shared" si="100"/>
        <v>35000</v>
      </c>
      <c r="CQ28" s="787">
        <f>+CO28-CM28</f>
        <v>0</v>
      </c>
      <c r="CR28" s="787">
        <f>+CO28/CM28*100</f>
        <v>100</v>
      </c>
      <c r="CS28" s="787">
        <f>+CM28-CI28</f>
        <v>0</v>
      </c>
      <c r="CT28" s="787">
        <f>+CM28/CI28*100</f>
        <v>100</v>
      </c>
      <c r="CU28" s="787">
        <f t="shared" ref="CU28:DB28" si="101">SUM(CU29:CU30)</f>
        <v>55000</v>
      </c>
      <c r="CV28" s="787">
        <f t="shared" si="101"/>
        <v>40000</v>
      </c>
      <c r="CW28" s="787">
        <f t="shared" si="101"/>
        <v>50557</v>
      </c>
      <c r="CX28" s="787">
        <f t="shared" si="101"/>
        <v>44343</v>
      </c>
      <c r="CY28" s="787">
        <f t="shared" si="101"/>
        <v>55000</v>
      </c>
      <c r="CZ28" s="787">
        <f t="shared" si="101"/>
        <v>45000</v>
      </c>
      <c r="DA28" s="787">
        <f t="shared" si="101"/>
        <v>45000</v>
      </c>
      <c r="DB28" s="787">
        <f t="shared" si="101"/>
        <v>40000</v>
      </c>
      <c r="DC28" s="787">
        <f>+DA28-CY28</f>
        <v>-10000</v>
      </c>
      <c r="DD28" s="787">
        <f>+DA28/CY28*100</f>
        <v>81.818181818181827</v>
      </c>
      <c r="DE28" s="787">
        <f>+CY28-CU28</f>
        <v>0</v>
      </c>
      <c r="DF28" s="787">
        <f>+CY28/CU28*100</f>
        <v>100</v>
      </c>
      <c r="DG28" s="787">
        <f t="shared" ref="DG28:DN28" si="102">SUM(DG29:DG30)</f>
        <v>20000</v>
      </c>
      <c r="DH28" s="787">
        <f t="shared" si="102"/>
        <v>15000</v>
      </c>
      <c r="DI28" s="787">
        <f t="shared" si="102"/>
        <v>26232</v>
      </c>
      <c r="DJ28" s="787">
        <f t="shared" si="102"/>
        <v>25275</v>
      </c>
      <c r="DK28" s="787">
        <f t="shared" si="102"/>
        <v>30000</v>
      </c>
      <c r="DL28" s="787">
        <f t="shared" si="102"/>
        <v>28000</v>
      </c>
      <c r="DM28" s="787">
        <f t="shared" si="102"/>
        <v>23000</v>
      </c>
      <c r="DN28" s="787">
        <f t="shared" si="102"/>
        <v>15000</v>
      </c>
      <c r="DO28" s="787">
        <f>+DM28-DK28</f>
        <v>-7000</v>
      </c>
      <c r="DP28" s="787">
        <f>+DM28/DK28*100</f>
        <v>76.666666666666671</v>
      </c>
      <c r="DQ28" s="787">
        <f>+DK28-DG28</f>
        <v>10000</v>
      </c>
      <c r="DR28" s="787">
        <f>+DK28/DG28*100</f>
        <v>150</v>
      </c>
      <c r="DS28" s="787">
        <f t="shared" ref="DS28:DZ28" si="103">SUM(DS29:DS30)</f>
        <v>10000</v>
      </c>
      <c r="DT28" s="787">
        <f t="shared" si="103"/>
        <v>10000</v>
      </c>
      <c r="DU28" s="787">
        <f t="shared" si="103"/>
        <v>6701</v>
      </c>
      <c r="DV28" s="787">
        <f t="shared" si="103"/>
        <v>6701</v>
      </c>
      <c r="DW28" s="787">
        <f t="shared" si="103"/>
        <v>10000</v>
      </c>
      <c r="DX28" s="787">
        <f t="shared" si="103"/>
        <v>10000</v>
      </c>
      <c r="DY28" s="787">
        <f t="shared" si="103"/>
        <v>10000</v>
      </c>
      <c r="DZ28" s="787">
        <f t="shared" si="103"/>
        <v>10000</v>
      </c>
      <c r="EA28" s="787">
        <f>+DY28-DW28</f>
        <v>0</v>
      </c>
      <c r="EB28" s="787">
        <f>+DY28/DW28*100</f>
        <v>100</v>
      </c>
      <c r="EC28" s="787">
        <f>+DW28-DS28</f>
        <v>0</v>
      </c>
      <c r="ED28" s="787">
        <f>+DW28/DS28*100</f>
        <v>100</v>
      </c>
      <c r="EE28" s="787">
        <f t="shared" ref="EE28:EL28" si="104">SUM(EE29:EE30)</f>
        <v>60000</v>
      </c>
      <c r="EF28" s="787">
        <f t="shared" si="104"/>
        <v>60000</v>
      </c>
      <c r="EG28" s="787">
        <f t="shared" si="104"/>
        <v>101607</v>
      </c>
      <c r="EH28" s="787">
        <f t="shared" si="104"/>
        <v>101607</v>
      </c>
      <c r="EI28" s="787">
        <f t="shared" si="104"/>
        <v>110000</v>
      </c>
      <c r="EJ28" s="787">
        <f t="shared" si="104"/>
        <v>110000</v>
      </c>
      <c r="EK28" s="787">
        <f t="shared" si="104"/>
        <v>60000</v>
      </c>
      <c r="EL28" s="787">
        <f t="shared" si="104"/>
        <v>60000</v>
      </c>
      <c r="EM28" s="787">
        <f>+EK28-EI28</f>
        <v>-50000</v>
      </c>
      <c r="EN28" s="787">
        <f>+EK28/EI28*100</f>
        <v>54.54545454545454</v>
      </c>
      <c r="EO28" s="787">
        <f>+EI28-EE28</f>
        <v>50000</v>
      </c>
      <c r="EP28" s="787">
        <f>+EI28/EE28*100</f>
        <v>183.33333333333331</v>
      </c>
      <c r="EQ28" s="787">
        <f t="shared" ref="EQ28:EX28" si="105">SUM(EQ29:EQ30)</f>
        <v>20000</v>
      </c>
      <c r="ER28" s="787">
        <f t="shared" si="105"/>
        <v>20000</v>
      </c>
      <c r="ES28" s="787">
        <f t="shared" si="105"/>
        <v>28158</v>
      </c>
      <c r="ET28" s="787">
        <f t="shared" si="105"/>
        <v>28158</v>
      </c>
      <c r="EU28" s="787">
        <f t="shared" si="105"/>
        <v>28000</v>
      </c>
      <c r="EV28" s="787">
        <f t="shared" si="105"/>
        <v>28000</v>
      </c>
      <c r="EW28" s="787">
        <f t="shared" si="105"/>
        <v>20000</v>
      </c>
      <c r="EX28" s="787">
        <f t="shared" si="105"/>
        <v>20000</v>
      </c>
      <c r="EY28" s="787">
        <f>+EW28-EU28</f>
        <v>-8000</v>
      </c>
      <c r="EZ28" s="787">
        <f>+EW28/EU28*100</f>
        <v>71.428571428571431</v>
      </c>
      <c r="FA28" s="787">
        <f>+EU28-EQ28</f>
        <v>8000</v>
      </c>
      <c r="FB28" s="787">
        <f>+EU28/EQ28*100</f>
        <v>140</v>
      </c>
    </row>
    <row r="29" spans="1:158" x14ac:dyDescent="0.25">
      <c r="A29" s="335" t="s">
        <v>449</v>
      </c>
      <c r="B29" s="257" t="s">
        <v>560</v>
      </c>
      <c r="C29" s="788">
        <f t="shared" si="67"/>
        <v>50000</v>
      </c>
      <c r="D29" s="788">
        <f t="shared" si="67"/>
        <v>0</v>
      </c>
      <c r="E29" s="788">
        <f t="shared" si="67"/>
        <v>8287</v>
      </c>
      <c r="F29" s="788">
        <f t="shared" si="67"/>
        <v>0</v>
      </c>
      <c r="G29" s="788">
        <f t="shared" si="67"/>
        <v>42000</v>
      </c>
      <c r="H29" s="788">
        <f t="shared" si="67"/>
        <v>0</v>
      </c>
      <c r="I29" s="788">
        <f>SUM(U29,AG29,AS29,BE29,BQ29,CC29,CO29,DA29,DM29,DY29,EK29,EW29)</f>
        <v>70000</v>
      </c>
      <c r="J29" s="788">
        <f>SUM(V29,AH29,AT29,BF29,BR29,CD29,CP29,DB29,DN29,DZ29,EL29,EX29)</f>
        <v>0</v>
      </c>
      <c r="K29" s="788"/>
      <c r="L29" s="788"/>
      <c r="M29" s="788"/>
      <c r="N29" s="788"/>
      <c r="O29" s="788"/>
      <c r="P29" s="788">
        <v>0</v>
      </c>
      <c r="Q29" s="788">
        <v>0</v>
      </c>
      <c r="R29" s="788">
        <v>0</v>
      </c>
      <c r="S29" s="788"/>
      <c r="T29" s="788">
        <v>0</v>
      </c>
      <c r="U29" s="788"/>
      <c r="V29" s="788">
        <v>0</v>
      </c>
      <c r="W29" s="788"/>
      <c r="X29" s="788"/>
      <c r="Y29" s="788"/>
      <c r="Z29" s="788"/>
      <c r="AA29" s="788"/>
      <c r="AB29" s="788">
        <v>0</v>
      </c>
      <c r="AC29" s="788">
        <v>0</v>
      </c>
      <c r="AD29" s="788">
        <v>0</v>
      </c>
      <c r="AE29" s="788"/>
      <c r="AF29" s="788">
        <v>0</v>
      </c>
      <c r="AG29" s="788"/>
      <c r="AH29" s="788">
        <v>0</v>
      </c>
      <c r="AI29" s="788"/>
      <c r="AJ29" s="788"/>
      <c r="AK29" s="788"/>
      <c r="AL29" s="788"/>
      <c r="AM29" s="788"/>
      <c r="AN29" s="788">
        <v>0</v>
      </c>
      <c r="AO29" s="788">
        <v>0</v>
      </c>
      <c r="AP29" s="788">
        <v>0</v>
      </c>
      <c r="AQ29" s="788"/>
      <c r="AR29" s="788">
        <v>0</v>
      </c>
      <c r="AS29" s="788"/>
      <c r="AT29" s="788">
        <v>0</v>
      </c>
      <c r="AU29" s="788"/>
      <c r="AV29" s="788"/>
      <c r="AW29" s="788"/>
      <c r="AX29" s="788"/>
      <c r="AY29" s="788"/>
      <c r="AZ29" s="788">
        <v>0</v>
      </c>
      <c r="BA29" s="788">
        <v>0</v>
      </c>
      <c r="BB29" s="788">
        <v>0</v>
      </c>
      <c r="BC29" s="788"/>
      <c r="BD29" s="788">
        <v>0</v>
      </c>
      <c r="BE29" s="788"/>
      <c r="BF29" s="788">
        <v>0</v>
      </c>
      <c r="BG29" s="788"/>
      <c r="BH29" s="788"/>
      <c r="BI29" s="788"/>
      <c r="BJ29" s="788"/>
      <c r="BK29" s="788"/>
      <c r="BL29" s="788">
        <v>0</v>
      </c>
      <c r="BM29" s="788">
        <v>0</v>
      </c>
      <c r="BN29" s="788">
        <v>0</v>
      </c>
      <c r="BO29" s="788"/>
      <c r="BP29" s="788">
        <v>0</v>
      </c>
      <c r="BQ29" s="788"/>
      <c r="BR29" s="788">
        <v>0</v>
      </c>
      <c r="BS29" s="788"/>
      <c r="BT29" s="788"/>
      <c r="BU29" s="788"/>
      <c r="BV29" s="788"/>
      <c r="BW29" s="788">
        <v>30000</v>
      </c>
      <c r="BX29" s="788">
        <v>0</v>
      </c>
      <c r="BY29" s="788">
        <v>1116</v>
      </c>
      <c r="BZ29" s="788">
        <v>0</v>
      </c>
      <c r="CA29" s="788">
        <v>30000</v>
      </c>
      <c r="CB29" s="788">
        <v>0</v>
      </c>
      <c r="CC29" s="788">
        <f>70000-13000</f>
        <v>57000</v>
      </c>
      <c r="CD29" s="788">
        <v>0</v>
      </c>
      <c r="CE29" s="788"/>
      <c r="CF29" s="788"/>
      <c r="CG29" s="788"/>
      <c r="CH29" s="788"/>
      <c r="CI29" s="788"/>
      <c r="CJ29" s="788">
        <v>0</v>
      </c>
      <c r="CK29" s="788">
        <v>0</v>
      </c>
      <c r="CL29" s="788">
        <v>0</v>
      </c>
      <c r="CM29" s="788"/>
      <c r="CN29" s="788">
        <v>0</v>
      </c>
      <c r="CO29" s="788"/>
      <c r="CP29" s="788">
        <v>0</v>
      </c>
      <c r="CQ29" s="788"/>
      <c r="CR29" s="788"/>
      <c r="CS29" s="788"/>
      <c r="CT29" s="788"/>
      <c r="CU29" s="788">
        <v>15000</v>
      </c>
      <c r="CV29" s="788">
        <v>0</v>
      </c>
      <c r="CW29" s="788">
        <v>6214</v>
      </c>
      <c r="CX29" s="788">
        <v>0</v>
      </c>
      <c r="CY29" s="788">
        <v>10000</v>
      </c>
      <c r="CZ29" s="788">
        <v>0</v>
      </c>
      <c r="DA29" s="788">
        <v>5000</v>
      </c>
      <c r="DB29" s="788">
        <v>0</v>
      </c>
      <c r="DC29" s="788"/>
      <c r="DD29" s="788"/>
      <c r="DE29" s="788"/>
      <c r="DF29" s="788"/>
      <c r="DG29" s="788">
        <v>5000</v>
      </c>
      <c r="DH29" s="788">
        <v>0</v>
      </c>
      <c r="DI29" s="788">
        <v>957</v>
      </c>
      <c r="DJ29" s="788">
        <v>0</v>
      </c>
      <c r="DK29" s="788">
        <v>2000</v>
      </c>
      <c r="DL29" s="788">
        <v>0</v>
      </c>
      <c r="DM29" s="788">
        <v>8000</v>
      </c>
      <c r="DN29" s="788">
        <v>0</v>
      </c>
      <c r="DO29" s="788"/>
      <c r="DP29" s="788"/>
      <c r="DQ29" s="788"/>
      <c r="DR29" s="788"/>
      <c r="DS29" s="788"/>
      <c r="DT29" s="788">
        <v>0</v>
      </c>
      <c r="DU29" s="788">
        <v>0</v>
      </c>
      <c r="DV29" s="788">
        <v>0</v>
      </c>
      <c r="DW29" s="788"/>
      <c r="DX29" s="788">
        <v>0</v>
      </c>
      <c r="DY29" s="788"/>
      <c r="DZ29" s="788">
        <v>0</v>
      </c>
      <c r="EA29" s="788"/>
      <c r="EB29" s="788"/>
      <c r="EC29" s="788"/>
      <c r="ED29" s="788"/>
      <c r="EE29" s="788"/>
      <c r="EF29" s="788">
        <v>0</v>
      </c>
      <c r="EG29" s="788">
        <v>0</v>
      </c>
      <c r="EH29" s="788">
        <v>0</v>
      </c>
      <c r="EI29" s="788"/>
      <c r="EJ29" s="788">
        <v>0</v>
      </c>
      <c r="EK29" s="788">
        <v>0</v>
      </c>
      <c r="EL29" s="788">
        <v>0</v>
      </c>
      <c r="EM29" s="788"/>
      <c r="EN29" s="788"/>
      <c r="EO29" s="788"/>
      <c r="EP29" s="788"/>
      <c r="EQ29" s="788"/>
      <c r="ER29" s="788">
        <v>0</v>
      </c>
      <c r="ES29" s="788">
        <v>0</v>
      </c>
      <c r="ET29" s="788">
        <v>0</v>
      </c>
      <c r="EU29" s="788"/>
      <c r="EV29" s="788">
        <v>0</v>
      </c>
      <c r="EW29" s="788"/>
      <c r="EX29" s="788">
        <v>0</v>
      </c>
      <c r="EY29" s="788"/>
      <c r="EZ29" s="788"/>
      <c r="FA29" s="788"/>
      <c r="FB29" s="788"/>
    </row>
    <row r="30" spans="1:158" x14ac:dyDescent="0.25">
      <c r="A30" s="335" t="s">
        <v>449</v>
      </c>
      <c r="B30" s="257" t="s">
        <v>561</v>
      </c>
      <c r="C30" s="788">
        <f t="shared" si="67"/>
        <v>400000</v>
      </c>
      <c r="D30" s="788">
        <f t="shared" si="67"/>
        <v>400000</v>
      </c>
      <c r="E30" s="788">
        <f t="shared" si="67"/>
        <v>561377</v>
      </c>
      <c r="F30" s="788">
        <f t="shared" si="67"/>
        <v>561377</v>
      </c>
      <c r="G30" s="788">
        <f t="shared" si="67"/>
        <v>635000</v>
      </c>
      <c r="H30" s="788">
        <f t="shared" si="67"/>
        <v>635000</v>
      </c>
      <c r="I30" s="788">
        <f>SUM(U30,AG30,AS30,BE30,BQ30,CC30,CO30,DA30,DM30,DY30,EK30,EW30)</f>
        <v>380000</v>
      </c>
      <c r="J30" s="788">
        <f>SUM(V30,AH30,AT30,BF30,BR30,CD30,CP30,DB30,DN30,DZ30,EL30,EX30)</f>
        <v>380000</v>
      </c>
      <c r="K30" s="788"/>
      <c r="L30" s="788"/>
      <c r="M30" s="788"/>
      <c r="N30" s="788"/>
      <c r="O30" s="788">
        <v>10000</v>
      </c>
      <c r="P30" s="788">
        <f>O30</f>
        <v>10000</v>
      </c>
      <c r="Q30" s="788">
        <v>20040</v>
      </c>
      <c r="R30" s="788">
        <f>Q30</f>
        <v>20040</v>
      </c>
      <c r="S30" s="788">
        <v>21000</v>
      </c>
      <c r="T30" s="788">
        <f>S30</f>
        <v>21000</v>
      </c>
      <c r="U30" s="788">
        <v>10000</v>
      </c>
      <c r="V30" s="788">
        <f>U30</f>
        <v>10000</v>
      </c>
      <c r="W30" s="788"/>
      <c r="X30" s="788"/>
      <c r="Y30" s="788"/>
      <c r="Z30" s="788"/>
      <c r="AA30" s="788">
        <v>90000</v>
      </c>
      <c r="AB30" s="788">
        <f>AA30</f>
        <v>90000</v>
      </c>
      <c r="AC30" s="788">
        <v>76679</v>
      </c>
      <c r="AD30" s="788">
        <f>AC30</f>
        <v>76679</v>
      </c>
      <c r="AE30" s="788">
        <v>100000</v>
      </c>
      <c r="AF30" s="788">
        <f>AE30</f>
        <v>100000</v>
      </c>
      <c r="AG30" s="788">
        <v>90000</v>
      </c>
      <c r="AH30" s="788">
        <f>AG30</f>
        <v>90000</v>
      </c>
      <c r="AI30" s="788"/>
      <c r="AJ30" s="788"/>
      <c r="AK30" s="788"/>
      <c r="AL30" s="788"/>
      <c r="AM30" s="788">
        <v>10000</v>
      </c>
      <c r="AN30" s="788">
        <f>AM30</f>
        <v>10000</v>
      </c>
      <c r="AO30" s="788">
        <v>28889</v>
      </c>
      <c r="AP30" s="788">
        <f>AO30</f>
        <v>28889</v>
      </c>
      <c r="AQ30" s="788">
        <v>30000</v>
      </c>
      <c r="AR30" s="788">
        <f>AQ30</f>
        <v>30000</v>
      </c>
      <c r="AS30" s="788">
        <v>10000</v>
      </c>
      <c r="AT30" s="788">
        <f>AS30</f>
        <v>10000</v>
      </c>
      <c r="AU30" s="788"/>
      <c r="AV30" s="788"/>
      <c r="AW30" s="788"/>
      <c r="AX30" s="788"/>
      <c r="AY30" s="788">
        <v>20000</v>
      </c>
      <c r="AZ30" s="788">
        <f>AY30</f>
        <v>20000</v>
      </c>
      <c r="BA30" s="788">
        <v>25682</v>
      </c>
      <c r="BB30" s="788">
        <f>BA30</f>
        <v>25682</v>
      </c>
      <c r="BC30" s="788">
        <v>28000</v>
      </c>
      <c r="BD30" s="788">
        <f>BC30</f>
        <v>28000</v>
      </c>
      <c r="BE30" s="788">
        <v>20000</v>
      </c>
      <c r="BF30" s="788">
        <f>BE30</f>
        <v>20000</v>
      </c>
      <c r="BG30" s="788"/>
      <c r="BH30" s="788"/>
      <c r="BI30" s="788"/>
      <c r="BJ30" s="788"/>
      <c r="BK30" s="788">
        <v>20000</v>
      </c>
      <c r="BL30" s="788">
        <f>BK30</f>
        <v>20000</v>
      </c>
      <c r="BM30" s="788">
        <v>13230</v>
      </c>
      <c r="BN30" s="788">
        <f>BM30</f>
        <v>13230</v>
      </c>
      <c r="BO30" s="788">
        <v>20000</v>
      </c>
      <c r="BP30" s="788">
        <f>BO30</f>
        <v>20000</v>
      </c>
      <c r="BQ30" s="788">
        <v>20000</v>
      </c>
      <c r="BR30" s="788">
        <f>BQ30</f>
        <v>20000</v>
      </c>
      <c r="BS30" s="788"/>
      <c r="BT30" s="788"/>
      <c r="BU30" s="788"/>
      <c r="BV30" s="788"/>
      <c r="BW30" s="788">
        <v>70000</v>
      </c>
      <c r="BX30" s="788">
        <f>BW30</f>
        <v>70000</v>
      </c>
      <c r="BY30" s="788">
        <v>159051</v>
      </c>
      <c r="BZ30" s="788">
        <f>BY30</f>
        <v>159051</v>
      </c>
      <c r="CA30" s="788">
        <v>180000</v>
      </c>
      <c r="CB30" s="788">
        <f>CA30</f>
        <v>180000</v>
      </c>
      <c r="CC30" s="788">
        <f>107000-CC29</f>
        <v>50000</v>
      </c>
      <c r="CD30" s="788">
        <f>CC30</f>
        <v>50000</v>
      </c>
      <c r="CE30" s="788"/>
      <c r="CF30" s="788"/>
      <c r="CG30" s="788"/>
      <c r="CH30" s="788"/>
      <c r="CI30" s="788">
        <v>35000</v>
      </c>
      <c r="CJ30" s="788">
        <f>CI30</f>
        <v>35000</v>
      </c>
      <c r="CK30" s="788">
        <v>31722</v>
      </c>
      <c r="CL30" s="788">
        <f>CK30</f>
        <v>31722</v>
      </c>
      <c r="CM30" s="788">
        <v>35000</v>
      </c>
      <c r="CN30" s="788">
        <f>CM30</f>
        <v>35000</v>
      </c>
      <c r="CO30" s="788">
        <v>35000</v>
      </c>
      <c r="CP30" s="788">
        <f>CO30</f>
        <v>35000</v>
      </c>
      <c r="CQ30" s="788"/>
      <c r="CR30" s="788"/>
      <c r="CS30" s="788"/>
      <c r="CT30" s="788"/>
      <c r="CU30" s="788">
        <v>40000</v>
      </c>
      <c r="CV30" s="788">
        <f>CU30</f>
        <v>40000</v>
      </c>
      <c r="CW30" s="788">
        <v>44343</v>
      </c>
      <c r="CX30" s="788">
        <f>CW30</f>
        <v>44343</v>
      </c>
      <c r="CY30" s="788">
        <v>45000</v>
      </c>
      <c r="CZ30" s="788">
        <f>CY30</f>
        <v>45000</v>
      </c>
      <c r="DA30" s="788">
        <f>45000-DA29</f>
        <v>40000</v>
      </c>
      <c r="DB30" s="788">
        <f>DA30</f>
        <v>40000</v>
      </c>
      <c r="DC30" s="788"/>
      <c r="DD30" s="788"/>
      <c r="DE30" s="788"/>
      <c r="DF30" s="788"/>
      <c r="DG30" s="788">
        <v>15000</v>
      </c>
      <c r="DH30" s="788">
        <f>DG30</f>
        <v>15000</v>
      </c>
      <c r="DI30" s="788">
        <v>25275</v>
      </c>
      <c r="DJ30" s="788">
        <f>DI30</f>
        <v>25275</v>
      </c>
      <c r="DK30" s="788">
        <v>28000</v>
      </c>
      <c r="DL30" s="788">
        <f>DK30</f>
        <v>28000</v>
      </c>
      <c r="DM30" s="788">
        <f>23000-DM29</f>
        <v>15000</v>
      </c>
      <c r="DN30" s="788">
        <f>DM30</f>
        <v>15000</v>
      </c>
      <c r="DO30" s="788"/>
      <c r="DP30" s="788"/>
      <c r="DQ30" s="788"/>
      <c r="DR30" s="788"/>
      <c r="DS30" s="788">
        <v>10000</v>
      </c>
      <c r="DT30" s="788">
        <f>DS30</f>
        <v>10000</v>
      </c>
      <c r="DU30" s="788">
        <v>6701</v>
      </c>
      <c r="DV30" s="788">
        <f>DU30</f>
        <v>6701</v>
      </c>
      <c r="DW30" s="788">
        <v>10000</v>
      </c>
      <c r="DX30" s="788">
        <f>DW30</f>
        <v>10000</v>
      </c>
      <c r="DY30" s="788">
        <v>10000</v>
      </c>
      <c r="DZ30" s="788">
        <f>DY30</f>
        <v>10000</v>
      </c>
      <c r="EA30" s="788"/>
      <c r="EB30" s="788"/>
      <c r="EC30" s="788"/>
      <c r="ED30" s="788"/>
      <c r="EE30" s="788">
        <v>60000</v>
      </c>
      <c r="EF30" s="788">
        <f>EE30</f>
        <v>60000</v>
      </c>
      <c r="EG30" s="788">
        <v>101607</v>
      </c>
      <c r="EH30" s="788">
        <f>EG30</f>
        <v>101607</v>
      </c>
      <c r="EI30" s="788">
        <v>110000</v>
      </c>
      <c r="EJ30" s="788">
        <f>EI30</f>
        <v>110000</v>
      </c>
      <c r="EK30" s="788">
        <v>60000</v>
      </c>
      <c r="EL30" s="788">
        <f>EK30</f>
        <v>60000</v>
      </c>
      <c r="EM30" s="788"/>
      <c r="EN30" s="788"/>
      <c r="EO30" s="788"/>
      <c r="EP30" s="788"/>
      <c r="EQ30" s="788">
        <v>20000</v>
      </c>
      <c r="ER30" s="788">
        <f>EQ30</f>
        <v>20000</v>
      </c>
      <c r="ES30" s="788">
        <v>28158</v>
      </c>
      <c r="ET30" s="788">
        <f>ES30</f>
        <v>28158</v>
      </c>
      <c r="EU30" s="788">
        <v>28000</v>
      </c>
      <c r="EV30" s="788">
        <f>EU30</f>
        <v>28000</v>
      </c>
      <c r="EW30" s="788">
        <v>20000</v>
      </c>
      <c r="EX30" s="788">
        <f>EW30</f>
        <v>20000</v>
      </c>
      <c r="EY30" s="788"/>
      <c r="EZ30" s="788"/>
      <c r="FA30" s="788"/>
      <c r="FB30" s="788"/>
    </row>
    <row r="31" spans="1:158" s="881" customFormat="1" x14ac:dyDescent="0.25">
      <c r="A31" s="878">
        <v>9</v>
      </c>
      <c r="B31" s="879" t="s">
        <v>214</v>
      </c>
      <c r="C31" s="880">
        <f t="shared" si="67"/>
        <v>125600</v>
      </c>
      <c r="D31" s="880">
        <f t="shared" si="67"/>
        <v>38400</v>
      </c>
      <c r="E31" s="880">
        <f t="shared" si="67"/>
        <v>149759</v>
      </c>
      <c r="F31" s="880">
        <f t="shared" si="67"/>
        <v>95585</v>
      </c>
      <c r="G31" s="880">
        <f t="shared" si="67"/>
        <v>199600</v>
      </c>
      <c r="H31" s="880">
        <f t="shared" si="68"/>
        <v>111800</v>
      </c>
      <c r="I31" s="880">
        <f t="shared" si="68"/>
        <v>202000</v>
      </c>
      <c r="J31" s="880">
        <f t="shared" si="68"/>
        <v>104380</v>
      </c>
      <c r="K31" s="880">
        <f>+I31-G31</f>
        <v>2400</v>
      </c>
      <c r="L31" s="880">
        <f t="shared" si="1"/>
        <v>101.20240480961924</v>
      </c>
      <c r="M31" s="880">
        <f>+G31-C31</f>
        <v>74000</v>
      </c>
      <c r="N31" s="880">
        <f>+G31/C31*100</f>
        <v>158.91719745222929</v>
      </c>
      <c r="O31" s="880">
        <f t="shared" ref="O31:V31" si="106">SUM(O32:O34)</f>
        <v>5000</v>
      </c>
      <c r="P31" s="880">
        <f t="shared" si="106"/>
        <v>3000</v>
      </c>
      <c r="Q31" s="880">
        <f t="shared" si="106"/>
        <v>5921</v>
      </c>
      <c r="R31" s="880">
        <f t="shared" si="106"/>
        <v>4973</v>
      </c>
      <c r="S31" s="880">
        <f t="shared" si="106"/>
        <v>15000</v>
      </c>
      <c r="T31" s="880">
        <f t="shared" si="106"/>
        <v>12000</v>
      </c>
      <c r="U31" s="880">
        <f t="shared" si="106"/>
        <v>20000</v>
      </c>
      <c r="V31" s="880">
        <f t="shared" si="106"/>
        <v>14000</v>
      </c>
      <c r="W31" s="880">
        <f>+U31-S31</f>
        <v>5000</v>
      </c>
      <c r="X31" s="880">
        <f>+U31/S31*100</f>
        <v>133.33333333333331</v>
      </c>
      <c r="Y31" s="880">
        <f>+S31-O31</f>
        <v>10000</v>
      </c>
      <c r="Z31" s="880">
        <f>+S31/O31*100</f>
        <v>300</v>
      </c>
      <c r="AA31" s="880">
        <f t="shared" ref="AA31:AH31" si="107">SUM(AA32:AA34)</f>
        <v>8000</v>
      </c>
      <c r="AB31" s="880">
        <f t="shared" si="107"/>
        <v>3000</v>
      </c>
      <c r="AC31" s="880">
        <f t="shared" si="107"/>
        <v>14387</v>
      </c>
      <c r="AD31" s="880">
        <f t="shared" si="107"/>
        <v>13114</v>
      </c>
      <c r="AE31" s="880">
        <f t="shared" si="107"/>
        <v>19500</v>
      </c>
      <c r="AF31" s="880">
        <f t="shared" si="107"/>
        <v>15000</v>
      </c>
      <c r="AG31" s="880">
        <f t="shared" si="107"/>
        <v>12000</v>
      </c>
      <c r="AH31" s="880">
        <f t="shared" si="107"/>
        <v>6000</v>
      </c>
      <c r="AI31" s="880">
        <f t="shared" si="35"/>
        <v>-7500</v>
      </c>
      <c r="AJ31" s="880">
        <f>+AG31/AE31*100</f>
        <v>61.53846153846154</v>
      </c>
      <c r="AK31" s="880">
        <f t="shared" si="69"/>
        <v>11500</v>
      </c>
      <c r="AL31" s="880">
        <f>+AE31/AA31*100</f>
        <v>243.75</v>
      </c>
      <c r="AM31" s="880">
        <f t="shared" ref="AM31:AT31" si="108">SUM(AM32:AM34)</f>
        <v>3500</v>
      </c>
      <c r="AN31" s="880">
        <f t="shared" si="108"/>
        <v>2000</v>
      </c>
      <c r="AO31" s="880">
        <f t="shared" si="108"/>
        <v>5676</v>
      </c>
      <c r="AP31" s="880">
        <f t="shared" si="108"/>
        <v>4663</v>
      </c>
      <c r="AQ31" s="880">
        <f t="shared" si="108"/>
        <v>6500</v>
      </c>
      <c r="AR31" s="880">
        <f t="shared" si="108"/>
        <v>5000</v>
      </c>
      <c r="AS31" s="880">
        <f t="shared" si="108"/>
        <v>6000</v>
      </c>
      <c r="AT31" s="880">
        <f t="shared" si="108"/>
        <v>4000</v>
      </c>
      <c r="AU31" s="880">
        <f>+AS31-AQ31</f>
        <v>-500</v>
      </c>
      <c r="AV31" s="880">
        <f>+AS31/AQ31*100</f>
        <v>92.307692307692307</v>
      </c>
      <c r="AW31" s="880">
        <f>+AQ31-AM31</f>
        <v>3000</v>
      </c>
      <c r="AX31" s="880">
        <f>+AQ31/AM31*100</f>
        <v>185.71428571428572</v>
      </c>
      <c r="AY31" s="880">
        <f t="shared" ref="AY31:BF31" si="109">SUM(AY32:AY34)</f>
        <v>7000</v>
      </c>
      <c r="AZ31" s="880">
        <f t="shared" si="109"/>
        <v>4000</v>
      </c>
      <c r="BA31" s="880">
        <f t="shared" si="109"/>
        <v>11207</v>
      </c>
      <c r="BB31" s="880">
        <f t="shared" si="109"/>
        <v>9621</v>
      </c>
      <c r="BC31" s="880">
        <f t="shared" si="109"/>
        <v>13200</v>
      </c>
      <c r="BD31" s="880">
        <f t="shared" si="109"/>
        <v>9700</v>
      </c>
      <c r="BE31" s="880">
        <f t="shared" si="109"/>
        <v>14700</v>
      </c>
      <c r="BF31" s="880">
        <f t="shared" si="109"/>
        <v>9700</v>
      </c>
      <c r="BG31" s="880">
        <f>+BE31-BC31</f>
        <v>1500</v>
      </c>
      <c r="BH31" s="880">
        <f>+BE31/BC31*100</f>
        <v>111.36363636363636</v>
      </c>
      <c r="BI31" s="880">
        <f>+BC31-AY31</f>
        <v>6200</v>
      </c>
      <c r="BJ31" s="880">
        <f>+BC31/AY31*100</f>
        <v>188.57142857142856</v>
      </c>
      <c r="BK31" s="880">
        <f t="shared" ref="BK31:BR31" si="110">SUM(BK32:BK34)</f>
        <v>6600</v>
      </c>
      <c r="BL31" s="880">
        <f t="shared" si="110"/>
        <v>2600</v>
      </c>
      <c r="BM31" s="880">
        <f t="shared" si="110"/>
        <v>10487</v>
      </c>
      <c r="BN31" s="880">
        <f t="shared" si="110"/>
        <v>8685</v>
      </c>
      <c r="BO31" s="880">
        <f t="shared" si="110"/>
        <v>18000</v>
      </c>
      <c r="BP31" s="880">
        <f t="shared" si="110"/>
        <v>14000</v>
      </c>
      <c r="BQ31" s="880">
        <f t="shared" si="110"/>
        <v>19500</v>
      </c>
      <c r="BR31" s="880">
        <f t="shared" si="110"/>
        <v>14000</v>
      </c>
      <c r="BS31" s="880">
        <f>+BQ31-BO31</f>
        <v>1500</v>
      </c>
      <c r="BT31" s="880">
        <f>+BQ31/BO31*100</f>
        <v>108.33333333333333</v>
      </c>
      <c r="BU31" s="880">
        <f>+BO31-BK31</f>
        <v>11400</v>
      </c>
      <c r="BV31" s="880">
        <f>+BO31/BK31*100</f>
        <v>272.72727272727269</v>
      </c>
      <c r="BW31" s="880">
        <f t="shared" ref="BW31:CD31" si="111">SUM(BW32:BW34)</f>
        <v>58000</v>
      </c>
      <c r="BX31" s="880">
        <f t="shared" si="111"/>
        <v>5000</v>
      </c>
      <c r="BY31" s="880">
        <f t="shared" si="111"/>
        <v>38803</v>
      </c>
      <c r="BZ31" s="880">
        <f t="shared" si="111"/>
        <v>7425</v>
      </c>
      <c r="CA31" s="880">
        <f t="shared" si="111"/>
        <v>51600</v>
      </c>
      <c r="CB31" s="880">
        <f t="shared" si="111"/>
        <v>7800</v>
      </c>
      <c r="CC31" s="880">
        <f t="shared" si="111"/>
        <v>52000</v>
      </c>
      <c r="CD31" s="880">
        <f t="shared" si="111"/>
        <v>7880</v>
      </c>
      <c r="CE31" s="880">
        <f>+CC31-CA31</f>
        <v>400</v>
      </c>
      <c r="CF31" s="880">
        <f>+CC31/CA31*100</f>
        <v>100.77519379844961</v>
      </c>
      <c r="CG31" s="880">
        <f>+CA31-BW31</f>
        <v>-6400</v>
      </c>
      <c r="CH31" s="880">
        <f>+CA31/BW31*100</f>
        <v>88.965517241379317</v>
      </c>
      <c r="CI31" s="880">
        <f t="shared" ref="CI31:CP31" si="112">SUM(CI32:CI34)</f>
        <v>11000</v>
      </c>
      <c r="CJ31" s="880">
        <f t="shared" si="112"/>
        <v>3000</v>
      </c>
      <c r="CK31" s="880">
        <f t="shared" si="112"/>
        <v>14801</v>
      </c>
      <c r="CL31" s="880">
        <f t="shared" si="112"/>
        <v>11425</v>
      </c>
      <c r="CM31" s="880">
        <f t="shared" si="112"/>
        <v>17500</v>
      </c>
      <c r="CN31" s="880">
        <f t="shared" si="112"/>
        <v>12000</v>
      </c>
      <c r="CO31" s="880">
        <f t="shared" si="112"/>
        <v>19000</v>
      </c>
      <c r="CP31" s="880">
        <f t="shared" si="112"/>
        <v>12000</v>
      </c>
      <c r="CQ31" s="880">
        <f>+CO31-CM31</f>
        <v>1500</v>
      </c>
      <c r="CR31" s="880">
        <f>+CO31/CM31*100</f>
        <v>108.57142857142857</v>
      </c>
      <c r="CS31" s="880">
        <f>+CM31-CI31</f>
        <v>6500</v>
      </c>
      <c r="CT31" s="880">
        <f>+CM31/CI31*100</f>
        <v>159.09090909090909</v>
      </c>
      <c r="CU31" s="880">
        <f t="shared" ref="CU31:DB31" si="113">SUM(CU32:CU34)</f>
        <v>3800</v>
      </c>
      <c r="CV31" s="880">
        <f t="shared" si="113"/>
        <v>2800</v>
      </c>
      <c r="CW31" s="880">
        <f t="shared" si="113"/>
        <v>8333</v>
      </c>
      <c r="CX31" s="880">
        <f t="shared" si="113"/>
        <v>6343</v>
      </c>
      <c r="CY31" s="880">
        <f t="shared" si="113"/>
        <v>9300</v>
      </c>
      <c r="CZ31" s="880">
        <f t="shared" si="113"/>
        <v>6300</v>
      </c>
      <c r="DA31" s="880">
        <f t="shared" si="113"/>
        <v>9300</v>
      </c>
      <c r="DB31" s="880">
        <f t="shared" si="113"/>
        <v>6300</v>
      </c>
      <c r="DC31" s="880">
        <f>+DA31-CY31</f>
        <v>0</v>
      </c>
      <c r="DD31" s="880">
        <f>+DA31/CY31*100</f>
        <v>100</v>
      </c>
      <c r="DE31" s="880">
        <f>+CY31-CU31</f>
        <v>5500</v>
      </c>
      <c r="DF31" s="880">
        <f>+CY31/CU31*100</f>
        <v>244.73684210526315</v>
      </c>
      <c r="DG31" s="880">
        <f t="shared" ref="DG31:DN31" si="114">SUM(DG32:DG34)</f>
        <v>6500</v>
      </c>
      <c r="DH31" s="880">
        <f t="shared" si="114"/>
        <v>3000</v>
      </c>
      <c r="DI31" s="880">
        <f t="shared" si="114"/>
        <v>12762</v>
      </c>
      <c r="DJ31" s="880">
        <f t="shared" si="114"/>
        <v>9068</v>
      </c>
      <c r="DK31" s="880">
        <f t="shared" si="114"/>
        <v>15000</v>
      </c>
      <c r="DL31" s="880">
        <f t="shared" si="114"/>
        <v>9000</v>
      </c>
      <c r="DM31" s="880">
        <f t="shared" si="114"/>
        <v>15000</v>
      </c>
      <c r="DN31" s="880">
        <f t="shared" si="114"/>
        <v>9000</v>
      </c>
      <c r="DO31" s="880">
        <f>+DM31-DK31</f>
        <v>0</v>
      </c>
      <c r="DP31" s="880">
        <f>+DM31/DK31*100</f>
        <v>100</v>
      </c>
      <c r="DQ31" s="880">
        <f>+DK31-DG31</f>
        <v>8500</v>
      </c>
      <c r="DR31" s="880">
        <f>+DK31/DG31*100</f>
        <v>230.76923076923075</v>
      </c>
      <c r="DS31" s="880">
        <f t="shared" ref="DS31:DZ31" si="115">SUM(DS32:DS34)</f>
        <v>3800</v>
      </c>
      <c r="DT31" s="880">
        <f t="shared" si="115"/>
        <v>2000</v>
      </c>
      <c r="DU31" s="880">
        <f t="shared" si="115"/>
        <v>9538</v>
      </c>
      <c r="DV31" s="880">
        <f t="shared" si="115"/>
        <v>5906</v>
      </c>
      <c r="DW31" s="880">
        <f t="shared" si="115"/>
        <v>12000</v>
      </c>
      <c r="DX31" s="880">
        <f t="shared" si="115"/>
        <v>6000</v>
      </c>
      <c r="DY31" s="880">
        <f t="shared" si="115"/>
        <v>12000</v>
      </c>
      <c r="DZ31" s="880">
        <f t="shared" si="115"/>
        <v>6000</v>
      </c>
      <c r="EA31" s="880">
        <f>+DY31-DW31</f>
        <v>0</v>
      </c>
      <c r="EB31" s="880">
        <f>+DY31/DW31*100</f>
        <v>100</v>
      </c>
      <c r="EC31" s="880">
        <f>+DW31-DS31</f>
        <v>8200</v>
      </c>
      <c r="ED31" s="880">
        <f>+DW31/DS31*100</f>
        <v>315.78947368421052</v>
      </c>
      <c r="EE31" s="880">
        <f t="shared" ref="EE31:EL31" si="116">SUM(EE32:EE34)</f>
        <v>8000</v>
      </c>
      <c r="EF31" s="880">
        <f t="shared" si="116"/>
        <v>5000</v>
      </c>
      <c r="EG31" s="880">
        <f t="shared" si="116"/>
        <v>9514</v>
      </c>
      <c r="EH31" s="880">
        <f t="shared" si="116"/>
        <v>6925</v>
      </c>
      <c r="EI31" s="880">
        <f t="shared" si="116"/>
        <v>11000</v>
      </c>
      <c r="EJ31" s="880">
        <f t="shared" si="116"/>
        <v>7000</v>
      </c>
      <c r="EK31" s="880">
        <f t="shared" si="116"/>
        <v>11000</v>
      </c>
      <c r="EL31" s="880">
        <f t="shared" si="116"/>
        <v>7000</v>
      </c>
      <c r="EM31" s="880">
        <f>+EK31-EI31</f>
        <v>0</v>
      </c>
      <c r="EN31" s="880">
        <f>+EK31/EI31*100</f>
        <v>100</v>
      </c>
      <c r="EO31" s="880">
        <f>+EI31-EE31</f>
        <v>3000</v>
      </c>
      <c r="EP31" s="880">
        <f>+EI31/EE31*100</f>
        <v>137.5</v>
      </c>
      <c r="EQ31" s="880">
        <f t="shared" ref="EQ31:EX31" si="117">SUM(EQ32:EQ34)</f>
        <v>4400</v>
      </c>
      <c r="ER31" s="880">
        <f t="shared" si="117"/>
        <v>3000</v>
      </c>
      <c r="ES31" s="880">
        <f t="shared" si="117"/>
        <v>8330</v>
      </c>
      <c r="ET31" s="880">
        <f t="shared" si="117"/>
        <v>7437</v>
      </c>
      <c r="EU31" s="880">
        <f t="shared" si="117"/>
        <v>11000</v>
      </c>
      <c r="EV31" s="880">
        <f t="shared" si="117"/>
        <v>8000</v>
      </c>
      <c r="EW31" s="880">
        <f t="shared" si="117"/>
        <v>11500</v>
      </c>
      <c r="EX31" s="880">
        <f t="shared" si="117"/>
        <v>8500</v>
      </c>
      <c r="EY31" s="880">
        <f>+EW31-EU31</f>
        <v>500</v>
      </c>
      <c r="EZ31" s="880">
        <f>+EW31/EU31*100</f>
        <v>104.54545454545455</v>
      </c>
      <c r="FA31" s="880">
        <f>+EU31-EQ31</f>
        <v>6600</v>
      </c>
      <c r="FB31" s="880">
        <f>+EU31/EQ31*100</f>
        <v>250</v>
      </c>
    </row>
    <row r="32" spans="1:158" s="259" customFormat="1" x14ac:dyDescent="0.25">
      <c r="A32" s="883" t="s">
        <v>449</v>
      </c>
      <c r="B32" s="884" t="s">
        <v>557</v>
      </c>
      <c r="C32" s="882">
        <f t="shared" si="67"/>
        <v>63800</v>
      </c>
      <c r="D32" s="882">
        <f t="shared" si="67"/>
        <v>0</v>
      </c>
      <c r="E32" s="882">
        <f t="shared" si="67"/>
        <v>43684</v>
      </c>
      <c r="F32" s="882">
        <f t="shared" si="67"/>
        <v>0</v>
      </c>
      <c r="G32" s="882">
        <f t="shared" si="67"/>
        <v>67000</v>
      </c>
      <c r="H32" s="882">
        <f t="shared" si="67"/>
        <v>0</v>
      </c>
      <c r="I32" s="882">
        <f t="shared" si="67"/>
        <v>73420</v>
      </c>
      <c r="J32" s="882">
        <f t="shared" si="67"/>
        <v>0</v>
      </c>
      <c r="K32" s="885"/>
      <c r="L32" s="885"/>
      <c r="M32" s="885"/>
      <c r="N32" s="885"/>
      <c r="O32" s="885">
        <v>1000</v>
      </c>
      <c r="P32" s="885">
        <v>0</v>
      </c>
      <c r="Q32" s="885">
        <v>780</v>
      </c>
      <c r="R32" s="885">
        <v>0</v>
      </c>
      <c r="S32" s="885">
        <v>2000</v>
      </c>
      <c r="T32" s="885">
        <v>0</v>
      </c>
      <c r="U32" s="885">
        <v>4800</v>
      </c>
      <c r="V32" s="885">
        <v>0</v>
      </c>
      <c r="W32" s="885"/>
      <c r="X32" s="885"/>
      <c r="Y32" s="885"/>
      <c r="Z32" s="885"/>
      <c r="AA32" s="885">
        <v>3000</v>
      </c>
      <c r="AB32" s="885">
        <v>0</v>
      </c>
      <c r="AC32" s="885">
        <v>908</v>
      </c>
      <c r="AD32" s="885">
        <v>0</v>
      </c>
      <c r="AE32" s="885">
        <v>3000</v>
      </c>
      <c r="AF32" s="885">
        <v>0</v>
      </c>
      <c r="AG32" s="885">
        <v>4000</v>
      </c>
      <c r="AH32" s="885">
        <v>0</v>
      </c>
      <c r="AI32" s="885"/>
      <c r="AJ32" s="885"/>
      <c r="AK32" s="885"/>
      <c r="AL32" s="885"/>
      <c r="AM32" s="885">
        <v>1000</v>
      </c>
      <c r="AN32" s="885">
        <v>0</v>
      </c>
      <c r="AO32" s="885">
        <v>798</v>
      </c>
      <c r="AP32" s="885">
        <v>0</v>
      </c>
      <c r="AQ32" s="885">
        <v>1000</v>
      </c>
      <c r="AR32" s="885">
        <v>0</v>
      </c>
      <c r="AS32" s="885">
        <v>1000</v>
      </c>
      <c r="AT32" s="885">
        <v>0</v>
      </c>
      <c r="AU32" s="885"/>
      <c r="AV32" s="885"/>
      <c r="AW32" s="885"/>
      <c r="AX32" s="885"/>
      <c r="AY32" s="885">
        <v>2000</v>
      </c>
      <c r="AZ32" s="885">
        <v>0</v>
      </c>
      <c r="BA32" s="885">
        <v>1477</v>
      </c>
      <c r="BB32" s="885">
        <v>0</v>
      </c>
      <c r="BC32" s="885">
        <v>2500</v>
      </c>
      <c r="BD32" s="885">
        <v>0</v>
      </c>
      <c r="BE32" s="885">
        <v>3000</v>
      </c>
      <c r="BF32" s="885">
        <v>0</v>
      </c>
      <c r="BG32" s="885"/>
      <c r="BH32" s="885"/>
      <c r="BI32" s="885"/>
      <c r="BJ32" s="885"/>
      <c r="BK32" s="885">
        <v>3000</v>
      </c>
      <c r="BL32" s="885">
        <v>0</v>
      </c>
      <c r="BM32" s="885">
        <v>1364</v>
      </c>
      <c r="BN32" s="885">
        <v>0</v>
      </c>
      <c r="BO32" s="885">
        <v>2500</v>
      </c>
      <c r="BP32" s="885">
        <v>0</v>
      </c>
      <c r="BQ32" s="885">
        <v>3500</v>
      </c>
      <c r="BR32" s="885">
        <v>0</v>
      </c>
      <c r="BS32" s="885"/>
      <c r="BT32" s="885"/>
      <c r="BU32" s="885"/>
      <c r="BV32" s="885"/>
      <c r="BW32" s="885">
        <v>45000</v>
      </c>
      <c r="BX32" s="885">
        <v>0</v>
      </c>
      <c r="BY32" s="885">
        <v>28542</v>
      </c>
      <c r="BZ32" s="885">
        <v>0</v>
      </c>
      <c r="CA32" s="885">
        <v>39000</v>
      </c>
      <c r="CB32" s="885">
        <v>0</v>
      </c>
      <c r="CC32" s="885">
        <f>73420-34300</f>
        <v>39120</v>
      </c>
      <c r="CD32" s="885">
        <v>0</v>
      </c>
      <c r="CE32" s="885"/>
      <c r="CF32" s="885"/>
      <c r="CG32" s="885"/>
      <c r="CH32" s="885"/>
      <c r="CI32" s="885">
        <v>3000</v>
      </c>
      <c r="CJ32" s="885">
        <v>0</v>
      </c>
      <c r="CK32" s="885">
        <v>2536</v>
      </c>
      <c r="CL32" s="885">
        <v>0</v>
      </c>
      <c r="CM32" s="885">
        <v>4000</v>
      </c>
      <c r="CN32" s="885">
        <v>0</v>
      </c>
      <c r="CO32" s="885">
        <v>5000</v>
      </c>
      <c r="CP32" s="885">
        <v>0</v>
      </c>
      <c r="CQ32" s="885"/>
      <c r="CR32" s="885"/>
      <c r="CS32" s="885"/>
      <c r="CT32" s="885"/>
      <c r="CU32" s="885">
        <v>1000</v>
      </c>
      <c r="CV32" s="885">
        <v>0</v>
      </c>
      <c r="CW32" s="885">
        <v>1386</v>
      </c>
      <c r="CX32" s="885">
        <v>0</v>
      </c>
      <c r="CY32" s="885">
        <v>2000</v>
      </c>
      <c r="CZ32" s="885">
        <v>0</v>
      </c>
      <c r="DA32" s="885">
        <v>2000</v>
      </c>
      <c r="DB32" s="885">
        <v>0</v>
      </c>
      <c r="DC32" s="885"/>
      <c r="DD32" s="885"/>
      <c r="DE32" s="885"/>
      <c r="DF32" s="885"/>
      <c r="DG32" s="885">
        <v>2000</v>
      </c>
      <c r="DH32" s="885">
        <v>0</v>
      </c>
      <c r="DI32" s="886">
        <v>1673</v>
      </c>
      <c r="DJ32" s="886">
        <v>0</v>
      </c>
      <c r="DK32" s="886">
        <v>3000</v>
      </c>
      <c r="DL32" s="886">
        <v>0</v>
      </c>
      <c r="DM32" s="885">
        <v>3000</v>
      </c>
      <c r="DN32" s="885">
        <v>0</v>
      </c>
      <c r="DO32" s="885"/>
      <c r="DP32" s="885"/>
      <c r="DQ32" s="885"/>
      <c r="DR32" s="885"/>
      <c r="DS32" s="885">
        <v>1800</v>
      </c>
      <c r="DT32" s="885">
        <v>0</v>
      </c>
      <c r="DU32" s="885">
        <v>1527</v>
      </c>
      <c r="DV32" s="885">
        <v>0</v>
      </c>
      <c r="DW32" s="885">
        <v>3000</v>
      </c>
      <c r="DX32" s="885">
        <v>0</v>
      </c>
      <c r="DY32" s="885">
        <v>3000</v>
      </c>
      <c r="DZ32" s="885">
        <v>0</v>
      </c>
      <c r="EA32" s="885"/>
      <c r="EB32" s="885"/>
      <c r="EC32" s="885"/>
      <c r="ED32" s="885"/>
      <c r="EE32" s="885">
        <v>0</v>
      </c>
      <c r="EF32" s="885">
        <v>0</v>
      </c>
      <c r="EG32" s="885">
        <v>1874</v>
      </c>
      <c r="EH32" s="885">
        <v>0</v>
      </c>
      <c r="EI32" s="885">
        <v>3000</v>
      </c>
      <c r="EJ32" s="885">
        <v>0</v>
      </c>
      <c r="EK32" s="885">
        <v>3000</v>
      </c>
      <c r="EL32" s="885">
        <v>0</v>
      </c>
      <c r="EM32" s="885"/>
      <c r="EN32" s="885"/>
      <c r="EO32" s="885"/>
      <c r="EP32" s="885"/>
      <c r="EQ32" s="885">
        <v>1000</v>
      </c>
      <c r="ER32" s="885">
        <v>0</v>
      </c>
      <c r="ES32" s="885">
        <v>819</v>
      </c>
      <c r="ET32" s="885">
        <v>0</v>
      </c>
      <c r="EU32" s="885">
        <v>2000</v>
      </c>
      <c r="EV32" s="885">
        <v>0</v>
      </c>
      <c r="EW32" s="885">
        <v>2000</v>
      </c>
      <c r="EX32" s="885">
        <v>0</v>
      </c>
      <c r="EY32" s="885"/>
      <c r="EZ32" s="885"/>
      <c r="FA32" s="885"/>
      <c r="FB32" s="885"/>
    </row>
    <row r="33" spans="1:158" s="259" customFormat="1" x14ac:dyDescent="0.25">
      <c r="A33" s="883" t="s">
        <v>449</v>
      </c>
      <c r="B33" s="884" t="s">
        <v>558</v>
      </c>
      <c r="C33" s="882">
        <f t="shared" si="67"/>
        <v>23400</v>
      </c>
      <c r="D33" s="882">
        <f t="shared" si="67"/>
        <v>0</v>
      </c>
      <c r="E33" s="882">
        <f t="shared" si="67"/>
        <v>10490</v>
      </c>
      <c r="F33" s="882">
        <f t="shared" si="67"/>
        <v>0</v>
      </c>
      <c r="G33" s="882">
        <f t="shared" si="67"/>
        <v>20800</v>
      </c>
      <c r="H33" s="882">
        <f t="shared" si="67"/>
        <v>0</v>
      </c>
      <c r="I33" s="882">
        <f t="shared" si="67"/>
        <v>24200</v>
      </c>
      <c r="J33" s="882">
        <f t="shared" si="67"/>
        <v>0</v>
      </c>
      <c r="K33" s="885"/>
      <c r="L33" s="885"/>
      <c r="M33" s="885"/>
      <c r="N33" s="885"/>
      <c r="O33" s="885">
        <v>1000</v>
      </c>
      <c r="P33" s="885">
        <v>0</v>
      </c>
      <c r="Q33" s="885">
        <v>168</v>
      </c>
      <c r="R33" s="885">
        <v>0</v>
      </c>
      <c r="S33" s="885">
        <v>1000</v>
      </c>
      <c r="T33" s="885">
        <v>0</v>
      </c>
      <c r="U33" s="885">
        <v>1200</v>
      </c>
      <c r="V33" s="885">
        <v>0</v>
      </c>
      <c r="W33" s="885"/>
      <c r="X33" s="885"/>
      <c r="Y33" s="885"/>
      <c r="Z33" s="885"/>
      <c r="AA33" s="885">
        <v>2000</v>
      </c>
      <c r="AB33" s="885">
        <v>0</v>
      </c>
      <c r="AC33" s="885">
        <v>365</v>
      </c>
      <c r="AD33" s="885">
        <v>0</v>
      </c>
      <c r="AE33" s="885">
        <v>1500</v>
      </c>
      <c r="AF33" s="885">
        <v>0</v>
      </c>
      <c r="AG33" s="885">
        <v>2000</v>
      </c>
      <c r="AH33" s="885">
        <v>0</v>
      </c>
      <c r="AI33" s="885"/>
      <c r="AJ33" s="885"/>
      <c r="AK33" s="885"/>
      <c r="AL33" s="885"/>
      <c r="AM33" s="885">
        <v>500</v>
      </c>
      <c r="AN33" s="885">
        <v>0</v>
      </c>
      <c r="AO33" s="885">
        <v>215</v>
      </c>
      <c r="AP33" s="885">
        <v>0</v>
      </c>
      <c r="AQ33" s="885">
        <v>500</v>
      </c>
      <c r="AR33" s="885">
        <v>0</v>
      </c>
      <c r="AS33" s="885">
        <v>1000</v>
      </c>
      <c r="AT33" s="885">
        <v>0</v>
      </c>
      <c r="AU33" s="885"/>
      <c r="AV33" s="885"/>
      <c r="AW33" s="885"/>
      <c r="AX33" s="885"/>
      <c r="AY33" s="885">
        <v>1000</v>
      </c>
      <c r="AZ33" s="885">
        <v>0</v>
      </c>
      <c r="BA33" s="885">
        <v>109</v>
      </c>
      <c r="BB33" s="885">
        <v>0</v>
      </c>
      <c r="BC33" s="885">
        <v>1000</v>
      </c>
      <c r="BD33" s="885">
        <v>0</v>
      </c>
      <c r="BE33" s="885">
        <v>2000</v>
      </c>
      <c r="BF33" s="885">
        <v>0</v>
      </c>
      <c r="BG33" s="885"/>
      <c r="BH33" s="885"/>
      <c r="BI33" s="885"/>
      <c r="BJ33" s="885"/>
      <c r="BK33" s="885">
        <v>1000</v>
      </c>
      <c r="BL33" s="885">
        <v>0</v>
      </c>
      <c r="BM33" s="885">
        <v>438</v>
      </c>
      <c r="BN33" s="885">
        <v>0</v>
      </c>
      <c r="BO33" s="885">
        <v>1500</v>
      </c>
      <c r="BP33" s="885">
        <v>0</v>
      </c>
      <c r="BQ33" s="885">
        <v>2000</v>
      </c>
      <c r="BR33" s="885">
        <v>0</v>
      </c>
      <c r="BS33" s="885"/>
      <c r="BT33" s="885"/>
      <c r="BU33" s="885"/>
      <c r="BV33" s="885"/>
      <c r="BW33" s="885">
        <v>8000</v>
      </c>
      <c r="BX33" s="885">
        <v>0</v>
      </c>
      <c r="BY33" s="885">
        <v>2836</v>
      </c>
      <c r="BZ33" s="885">
        <v>0</v>
      </c>
      <c r="CA33" s="885">
        <v>4800</v>
      </c>
      <c r="CB33" s="885">
        <v>0</v>
      </c>
      <c r="CC33" s="885">
        <v>5000</v>
      </c>
      <c r="CD33" s="885">
        <v>0</v>
      </c>
      <c r="CE33" s="885"/>
      <c r="CF33" s="885"/>
      <c r="CG33" s="885"/>
      <c r="CH33" s="885"/>
      <c r="CI33" s="885">
        <v>5000</v>
      </c>
      <c r="CJ33" s="885">
        <v>0</v>
      </c>
      <c r="CK33" s="885">
        <v>840</v>
      </c>
      <c r="CL33" s="885">
        <v>0</v>
      </c>
      <c r="CM33" s="885">
        <v>1500</v>
      </c>
      <c r="CN33" s="885">
        <v>0</v>
      </c>
      <c r="CO33" s="885">
        <v>2000</v>
      </c>
      <c r="CP33" s="885">
        <v>0</v>
      </c>
      <c r="CQ33" s="885"/>
      <c r="CR33" s="885"/>
      <c r="CS33" s="885"/>
      <c r="CT33" s="885"/>
      <c r="CU33" s="885">
        <v>0</v>
      </c>
      <c r="CV33" s="885">
        <v>0</v>
      </c>
      <c r="CW33" s="885">
        <v>604</v>
      </c>
      <c r="CX33" s="885">
        <v>0</v>
      </c>
      <c r="CY33" s="885">
        <v>1000</v>
      </c>
      <c r="CZ33" s="885">
        <v>0</v>
      </c>
      <c r="DA33" s="885">
        <v>1000</v>
      </c>
      <c r="DB33" s="885">
        <v>0</v>
      </c>
      <c r="DC33" s="885"/>
      <c r="DD33" s="885"/>
      <c r="DE33" s="885"/>
      <c r="DF33" s="885"/>
      <c r="DG33" s="885">
        <v>1500</v>
      </c>
      <c r="DH33" s="885">
        <v>0</v>
      </c>
      <c r="DI33" s="886">
        <v>2021</v>
      </c>
      <c r="DJ33" s="886">
        <v>0</v>
      </c>
      <c r="DK33" s="886">
        <v>3000</v>
      </c>
      <c r="DL33" s="886">
        <v>0</v>
      </c>
      <c r="DM33" s="885">
        <v>3000</v>
      </c>
      <c r="DN33" s="885">
        <v>0</v>
      </c>
      <c r="DO33" s="885"/>
      <c r="DP33" s="885"/>
      <c r="DQ33" s="885"/>
      <c r="DR33" s="885"/>
      <c r="DS33" s="885">
        <v>0</v>
      </c>
      <c r="DT33" s="885">
        <v>0</v>
      </c>
      <c r="DU33" s="885">
        <v>2105</v>
      </c>
      <c r="DV33" s="885">
        <v>0</v>
      </c>
      <c r="DW33" s="885">
        <v>3000</v>
      </c>
      <c r="DX33" s="885">
        <v>0</v>
      </c>
      <c r="DY33" s="885">
        <v>3000</v>
      </c>
      <c r="DZ33" s="885">
        <v>0</v>
      </c>
      <c r="EA33" s="885"/>
      <c r="EB33" s="885"/>
      <c r="EC33" s="885"/>
      <c r="ED33" s="885"/>
      <c r="EE33" s="885">
        <v>3000</v>
      </c>
      <c r="EF33" s="885">
        <v>0</v>
      </c>
      <c r="EG33" s="885">
        <v>715</v>
      </c>
      <c r="EH33" s="885">
        <v>0</v>
      </c>
      <c r="EI33" s="885">
        <v>1000</v>
      </c>
      <c r="EJ33" s="885">
        <v>0</v>
      </c>
      <c r="EK33" s="885">
        <v>1000</v>
      </c>
      <c r="EL33" s="885">
        <v>0</v>
      </c>
      <c r="EM33" s="885"/>
      <c r="EN33" s="885"/>
      <c r="EO33" s="885"/>
      <c r="EP33" s="885"/>
      <c r="EQ33" s="885">
        <v>400</v>
      </c>
      <c r="ER33" s="885">
        <v>0</v>
      </c>
      <c r="ES33" s="885">
        <v>74</v>
      </c>
      <c r="ET33" s="885">
        <v>0</v>
      </c>
      <c r="EU33" s="885">
        <v>1000</v>
      </c>
      <c r="EV33" s="885">
        <v>0</v>
      </c>
      <c r="EW33" s="885">
        <v>1000</v>
      </c>
      <c r="EX33" s="885">
        <v>0</v>
      </c>
      <c r="EY33" s="885"/>
      <c r="EZ33" s="885"/>
      <c r="FA33" s="885"/>
      <c r="FB33" s="885"/>
    </row>
    <row r="34" spans="1:158" s="259" customFormat="1" x14ac:dyDescent="0.25">
      <c r="A34" s="883" t="s">
        <v>449</v>
      </c>
      <c r="B34" s="884" t="s">
        <v>559</v>
      </c>
      <c r="C34" s="882">
        <f t="shared" si="67"/>
        <v>38400</v>
      </c>
      <c r="D34" s="882">
        <f t="shared" si="67"/>
        <v>38400</v>
      </c>
      <c r="E34" s="882">
        <f t="shared" si="67"/>
        <v>95585</v>
      </c>
      <c r="F34" s="882">
        <f t="shared" si="67"/>
        <v>95585</v>
      </c>
      <c r="G34" s="882">
        <f t="shared" si="67"/>
        <v>111800</v>
      </c>
      <c r="H34" s="882">
        <f t="shared" si="67"/>
        <v>111800</v>
      </c>
      <c r="I34" s="882">
        <f t="shared" si="67"/>
        <v>104380</v>
      </c>
      <c r="J34" s="882">
        <f t="shared" si="67"/>
        <v>104380</v>
      </c>
      <c r="K34" s="885"/>
      <c r="L34" s="885"/>
      <c r="M34" s="885"/>
      <c r="N34" s="885"/>
      <c r="O34" s="885">
        <v>3000</v>
      </c>
      <c r="P34" s="885">
        <f>O34</f>
        <v>3000</v>
      </c>
      <c r="Q34" s="885">
        <v>4973</v>
      </c>
      <c r="R34" s="885">
        <f>Q34</f>
        <v>4973</v>
      </c>
      <c r="S34" s="885">
        <v>12000</v>
      </c>
      <c r="T34" s="885">
        <f>S34</f>
        <v>12000</v>
      </c>
      <c r="U34" s="885">
        <f>20000-U32-U33</f>
        <v>14000</v>
      </c>
      <c r="V34" s="885">
        <f>U34</f>
        <v>14000</v>
      </c>
      <c r="W34" s="885"/>
      <c r="X34" s="885"/>
      <c r="Y34" s="885"/>
      <c r="Z34" s="885"/>
      <c r="AA34" s="885">
        <v>3000</v>
      </c>
      <c r="AB34" s="885">
        <f>AA34</f>
        <v>3000</v>
      </c>
      <c r="AC34" s="885">
        <v>13114</v>
      </c>
      <c r="AD34" s="885">
        <f>AC34</f>
        <v>13114</v>
      </c>
      <c r="AE34" s="885">
        <v>15000</v>
      </c>
      <c r="AF34" s="885">
        <f>AE34</f>
        <v>15000</v>
      </c>
      <c r="AG34" s="885">
        <f>12000-AG32-AG33</f>
        <v>6000</v>
      </c>
      <c r="AH34" s="885">
        <f>AG34</f>
        <v>6000</v>
      </c>
      <c r="AI34" s="885"/>
      <c r="AJ34" s="885"/>
      <c r="AK34" s="885"/>
      <c r="AL34" s="885"/>
      <c r="AM34" s="885">
        <v>2000</v>
      </c>
      <c r="AN34" s="885">
        <f>AM34</f>
        <v>2000</v>
      </c>
      <c r="AO34" s="885">
        <v>4663</v>
      </c>
      <c r="AP34" s="885">
        <f>AO34</f>
        <v>4663</v>
      </c>
      <c r="AQ34" s="885">
        <v>5000</v>
      </c>
      <c r="AR34" s="885">
        <f>AQ34</f>
        <v>5000</v>
      </c>
      <c r="AS34" s="885">
        <f>6000-AS32-AS33</f>
        <v>4000</v>
      </c>
      <c r="AT34" s="885">
        <f>AS34</f>
        <v>4000</v>
      </c>
      <c r="AU34" s="885"/>
      <c r="AV34" s="885"/>
      <c r="AW34" s="885"/>
      <c r="AX34" s="885"/>
      <c r="AY34" s="885">
        <v>4000</v>
      </c>
      <c r="AZ34" s="885">
        <f>AY34</f>
        <v>4000</v>
      </c>
      <c r="BA34" s="885">
        <v>9621</v>
      </c>
      <c r="BB34" s="885">
        <f>BA34</f>
        <v>9621</v>
      </c>
      <c r="BC34" s="885">
        <v>9700</v>
      </c>
      <c r="BD34" s="885">
        <f>BC34</f>
        <v>9700</v>
      </c>
      <c r="BE34" s="885">
        <f>14700-BE32-BE33</f>
        <v>9700</v>
      </c>
      <c r="BF34" s="885">
        <f>BE34</f>
        <v>9700</v>
      </c>
      <c r="BG34" s="885"/>
      <c r="BH34" s="885"/>
      <c r="BI34" s="885"/>
      <c r="BJ34" s="885"/>
      <c r="BK34" s="885">
        <v>2600</v>
      </c>
      <c r="BL34" s="885">
        <f>BK34</f>
        <v>2600</v>
      </c>
      <c r="BM34" s="885">
        <v>8685</v>
      </c>
      <c r="BN34" s="885">
        <f>BM34</f>
        <v>8685</v>
      </c>
      <c r="BO34" s="885">
        <v>14000</v>
      </c>
      <c r="BP34" s="885">
        <f>BO34</f>
        <v>14000</v>
      </c>
      <c r="BQ34" s="885">
        <f>19500-BQ32-BQ33</f>
        <v>14000</v>
      </c>
      <c r="BR34" s="885">
        <f>BQ34</f>
        <v>14000</v>
      </c>
      <c r="BS34" s="885"/>
      <c r="BT34" s="885"/>
      <c r="BU34" s="885"/>
      <c r="BV34" s="885"/>
      <c r="BW34" s="885">
        <v>5000</v>
      </c>
      <c r="BX34" s="885">
        <f>BW34</f>
        <v>5000</v>
      </c>
      <c r="BY34" s="885">
        <v>7425</v>
      </c>
      <c r="BZ34" s="885">
        <f>BY34</f>
        <v>7425</v>
      </c>
      <c r="CA34" s="885">
        <v>7800</v>
      </c>
      <c r="CB34" s="885">
        <f>CA34</f>
        <v>7800</v>
      </c>
      <c r="CC34" s="885">
        <f>52000-CC32-CC33</f>
        <v>7880</v>
      </c>
      <c r="CD34" s="885">
        <f>CC34</f>
        <v>7880</v>
      </c>
      <c r="CE34" s="885"/>
      <c r="CF34" s="885"/>
      <c r="CG34" s="885"/>
      <c r="CH34" s="885"/>
      <c r="CI34" s="885">
        <v>3000</v>
      </c>
      <c r="CJ34" s="885">
        <f>CI34</f>
        <v>3000</v>
      </c>
      <c r="CK34" s="885">
        <v>11425</v>
      </c>
      <c r="CL34" s="885">
        <f>CK34</f>
        <v>11425</v>
      </c>
      <c r="CM34" s="885">
        <v>12000</v>
      </c>
      <c r="CN34" s="885">
        <f>CM34</f>
        <v>12000</v>
      </c>
      <c r="CO34" s="885">
        <f>19000-CO32-CO33</f>
        <v>12000</v>
      </c>
      <c r="CP34" s="885">
        <f>CO34</f>
        <v>12000</v>
      </c>
      <c r="CQ34" s="885"/>
      <c r="CR34" s="885"/>
      <c r="CS34" s="885"/>
      <c r="CT34" s="885"/>
      <c r="CU34" s="885">
        <v>2800</v>
      </c>
      <c r="CV34" s="885">
        <f>CU34</f>
        <v>2800</v>
      </c>
      <c r="CW34" s="885">
        <v>6343</v>
      </c>
      <c r="CX34" s="885">
        <f>CW34</f>
        <v>6343</v>
      </c>
      <c r="CY34" s="885">
        <v>6300</v>
      </c>
      <c r="CZ34" s="885">
        <f>CY34</f>
        <v>6300</v>
      </c>
      <c r="DA34" s="885">
        <f>9300-DA32-DA33</f>
        <v>6300</v>
      </c>
      <c r="DB34" s="885">
        <f>DA34</f>
        <v>6300</v>
      </c>
      <c r="DC34" s="885"/>
      <c r="DD34" s="885"/>
      <c r="DE34" s="885"/>
      <c r="DF34" s="885"/>
      <c r="DG34" s="885">
        <v>3000</v>
      </c>
      <c r="DH34" s="885">
        <f>DG34</f>
        <v>3000</v>
      </c>
      <c r="DI34" s="886">
        <v>9068</v>
      </c>
      <c r="DJ34" s="886">
        <f>DI34</f>
        <v>9068</v>
      </c>
      <c r="DK34" s="886">
        <v>9000</v>
      </c>
      <c r="DL34" s="886">
        <f>DK34</f>
        <v>9000</v>
      </c>
      <c r="DM34" s="885">
        <f>15000-DM32-DM33</f>
        <v>9000</v>
      </c>
      <c r="DN34" s="885">
        <f>DM34</f>
        <v>9000</v>
      </c>
      <c r="DO34" s="885"/>
      <c r="DP34" s="885"/>
      <c r="DQ34" s="885"/>
      <c r="DR34" s="885"/>
      <c r="DS34" s="885">
        <v>2000</v>
      </c>
      <c r="DT34" s="885">
        <f>DS34</f>
        <v>2000</v>
      </c>
      <c r="DU34" s="885">
        <v>5906</v>
      </c>
      <c r="DV34" s="885">
        <f>DU34</f>
        <v>5906</v>
      </c>
      <c r="DW34" s="885">
        <v>6000</v>
      </c>
      <c r="DX34" s="885">
        <f>DW34</f>
        <v>6000</v>
      </c>
      <c r="DY34" s="885">
        <f>12000-DY32-DY33</f>
        <v>6000</v>
      </c>
      <c r="DZ34" s="885">
        <f>DY34</f>
        <v>6000</v>
      </c>
      <c r="EA34" s="885"/>
      <c r="EB34" s="885"/>
      <c r="EC34" s="885"/>
      <c r="ED34" s="885"/>
      <c r="EE34" s="885">
        <v>5000</v>
      </c>
      <c r="EF34" s="885">
        <f>EE34</f>
        <v>5000</v>
      </c>
      <c r="EG34" s="885">
        <v>6925</v>
      </c>
      <c r="EH34" s="885">
        <f>EG34</f>
        <v>6925</v>
      </c>
      <c r="EI34" s="885">
        <v>7000</v>
      </c>
      <c r="EJ34" s="885">
        <f>EI34</f>
        <v>7000</v>
      </c>
      <c r="EK34" s="885">
        <f>11000-EK32-EK33</f>
        <v>7000</v>
      </c>
      <c r="EL34" s="885">
        <f>EK34</f>
        <v>7000</v>
      </c>
      <c r="EM34" s="885"/>
      <c r="EN34" s="885"/>
      <c r="EO34" s="885"/>
      <c r="EP34" s="885"/>
      <c r="EQ34" s="885">
        <v>3000</v>
      </c>
      <c r="ER34" s="885">
        <f>EQ34</f>
        <v>3000</v>
      </c>
      <c r="ES34" s="885">
        <v>7437</v>
      </c>
      <c r="ET34" s="885">
        <f>ES34</f>
        <v>7437</v>
      </c>
      <c r="EU34" s="885">
        <v>8000</v>
      </c>
      <c r="EV34" s="885">
        <f>EU34</f>
        <v>8000</v>
      </c>
      <c r="EW34" s="885">
        <f>11500-EW32-EW33</f>
        <v>8500</v>
      </c>
      <c r="EX34" s="885">
        <f>EW34</f>
        <v>8500</v>
      </c>
      <c r="EY34" s="885"/>
      <c r="EZ34" s="885"/>
      <c r="FA34" s="885"/>
      <c r="FB34" s="885"/>
    </row>
    <row r="35" spans="1:158" s="168" customFormat="1" x14ac:dyDescent="0.25">
      <c r="A35" s="169">
        <v>10</v>
      </c>
      <c r="B35" s="336" t="s">
        <v>293</v>
      </c>
      <c r="C35" s="792">
        <f t="shared" si="67"/>
        <v>19000</v>
      </c>
      <c r="D35" s="792">
        <f t="shared" si="67"/>
        <v>19000</v>
      </c>
      <c r="E35" s="787">
        <f t="shared" si="67"/>
        <v>1366</v>
      </c>
      <c r="F35" s="787">
        <f t="shared" si="67"/>
        <v>1366</v>
      </c>
      <c r="G35" s="792">
        <f t="shared" si="67"/>
        <v>3620</v>
      </c>
      <c r="H35" s="792">
        <f t="shared" si="68"/>
        <v>3620</v>
      </c>
      <c r="I35" s="792">
        <f t="shared" si="68"/>
        <v>3500</v>
      </c>
      <c r="J35" s="792">
        <f t="shared" si="68"/>
        <v>3500</v>
      </c>
      <c r="K35" s="792">
        <f>+I35-G35</f>
        <v>-120</v>
      </c>
      <c r="L35" s="792">
        <f t="shared" si="1"/>
        <v>96.685082872928177</v>
      </c>
      <c r="M35" s="792">
        <f>+G35-C35</f>
        <v>-15380</v>
      </c>
      <c r="N35" s="792">
        <f>+G35/C35*100</f>
        <v>19.05263157894737</v>
      </c>
      <c r="O35" s="792">
        <v>3500</v>
      </c>
      <c r="P35" s="792">
        <f>O35</f>
        <v>3500</v>
      </c>
      <c r="Q35" s="792">
        <v>702</v>
      </c>
      <c r="R35" s="792">
        <f>Q35</f>
        <v>702</v>
      </c>
      <c r="S35" s="792">
        <v>800</v>
      </c>
      <c r="T35" s="792">
        <f>+S35</f>
        <v>800</v>
      </c>
      <c r="U35" s="792">
        <v>600</v>
      </c>
      <c r="V35" s="792">
        <f>U35</f>
        <v>600</v>
      </c>
      <c r="W35" s="792">
        <f>+U35-S35</f>
        <v>-200</v>
      </c>
      <c r="X35" s="792">
        <f>+U35/S35*100</f>
        <v>75</v>
      </c>
      <c r="Y35" s="792">
        <f>+S35-O35</f>
        <v>-2700</v>
      </c>
      <c r="Z35" s="792">
        <f>+S35/O35*100</f>
        <v>22.857142857142858</v>
      </c>
      <c r="AA35" s="792">
        <v>500</v>
      </c>
      <c r="AB35" s="792">
        <f>AA35</f>
        <v>500</v>
      </c>
      <c r="AC35" s="792">
        <v>125</v>
      </c>
      <c r="AD35" s="792">
        <f>AC35</f>
        <v>125</v>
      </c>
      <c r="AE35" s="792">
        <v>250</v>
      </c>
      <c r="AF35" s="792">
        <f>+AE35</f>
        <v>250</v>
      </c>
      <c r="AG35" s="792">
        <v>280</v>
      </c>
      <c r="AH35" s="792">
        <f>AG35</f>
        <v>280</v>
      </c>
      <c r="AI35" s="792">
        <f>+AG35-AE35</f>
        <v>30</v>
      </c>
      <c r="AJ35" s="792">
        <f>+AG35/AE35*100</f>
        <v>112.00000000000001</v>
      </c>
      <c r="AK35" s="792">
        <f>+AE35-AA35</f>
        <v>-250</v>
      </c>
      <c r="AL35" s="792">
        <f>+AE35/AA35*100</f>
        <v>50</v>
      </c>
      <c r="AM35" s="792">
        <v>1000</v>
      </c>
      <c r="AN35" s="792">
        <f>AM35</f>
        <v>1000</v>
      </c>
      <c r="AO35" s="792">
        <v>0</v>
      </c>
      <c r="AP35" s="792">
        <f>AO35</f>
        <v>0</v>
      </c>
      <c r="AQ35" s="792">
        <v>300</v>
      </c>
      <c r="AR35" s="792">
        <f>+AQ35</f>
        <v>300</v>
      </c>
      <c r="AS35" s="792">
        <v>320</v>
      </c>
      <c r="AT35" s="792">
        <f>AS35</f>
        <v>320</v>
      </c>
      <c r="AU35" s="792">
        <f>+AS35-AQ35</f>
        <v>20</v>
      </c>
      <c r="AV35" s="792">
        <f>+AS35/AQ35*100</f>
        <v>106.66666666666667</v>
      </c>
      <c r="AW35" s="792">
        <f>+AQ35-AM35</f>
        <v>-700</v>
      </c>
      <c r="AX35" s="792">
        <f>+AQ35/AM35*100</f>
        <v>30</v>
      </c>
      <c r="AY35" s="792">
        <v>800</v>
      </c>
      <c r="AZ35" s="792">
        <f>AY35</f>
        <v>800</v>
      </c>
      <c r="BA35" s="792">
        <v>3</v>
      </c>
      <c r="BB35" s="792">
        <f>+BA35</f>
        <v>3</v>
      </c>
      <c r="BC35" s="792">
        <v>200</v>
      </c>
      <c r="BD35" s="792">
        <f>+BC35</f>
        <v>200</v>
      </c>
      <c r="BE35" s="792">
        <v>200</v>
      </c>
      <c r="BF35" s="792">
        <f>BE35</f>
        <v>200</v>
      </c>
      <c r="BG35" s="792">
        <f>+BE35-BC35</f>
        <v>0</v>
      </c>
      <c r="BH35" s="792">
        <f>+BE35/BC35*100</f>
        <v>100</v>
      </c>
      <c r="BI35" s="792">
        <f>+BC35-AY35</f>
        <v>-600</v>
      </c>
      <c r="BJ35" s="792">
        <f>+BC35/AY35*100</f>
        <v>25</v>
      </c>
      <c r="BK35" s="793">
        <v>2100</v>
      </c>
      <c r="BL35" s="792">
        <f>BK35</f>
        <v>2100</v>
      </c>
      <c r="BM35" s="792">
        <v>1</v>
      </c>
      <c r="BN35" s="792">
        <f>BM35</f>
        <v>1</v>
      </c>
      <c r="BO35" s="792">
        <v>250</v>
      </c>
      <c r="BP35" s="792">
        <f>+BO35</f>
        <v>250</v>
      </c>
      <c r="BQ35" s="793">
        <v>280</v>
      </c>
      <c r="BR35" s="792">
        <f>BQ35</f>
        <v>280</v>
      </c>
      <c r="BS35" s="792">
        <f>+BQ35-BO35</f>
        <v>30</v>
      </c>
      <c r="BT35" s="792">
        <f>+BQ35/BO35*100</f>
        <v>112.00000000000001</v>
      </c>
      <c r="BU35" s="792">
        <f>+BO35-BK35</f>
        <v>-1850</v>
      </c>
      <c r="BV35" s="792">
        <f>+BO35/BK35*100</f>
        <v>11.904761904761903</v>
      </c>
      <c r="BW35" s="792">
        <v>2800</v>
      </c>
      <c r="BX35" s="792">
        <f>BW35</f>
        <v>2800</v>
      </c>
      <c r="BY35" s="792">
        <v>0</v>
      </c>
      <c r="BZ35" s="792">
        <f>BY35</f>
        <v>0</v>
      </c>
      <c r="CA35" s="792">
        <v>220</v>
      </c>
      <c r="CB35" s="792">
        <f>+CA35</f>
        <v>220</v>
      </c>
      <c r="CC35" s="792">
        <v>220</v>
      </c>
      <c r="CD35" s="792">
        <f>CC35</f>
        <v>220</v>
      </c>
      <c r="CE35" s="792">
        <f>+CC35-CA35</f>
        <v>0</v>
      </c>
      <c r="CF35" s="792">
        <f>+CC35/CA35*100</f>
        <v>100</v>
      </c>
      <c r="CG35" s="792">
        <f>+CA35-BW35</f>
        <v>-2580</v>
      </c>
      <c r="CH35" s="792">
        <f>+CA35/BW35*100</f>
        <v>7.8571428571428568</v>
      </c>
      <c r="CI35" s="792">
        <v>1800</v>
      </c>
      <c r="CJ35" s="792">
        <f>CI35</f>
        <v>1800</v>
      </c>
      <c r="CK35" s="792">
        <v>140</v>
      </c>
      <c r="CL35" s="792">
        <f>CK35</f>
        <v>140</v>
      </c>
      <c r="CM35" s="792">
        <v>300</v>
      </c>
      <c r="CN35" s="792">
        <f>+CM35</f>
        <v>300</v>
      </c>
      <c r="CO35" s="792">
        <v>300</v>
      </c>
      <c r="CP35" s="792">
        <f>CO35</f>
        <v>300</v>
      </c>
      <c r="CQ35" s="792">
        <f>+CO35-CM35</f>
        <v>0</v>
      </c>
      <c r="CR35" s="792">
        <f>+CO35/CM35*100</f>
        <v>100</v>
      </c>
      <c r="CS35" s="792">
        <f>+CM35-CI35</f>
        <v>-1500</v>
      </c>
      <c r="CT35" s="792">
        <f>+CM35/CI35*100</f>
        <v>16.666666666666664</v>
      </c>
      <c r="CU35" s="792">
        <v>1500</v>
      </c>
      <c r="CV35" s="792">
        <f>CU35</f>
        <v>1500</v>
      </c>
      <c r="CW35" s="792">
        <v>247</v>
      </c>
      <c r="CX35" s="792">
        <f>CW35</f>
        <v>247</v>
      </c>
      <c r="CY35" s="792">
        <v>300</v>
      </c>
      <c r="CZ35" s="792">
        <f>+CY35</f>
        <v>300</v>
      </c>
      <c r="DA35" s="792">
        <v>300</v>
      </c>
      <c r="DB35" s="792">
        <f>DA35</f>
        <v>300</v>
      </c>
      <c r="DC35" s="792">
        <f>+DA35-CY35</f>
        <v>0</v>
      </c>
      <c r="DD35" s="792">
        <f>+DA35/CY35*100</f>
        <v>100</v>
      </c>
      <c r="DE35" s="792">
        <f>+CY35-CU35</f>
        <v>-1200</v>
      </c>
      <c r="DF35" s="792">
        <f>+CY35/CU35*100</f>
        <v>20</v>
      </c>
      <c r="DG35" s="792">
        <v>1500</v>
      </c>
      <c r="DH35" s="792">
        <f>DG35</f>
        <v>1500</v>
      </c>
      <c r="DI35" s="792">
        <v>124</v>
      </c>
      <c r="DJ35" s="792">
        <f>DI35</f>
        <v>124</v>
      </c>
      <c r="DK35" s="792">
        <v>330</v>
      </c>
      <c r="DL35" s="792">
        <f>+DK35</f>
        <v>330</v>
      </c>
      <c r="DM35" s="792">
        <v>330</v>
      </c>
      <c r="DN35" s="792">
        <f>DM35</f>
        <v>330</v>
      </c>
      <c r="DO35" s="792">
        <f>+DM35-DK35</f>
        <v>0</v>
      </c>
      <c r="DP35" s="792">
        <f>+DM35/DK35*100</f>
        <v>100</v>
      </c>
      <c r="DQ35" s="792">
        <f>+DK35-DG35</f>
        <v>-1170</v>
      </c>
      <c r="DR35" s="792">
        <f>+DK35/DG35*100</f>
        <v>22</v>
      </c>
      <c r="DS35" s="792">
        <v>1500</v>
      </c>
      <c r="DT35" s="792">
        <f>DS35</f>
        <v>1500</v>
      </c>
      <c r="DU35" s="792">
        <v>0</v>
      </c>
      <c r="DV35" s="792">
        <f>DU35</f>
        <v>0</v>
      </c>
      <c r="DW35" s="792">
        <v>250</v>
      </c>
      <c r="DX35" s="792">
        <f>+DW35</f>
        <v>250</v>
      </c>
      <c r="DY35" s="792">
        <v>250</v>
      </c>
      <c r="DZ35" s="792">
        <f>DY35</f>
        <v>250</v>
      </c>
      <c r="EA35" s="792">
        <f>+DY35-DW35</f>
        <v>0</v>
      </c>
      <c r="EB35" s="792">
        <f>+DY35/DW35*100</f>
        <v>100</v>
      </c>
      <c r="EC35" s="792">
        <f>+DW35-DS35</f>
        <v>-1250</v>
      </c>
      <c r="ED35" s="792">
        <f>+DW35/DS35*100</f>
        <v>16.666666666666664</v>
      </c>
      <c r="EE35" s="792">
        <v>1000</v>
      </c>
      <c r="EF35" s="792">
        <f>EE35</f>
        <v>1000</v>
      </c>
      <c r="EG35" s="792">
        <v>0</v>
      </c>
      <c r="EH35" s="792">
        <f>EG35</f>
        <v>0</v>
      </c>
      <c r="EI35" s="792">
        <v>260</v>
      </c>
      <c r="EJ35" s="792">
        <f>+EI35</f>
        <v>260</v>
      </c>
      <c r="EK35" s="792">
        <v>260</v>
      </c>
      <c r="EL35" s="792">
        <f>EK35</f>
        <v>260</v>
      </c>
      <c r="EM35" s="792">
        <f>+EK35-EI35</f>
        <v>0</v>
      </c>
      <c r="EN35" s="792">
        <f>+EK35/EI35*100</f>
        <v>100</v>
      </c>
      <c r="EO35" s="792">
        <f>+EI35-EE35</f>
        <v>-740</v>
      </c>
      <c r="EP35" s="792">
        <f>+EI35/EE35*100</f>
        <v>26</v>
      </c>
      <c r="EQ35" s="792">
        <v>1000</v>
      </c>
      <c r="ER35" s="792">
        <f>EQ35</f>
        <v>1000</v>
      </c>
      <c r="ES35" s="792">
        <v>24</v>
      </c>
      <c r="ET35" s="792">
        <f>ES35</f>
        <v>24</v>
      </c>
      <c r="EU35" s="792">
        <v>160</v>
      </c>
      <c r="EV35" s="792">
        <f>+EU35</f>
        <v>160</v>
      </c>
      <c r="EW35" s="792">
        <v>160</v>
      </c>
      <c r="EX35" s="792">
        <f>EW35</f>
        <v>160</v>
      </c>
      <c r="EY35" s="792">
        <f>+EW35-EU35</f>
        <v>0</v>
      </c>
      <c r="EZ35" s="792">
        <f>+EW35/EU35*100</f>
        <v>100</v>
      </c>
      <c r="FA35" s="792">
        <f>+EU35-EQ35</f>
        <v>-840</v>
      </c>
      <c r="FB35" s="792">
        <f>+EU35/EQ35*100</f>
        <v>16</v>
      </c>
    </row>
    <row r="36" spans="1:158" s="98" customFormat="1" ht="18.75" customHeight="1" x14ac:dyDescent="0.25">
      <c r="A36" s="41" t="s">
        <v>294</v>
      </c>
      <c r="B36" s="250" t="s">
        <v>215</v>
      </c>
      <c r="C36" s="785"/>
      <c r="D36" s="785"/>
      <c r="E36" s="785"/>
      <c r="F36" s="785"/>
      <c r="G36" s="785"/>
      <c r="H36" s="785"/>
      <c r="I36" s="785"/>
      <c r="J36" s="785"/>
      <c r="K36" s="794"/>
      <c r="L36" s="794"/>
      <c r="M36" s="794"/>
      <c r="N36" s="785"/>
      <c r="O36" s="785"/>
      <c r="P36" s="785"/>
      <c r="Q36" s="785"/>
      <c r="R36" s="785"/>
      <c r="S36" s="785"/>
      <c r="T36" s="785"/>
      <c r="U36" s="785"/>
      <c r="V36" s="785"/>
      <c r="W36" s="794"/>
      <c r="X36" s="794"/>
      <c r="Y36" s="794"/>
      <c r="Z36" s="785"/>
      <c r="AA36" s="785"/>
      <c r="AB36" s="785"/>
      <c r="AC36" s="785"/>
      <c r="AD36" s="785"/>
      <c r="AE36" s="785"/>
      <c r="AF36" s="785"/>
      <c r="AG36" s="785"/>
      <c r="AH36" s="785"/>
      <c r="AI36" s="794"/>
      <c r="AJ36" s="794"/>
      <c r="AK36" s="794"/>
      <c r="AL36" s="785"/>
      <c r="AM36" s="785"/>
      <c r="AN36" s="785"/>
      <c r="AO36" s="785"/>
      <c r="AP36" s="785"/>
      <c r="AQ36" s="795"/>
      <c r="AR36" s="795"/>
      <c r="AS36" s="795"/>
      <c r="AT36" s="795"/>
      <c r="AU36" s="794"/>
      <c r="AV36" s="794"/>
      <c r="AW36" s="794"/>
      <c r="AX36" s="785"/>
      <c r="AY36" s="785"/>
      <c r="AZ36" s="785"/>
      <c r="BA36" s="785"/>
      <c r="BB36" s="785"/>
      <c r="BC36" s="785"/>
      <c r="BD36" s="785"/>
      <c r="BE36" s="785"/>
      <c r="BF36" s="785"/>
      <c r="BG36" s="794"/>
      <c r="BH36" s="794"/>
      <c r="BI36" s="794"/>
      <c r="BJ36" s="785"/>
      <c r="BK36" s="785"/>
      <c r="BL36" s="785"/>
      <c r="BM36" s="785"/>
      <c r="BN36" s="785"/>
      <c r="BO36" s="785"/>
      <c r="BP36" s="785"/>
      <c r="BQ36" s="785"/>
      <c r="BR36" s="785"/>
      <c r="BS36" s="794"/>
      <c r="BT36" s="794"/>
      <c r="BU36" s="794"/>
      <c r="BV36" s="785"/>
      <c r="BW36" s="785"/>
      <c r="BX36" s="785"/>
      <c r="BY36" s="785"/>
      <c r="BZ36" s="785"/>
      <c r="CA36" s="785"/>
      <c r="CB36" s="785"/>
      <c r="CC36" s="785"/>
      <c r="CD36" s="785"/>
      <c r="CE36" s="794"/>
      <c r="CF36" s="794"/>
      <c r="CG36" s="794"/>
      <c r="CH36" s="785"/>
      <c r="CI36" s="785"/>
      <c r="CJ36" s="785"/>
      <c r="CK36" s="785"/>
      <c r="CL36" s="785"/>
      <c r="CM36" s="785"/>
      <c r="CN36" s="785"/>
      <c r="CO36" s="785"/>
      <c r="CP36" s="796"/>
      <c r="CQ36" s="794"/>
      <c r="CR36" s="794"/>
      <c r="CS36" s="794"/>
      <c r="CT36" s="785"/>
      <c r="CU36" s="785"/>
      <c r="CV36" s="785"/>
      <c r="CW36" s="785"/>
      <c r="CX36" s="785"/>
      <c r="CY36" s="785"/>
      <c r="CZ36" s="785"/>
      <c r="DA36" s="785"/>
      <c r="DB36" s="785"/>
      <c r="DC36" s="794"/>
      <c r="DD36" s="794"/>
      <c r="DE36" s="794"/>
      <c r="DF36" s="785"/>
      <c r="DG36" s="785"/>
      <c r="DH36" s="785"/>
      <c r="DI36" s="785"/>
      <c r="DJ36" s="785"/>
      <c r="DK36" s="785"/>
      <c r="DL36" s="785"/>
      <c r="DM36" s="785"/>
      <c r="DN36" s="796"/>
      <c r="DO36" s="794"/>
      <c r="DP36" s="794"/>
      <c r="DQ36" s="794"/>
      <c r="DR36" s="785"/>
      <c r="DS36" s="785"/>
      <c r="DT36" s="785"/>
      <c r="DU36" s="785"/>
      <c r="DV36" s="785"/>
      <c r="DW36" s="785"/>
      <c r="DX36" s="785"/>
      <c r="DY36" s="785"/>
      <c r="DZ36" s="785"/>
      <c r="EA36" s="794"/>
      <c r="EB36" s="794"/>
      <c r="EC36" s="794"/>
      <c r="ED36" s="785"/>
      <c r="EE36" s="785"/>
      <c r="EF36" s="785"/>
      <c r="EG36" s="785"/>
      <c r="EH36" s="785"/>
      <c r="EI36" s="785"/>
      <c r="EJ36" s="785"/>
      <c r="EK36" s="785"/>
      <c r="EL36" s="796"/>
      <c r="EM36" s="794"/>
      <c r="EN36" s="794"/>
      <c r="EO36" s="794"/>
      <c r="EP36" s="785"/>
      <c r="EQ36" s="785"/>
      <c r="ER36" s="785"/>
      <c r="ES36" s="785"/>
      <c r="ET36" s="785"/>
      <c r="EU36" s="785"/>
      <c r="EV36" s="785"/>
      <c r="EW36" s="785"/>
      <c r="EX36" s="785"/>
      <c r="EY36" s="794"/>
      <c r="EZ36" s="794"/>
      <c r="FA36" s="794"/>
      <c r="FB36" s="785"/>
    </row>
    <row r="37" spans="1:158" s="14" customFormat="1" ht="18.75" customHeight="1" x14ac:dyDescent="0.25">
      <c r="A37" s="170" t="s">
        <v>449</v>
      </c>
      <c r="B37" s="260" t="s">
        <v>216</v>
      </c>
      <c r="C37" s="797"/>
      <c r="D37" s="788">
        <f>SUM(AB37,AN37,AZ37,BL37,BX37,CJ37,CV37,DH37,DT37,EF37,ER37,P37)</f>
        <v>1704160</v>
      </c>
      <c r="E37" s="797"/>
      <c r="F37" s="797"/>
      <c r="G37" s="797"/>
      <c r="H37" s="788">
        <f>SUM(AF37,AR37,BD37,BP37,CB37,CN37,CZ37,DL37,DX37,EJ37,EV37,T37)</f>
        <v>2123276</v>
      </c>
      <c r="I37" s="797"/>
      <c r="J37" s="788">
        <f>+J8</f>
        <v>1817390</v>
      </c>
      <c r="K37" s="788"/>
      <c r="L37" s="788"/>
      <c r="M37" s="788"/>
      <c r="N37" s="797"/>
      <c r="O37" s="797"/>
      <c r="P37" s="788">
        <f>+P8</f>
        <v>43800</v>
      </c>
      <c r="Q37" s="797"/>
      <c r="R37" s="797"/>
      <c r="S37" s="797"/>
      <c r="T37" s="788">
        <f>+T8</f>
        <v>61406</v>
      </c>
      <c r="U37" s="797"/>
      <c r="V37" s="788">
        <f>+V8</f>
        <v>55200</v>
      </c>
      <c r="W37" s="788"/>
      <c r="X37" s="788"/>
      <c r="Y37" s="788"/>
      <c r="Z37" s="797"/>
      <c r="AA37" s="797"/>
      <c r="AB37" s="788">
        <f>+AB8</f>
        <v>141650</v>
      </c>
      <c r="AC37" s="797"/>
      <c r="AD37" s="797"/>
      <c r="AE37" s="797"/>
      <c r="AF37" s="788">
        <f>+AF8</f>
        <v>177050</v>
      </c>
      <c r="AG37" s="797"/>
      <c r="AH37" s="788">
        <f>+AH8</f>
        <v>148580</v>
      </c>
      <c r="AI37" s="788"/>
      <c r="AJ37" s="788"/>
      <c r="AK37" s="788"/>
      <c r="AL37" s="797"/>
      <c r="AM37" s="797"/>
      <c r="AN37" s="788">
        <f>+AN8</f>
        <v>36320</v>
      </c>
      <c r="AO37" s="797"/>
      <c r="AP37" s="797"/>
      <c r="AQ37" s="797"/>
      <c r="AR37" s="788">
        <f>+AR8</f>
        <v>58715</v>
      </c>
      <c r="AS37" s="797"/>
      <c r="AT37" s="788">
        <f>+AT8</f>
        <v>41060</v>
      </c>
      <c r="AU37" s="788"/>
      <c r="AV37" s="788"/>
      <c r="AW37" s="788"/>
      <c r="AX37" s="797"/>
      <c r="AY37" s="797"/>
      <c r="AZ37" s="788">
        <f>+AZ8</f>
        <v>71170</v>
      </c>
      <c r="BA37" s="797"/>
      <c r="BB37" s="797"/>
      <c r="BC37" s="797"/>
      <c r="BD37" s="788">
        <f>+BD8</f>
        <v>79770</v>
      </c>
      <c r="BE37" s="797"/>
      <c r="BF37" s="788">
        <f>+BF8</f>
        <v>69800</v>
      </c>
      <c r="BG37" s="788"/>
      <c r="BH37" s="788"/>
      <c r="BI37" s="788"/>
      <c r="BJ37" s="797"/>
      <c r="BK37" s="797"/>
      <c r="BL37" s="788">
        <f>+BL8</f>
        <v>89980</v>
      </c>
      <c r="BM37" s="797"/>
      <c r="BN37" s="797"/>
      <c r="BO37" s="797"/>
      <c r="BP37" s="788">
        <f>+BP8</f>
        <v>103452</v>
      </c>
      <c r="BQ37" s="797"/>
      <c r="BR37" s="788">
        <f>+BR8</f>
        <v>99130</v>
      </c>
      <c r="BS37" s="788"/>
      <c r="BT37" s="788"/>
      <c r="BU37" s="788"/>
      <c r="BV37" s="797"/>
      <c r="BW37" s="797"/>
      <c r="BX37" s="788">
        <f>+BX8</f>
        <v>543600</v>
      </c>
      <c r="BY37" s="797"/>
      <c r="BZ37" s="797"/>
      <c r="CA37" s="797"/>
      <c r="CB37" s="788">
        <f>+CB8</f>
        <v>696690</v>
      </c>
      <c r="CC37" s="797"/>
      <c r="CD37" s="788">
        <f>+CD8</f>
        <v>577950</v>
      </c>
      <c r="CE37" s="788"/>
      <c r="CF37" s="788"/>
      <c r="CG37" s="788"/>
      <c r="CH37" s="797"/>
      <c r="CI37" s="797"/>
      <c r="CJ37" s="788">
        <f>+CJ8</f>
        <v>121700</v>
      </c>
      <c r="CK37" s="797"/>
      <c r="CL37" s="797"/>
      <c r="CM37" s="797"/>
      <c r="CN37" s="788">
        <f>+CN8</f>
        <v>134590</v>
      </c>
      <c r="CO37" s="797"/>
      <c r="CP37" s="788">
        <f>+CP8</f>
        <v>129950</v>
      </c>
      <c r="CQ37" s="788"/>
      <c r="CR37" s="788"/>
      <c r="CS37" s="788"/>
      <c r="CT37" s="797"/>
      <c r="CU37" s="797"/>
      <c r="CV37" s="788">
        <f>+CV8</f>
        <v>101730</v>
      </c>
      <c r="CW37" s="797"/>
      <c r="CX37" s="797"/>
      <c r="CY37" s="797"/>
      <c r="CZ37" s="788">
        <f>+CZ8</f>
        <v>111340</v>
      </c>
      <c r="DA37" s="797"/>
      <c r="DB37" s="788">
        <f>+DB8</f>
        <v>124760</v>
      </c>
      <c r="DC37" s="788"/>
      <c r="DD37" s="788"/>
      <c r="DE37" s="788"/>
      <c r="DF37" s="797"/>
      <c r="DG37" s="797"/>
      <c r="DH37" s="788">
        <f>+DH8</f>
        <v>113250</v>
      </c>
      <c r="DI37" s="797"/>
      <c r="DJ37" s="797"/>
      <c r="DK37" s="797"/>
      <c r="DL37" s="788">
        <f>+DL8</f>
        <v>152933</v>
      </c>
      <c r="DM37" s="797"/>
      <c r="DN37" s="788">
        <f>+DN8</f>
        <v>133600</v>
      </c>
      <c r="DO37" s="788"/>
      <c r="DP37" s="788"/>
      <c r="DQ37" s="788"/>
      <c r="DR37" s="797"/>
      <c r="DS37" s="797"/>
      <c r="DT37" s="788">
        <f>+DT8</f>
        <v>86780</v>
      </c>
      <c r="DU37" s="797"/>
      <c r="DV37" s="797"/>
      <c r="DW37" s="797"/>
      <c r="DX37" s="788">
        <f>+DX8</f>
        <v>87450</v>
      </c>
      <c r="DY37" s="797"/>
      <c r="DZ37" s="788">
        <f>+DZ8</f>
        <v>88150</v>
      </c>
      <c r="EA37" s="788"/>
      <c r="EB37" s="788"/>
      <c r="EC37" s="788"/>
      <c r="ED37" s="797"/>
      <c r="EE37" s="797"/>
      <c r="EF37" s="788">
        <f>+EF8</f>
        <v>275170</v>
      </c>
      <c r="EG37" s="797"/>
      <c r="EH37" s="797"/>
      <c r="EI37" s="797"/>
      <c r="EJ37" s="788">
        <f>+EJ8</f>
        <v>372110</v>
      </c>
      <c r="EK37" s="797"/>
      <c r="EL37" s="788">
        <f>+EL8</f>
        <v>264860</v>
      </c>
      <c r="EM37" s="788"/>
      <c r="EN37" s="788"/>
      <c r="EO37" s="788"/>
      <c r="EP37" s="797"/>
      <c r="EQ37" s="797"/>
      <c r="ER37" s="788">
        <f>+ER8</f>
        <v>79010</v>
      </c>
      <c r="ES37" s="797"/>
      <c r="ET37" s="797"/>
      <c r="EU37" s="797"/>
      <c r="EV37" s="788">
        <f>+EV8</f>
        <v>87770</v>
      </c>
      <c r="EW37" s="797"/>
      <c r="EX37" s="788">
        <f>+EX8</f>
        <v>84350</v>
      </c>
      <c r="EY37" s="788"/>
      <c r="EZ37" s="788"/>
      <c r="FA37" s="788"/>
      <c r="FB37" s="797"/>
    </row>
    <row r="38" spans="1:158" s="14" customFormat="1" ht="18.75" customHeight="1" x14ac:dyDescent="0.25">
      <c r="A38" s="170"/>
      <c r="B38" s="260" t="s">
        <v>217</v>
      </c>
      <c r="C38" s="797"/>
      <c r="D38" s="788">
        <f>+D28</f>
        <v>400000</v>
      </c>
      <c r="E38" s="797"/>
      <c r="F38" s="797"/>
      <c r="G38" s="797"/>
      <c r="H38" s="788">
        <f>+H28</f>
        <v>635000</v>
      </c>
      <c r="I38" s="797"/>
      <c r="J38" s="788">
        <f>+J28</f>
        <v>380000</v>
      </c>
      <c r="K38" s="788"/>
      <c r="L38" s="788"/>
      <c r="M38" s="788"/>
      <c r="N38" s="797"/>
      <c r="O38" s="797"/>
      <c r="P38" s="788">
        <f>+P28</f>
        <v>10000</v>
      </c>
      <c r="Q38" s="797"/>
      <c r="R38" s="797"/>
      <c r="S38" s="797"/>
      <c r="T38" s="788">
        <f>+T28</f>
        <v>21000</v>
      </c>
      <c r="U38" s="797"/>
      <c r="V38" s="788">
        <f>+V28</f>
        <v>10000</v>
      </c>
      <c r="W38" s="788"/>
      <c r="X38" s="788"/>
      <c r="Y38" s="788"/>
      <c r="Z38" s="797"/>
      <c r="AA38" s="797"/>
      <c r="AB38" s="788">
        <f>+AB28</f>
        <v>90000</v>
      </c>
      <c r="AC38" s="797"/>
      <c r="AD38" s="797"/>
      <c r="AE38" s="797"/>
      <c r="AF38" s="788">
        <f>+AF28</f>
        <v>100000</v>
      </c>
      <c r="AG38" s="797"/>
      <c r="AH38" s="788">
        <f>+AH28</f>
        <v>90000</v>
      </c>
      <c r="AI38" s="788"/>
      <c r="AJ38" s="788"/>
      <c r="AK38" s="788"/>
      <c r="AL38" s="797"/>
      <c r="AM38" s="797"/>
      <c r="AN38" s="788">
        <f>+AN28</f>
        <v>10000</v>
      </c>
      <c r="AO38" s="797"/>
      <c r="AP38" s="797"/>
      <c r="AQ38" s="797"/>
      <c r="AR38" s="788">
        <f>+AR28</f>
        <v>30000</v>
      </c>
      <c r="AS38" s="797"/>
      <c r="AT38" s="788">
        <f>+AT28</f>
        <v>10000</v>
      </c>
      <c r="AU38" s="788"/>
      <c r="AV38" s="788"/>
      <c r="AW38" s="788"/>
      <c r="AX38" s="797"/>
      <c r="AY38" s="797"/>
      <c r="AZ38" s="788">
        <f>+AZ28</f>
        <v>20000</v>
      </c>
      <c r="BA38" s="797"/>
      <c r="BB38" s="797"/>
      <c r="BC38" s="797"/>
      <c r="BD38" s="788">
        <f>+BD28</f>
        <v>28000</v>
      </c>
      <c r="BE38" s="797"/>
      <c r="BF38" s="788">
        <f>+BF28</f>
        <v>20000</v>
      </c>
      <c r="BG38" s="788"/>
      <c r="BH38" s="788"/>
      <c r="BI38" s="788"/>
      <c r="BJ38" s="797"/>
      <c r="BK38" s="797"/>
      <c r="BL38" s="788">
        <f>+BL28</f>
        <v>20000</v>
      </c>
      <c r="BM38" s="797"/>
      <c r="BN38" s="797"/>
      <c r="BO38" s="797"/>
      <c r="BP38" s="788">
        <f>+BP28</f>
        <v>20000</v>
      </c>
      <c r="BQ38" s="797"/>
      <c r="BR38" s="788">
        <f>+BR28</f>
        <v>20000</v>
      </c>
      <c r="BS38" s="788"/>
      <c r="BT38" s="788"/>
      <c r="BU38" s="788"/>
      <c r="BV38" s="797"/>
      <c r="BW38" s="797"/>
      <c r="BX38" s="788">
        <f>+BX28</f>
        <v>70000</v>
      </c>
      <c r="BY38" s="797"/>
      <c r="BZ38" s="797"/>
      <c r="CA38" s="797"/>
      <c r="CB38" s="788">
        <f>+CB28</f>
        <v>180000</v>
      </c>
      <c r="CC38" s="797"/>
      <c r="CD38" s="788">
        <f>+CD28</f>
        <v>50000</v>
      </c>
      <c r="CE38" s="788"/>
      <c r="CF38" s="788"/>
      <c r="CG38" s="788"/>
      <c r="CH38" s="797"/>
      <c r="CI38" s="797"/>
      <c r="CJ38" s="788">
        <f>+CJ28</f>
        <v>35000</v>
      </c>
      <c r="CK38" s="797"/>
      <c r="CL38" s="797"/>
      <c r="CM38" s="797"/>
      <c r="CN38" s="788">
        <f>+CN28</f>
        <v>35000</v>
      </c>
      <c r="CO38" s="797"/>
      <c r="CP38" s="788">
        <f>+CP28</f>
        <v>35000</v>
      </c>
      <c r="CQ38" s="788"/>
      <c r="CR38" s="788"/>
      <c r="CS38" s="788"/>
      <c r="CT38" s="797"/>
      <c r="CU38" s="797"/>
      <c r="CV38" s="788">
        <f>+CV28</f>
        <v>40000</v>
      </c>
      <c r="CW38" s="797"/>
      <c r="CX38" s="797"/>
      <c r="CY38" s="797"/>
      <c r="CZ38" s="788">
        <f>+CZ28</f>
        <v>45000</v>
      </c>
      <c r="DA38" s="797"/>
      <c r="DB38" s="788">
        <f>+DB28</f>
        <v>40000</v>
      </c>
      <c r="DC38" s="788"/>
      <c r="DD38" s="788"/>
      <c r="DE38" s="788"/>
      <c r="DF38" s="797"/>
      <c r="DG38" s="797"/>
      <c r="DH38" s="788">
        <f>+DH28</f>
        <v>15000</v>
      </c>
      <c r="DI38" s="797"/>
      <c r="DJ38" s="797"/>
      <c r="DK38" s="797"/>
      <c r="DL38" s="788">
        <f>+DL28</f>
        <v>28000</v>
      </c>
      <c r="DM38" s="797"/>
      <c r="DN38" s="788">
        <f>+DN28</f>
        <v>15000</v>
      </c>
      <c r="DO38" s="788"/>
      <c r="DP38" s="788"/>
      <c r="DQ38" s="788"/>
      <c r="DR38" s="797"/>
      <c r="DS38" s="797"/>
      <c r="DT38" s="788">
        <f>+DT28</f>
        <v>10000</v>
      </c>
      <c r="DU38" s="797"/>
      <c r="DV38" s="797"/>
      <c r="DW38" s="797"/>
      <c r="DX38" s="788">
        <f>+DX28</f>
        <v>10000</v>
      </c>
      <c r="DY38" s="797"/>
      <c r="DZ38" s="788">
        <f>+DZ28</f>
        <v>10000</v>
      </c>
      <c r="EA38" s="788"/>
      <c r="EB38" s="788"/>
      <c r="EC38" s="788"/>
      <c r="ED38" s="797"/>
      <c r="EE38" s="797"/>
      <c r="EF38" s="788">
        <f>+EF28</f>
        <v>60000</v>
      </c>
      <c r="EG38" s="797"/>
      <c r="EH38" s="797"/>
      <c r="EI38" s="797"/>
      <c r="EJ38" s="788">
        <f>+EJ28</f>
        <v>110000</v>
      </c>
      <c r="EK38" s="797"/>
      <c r="EL38" s="788">
        <f>+EL28</f>
        <v>60000</v>
      </c>
      <c r="EM38" s="788"/>
      <c r="EN38" s="788"/>
      <c r="EO38" s="788"/>
      <c r="EP38" s="797"/>
      <c r="EQ38" s="797"/>
      <c r="ER38" s="788">
        <f>+ER28</f>
        <v>20000</v>
      </c>
      <c r="ES38" s="797"/>
      <c r="ET38" s="797"/>
      <c r="EU38" s="797"/>
      <c r="EV38" s="788">
        <f>+EV28</f>
        <v>28000</v>
      </c>
      <c r="EW38" s="797"/>
      <c r="EX38" s="788">
        <f>+EX28</f>
        <v>20000</v>
      </c>
      <c r="EY38" s="788"/>
      <c r="EZ38" s="788"/>
      <c r="FA38" s="788"/>
      <c r="FB38" s="797"/>
    </row>
    <row r="39" spans="1:158" s="14" customFormat="1" ht="18.75" customHeight="1" x14ac:dyDescent="0.25">
      <c r="A39" s="170" t="s">
        <v>449</v>
      </c>
      <c r="B39" s="260" t="s">
        <v>218</v>
      </c>
      <c r="C39" s="797"/>
      <c r="D39" s="788">
        <f>+D37-D38</f>
        <v>1304160</v>
      </c>
      <c r="E39" s="797"/>
      <c r="F39" s="797"/>
      <c r="G39" s="797"/>
      <c r="H39" s="788">
        <f>+H37-H38</f>
        <v>1488276</v>
      </c>
      <c r="I39" s="797"/>
      <c r="J39" s="788">
        <f>+J37-J38</f>
        <v>1437390</v>
      </c>
      <c r="K39" s="788"/>
      <c r="L39" s="788"/>
      <c r="M39" s="788"/>
      <c r="N39" s="797"/>
      <c r="O39" s="797"/>
      <c r="P39" s="788">
        <f>+P37-P38</f>
        <v>33800</v>
      </c>
      <c r="Q39" s="797"/>
      <c r="R39" s="797"/>
      <c r="S39" s="797"/>
      <c r="T39" s="788">
        <f>+T37-T38</f>
        <v>40406</v>
      </c>
      <c r="U39" s="797"/>
      <c r="V39" s="788">
        <f>+V37-V38</f>
        <v>45200</v>
      </c>
      <c r="W39" s="788"/>
      <c r="X39" s="788"/>
      <c r="Y39" s="788"/>
      <c r="Z39" s="797"/>
      <c r="AA39" s="797"/>
      <c r="AB39" s="788">
        <f>+AB37-AB38</f>
        <v>51650</v>
      </c>
      <c r="AC39" s="797"/>
      <c r="AD39" s="797"/>
      <c r="AE39" s="797"/>
      <c r="AF39" s="788">
        <f>+AF37-AF38</f>
        <v>77050</v>
      </c>
      <c r="AG39" s="797"/>
      <c r="AH39" s="788">
        <f>+AH37-AH38</f>
        <v>58580</v>
      </c>
      <c r="AI39" s="788"/>
      <c r="AJ39" s="788"/>
      <c r="AK39" s="788"/>
      <c r="AL39" s="797"/>
      <c r="AM39" s="797"/>
      <c r="AN39" s="788">
        <f>+AN37-AN38</f>
        <v>26320</v>
      </c>
      <c r="AO39" s="797"/>
      <c r="AP39" s="797"/>
      <c r="AQ39" s="797"/>
      <c r="AR39" s="788">
        <f>+AR37-AR38</f>
        <v>28715</v>
      </c>
      <c r="AS39" s="797"/>
      <c r="AT39" s="788">
        <f>+AT37-AT38</f>
        <v>31060</v>
      </c>
      <c r="AU39" s="788"/>
      <c r="AV39" s="788"/>
      <c r="AW39" s="788"/>
      <c r="AX39" s="797"/>
      <c r="AY39" s="797"/>
      <c r="AZ39" s="788">
        <f>+AZ37-AZ38</f>
        <v>51170</v>
      </c>
      <c r="BA39" s="797"/>
      <c r="BB39" s="797"/>
      <c r="BC39" s="797"/>
      <c r="BD39" s="788">
        <f>+BD37-BD38</f>
        <v>51770</v>
      </c>
      <c r="BE39" s="797"/>
      <c r="BF39" s="788">
        <f>+BF37-BF38</f>
        <v>49800</v>
      </c>
      <c r="BG39" s="788"/>
      <c r="BH39" s="788"/>
      <c r="BI39" s="788"/>
      <c r="BJ39" s="797"/>
      <c r="BK39" s="797"/>
      <c r="BL39" s="788">
        <f>+BL37-BL38</f>
        <v>69980</v>
      </c>
      <c r="BM39" s="797"/>
      <c r="BN39" s="797"/>
      <c r="BO39" s="797"/>
      <c r="BP39" s="788">
        <f>+BP37-BP38</f>
        <v>83452</v>
      </c>
      <c r="BQ39" s="797"/>
      <c r="BR39" s="788">
        <f>+BR37-BR38</f>
        <v>79130</v>
      </c>
      <c r="BS39" s="788"/>
      <c r="BT39" s="788"/>
      <c r="BU39" s="788"/>
      <c r="BV39" s="797"/>
      <c r="BW39" s="797"/>
      <c r="BX39" s="788">
        <f>+BX37-BX38</f>
        <v>473600</v>
      </c>
      <c r="BY39" s="797"/>
      <c r="BZ39" s="797"/>
      <c r="CA39" s="797"/>
      <c r="CB39" s="788">
        <f>+CB37-CB38</f>
        <v>516690</v>
      </c>
      <c r="CC39" s="797"/>
      <c r="CD39" s="788">
        <f>+CD37-CD38</f>
        <v>527950</v>
      </c>
      <c r="CE39" s="788"/>
      <c r="CF39" s="788"/>
      <c r="CG39" s="788"/>
      <c r="CH39" s="797"/>
      <c r="CI39" s="797"/>
      <c r="CJ39" s="788">
        <f>+CJ37-CJ38</f>
        <v>86700</v>
      </c>
      <c r="CK39" s="797"/>
      <c r="CL39" s="797"/>
      <c r="CM39" s="797"/>
      <c r="CN39" s="788">
        <f>+CN37-CN38</f>
        <v>99590</v>
      </c>
      <c r="CO39" s="797"/>
      <c r="CP39" s="788">
        <f>+CP37-CP38</f>
        <v>94950</v>
      </c>
      <c r="CQ39" s="788"/>
      <c r="CR39" s="788"/>
      <c r="CS39" s="788"/>
      <c r="CT39" s="797"/>
      <c r="CU39" s="797"/>
      <c r="CV39" s="788">
        <f>+CV37-CV38</f>
        <v>61730</v>
      </c>
      <c r="CW39" s="797"/>
      <c r="CX39" s="797"/>
      <c r="CY39" s="797"/>
      <c r="CZ39" s="788">
        <f>+CZ37-CZ38</f>
        <v>66340</v>
      </c>
      <c r="DA39" s="797"/>
      <c r="DB39" s="788">
        <f>+DB37-DB38</f>
        <v>84760</v>
      </c>
      <c r="DC39" s="788"/>
      <c r="DD39" s="788"/>
      <c r="DE39" s="788"/>
      <c r="DF39" s="797"/>
      <c r="DG39" s="797"/>
      <c r="DH39" s="788">
        <f>+DH37-DH38</f>
        <v>98250</v>
      </c>
      <c r="DI39" s="797"/>
      <c r="DJ39" s="797"/>
      <c r="DK39" s="797"/>
      <c r="DL39" s="788">
        <f>+DL37-DL38</f>
        <v>124933</v>
      </c>
      <c r="DM39" s="797"/>
      <c r="DN39" s="788">
        <f>+DN37-DN38</f>
        <v>118600</v>
      </c>
      <c r="DO39" s="788"/>
      <c r="DP39" s="788"/>
      <c r="DQ39" s="788"/>
      <c r="DR39" s="797"/>
      <c r="DS39" s="797"/>
      <c r="DT39" s="788">
        <f>+DT37-DT38</f>
        <v>76780</v>
      </c>
      <c r="DU39" s="797"/>
      <c r="DV39" s="797"/>
      <c r="DW39" s="797"/>
      <c r="DX39" s="788">
        <f>+DX37-DX38</f>
        <v>77450</v>
      </c>
      <c r="DY39" s="797"/>
      <c r="DZ39" s="788">
        <f>+DZ37-DZ38</f>
        <v>78150</v>
      </c>
      <c r="EA39" s="788"/>
      <c r="EB39" s="788"/>
      <c r="EC39" s="788"/>
      <c r="ED39" s="797"/>
      <c r="EE39" s="797"/>
      <c r="EF39" s="788">
        <f>+EF37-EF38</f>
        <v>215170</v>
      </c>
      <c r="EG39" s="797"/>
      <c r="EH39" s="797"/>
      <c r="EI39" s="797"/>
      <c r="EJ39" s="788">
        <f>+EJ37-EJ38</f>
        <v>262110</v>
      </c>
      <c r="EK39" s="797"/>
      <c r="EL39" s="788">
        <f>+EL37-EL38</f>
        <v>204860</v>
      </c>
      <c r="EM39" s="788"/>
      <c r="EN39" s="788"/>
      <c r="EO39" s="788"/>
      <c r="EP39" s="797"/>
      <c r="EQ39" s="797"/>
      <c r="ER39" s="788">
        <f>+ER37-ER38</f>
        <v>59010</v>
      </c>
      <c r="ES39" s="797"/>
      <c r="ET39" s="797"/>
      <c r="EU39" s="797"/>
      <c r="EV39" s="788">
        <f>+EV37-EV38</f>
        <v>59770</v>
      </c>
      <c r="EW39" s="797"/>
      <c r="EX39" s="788">
        <f>+EX37-EX38</f>
        <v>64350</v>
      </c>
      <c r="EY39" s="788"/>
      <c r="EZ39" s="788"/>
      <c r="FA39" s="788"/>
      <c r="FB39" s="797"/>
    </row>
    <row r="40" spans="1:158" s="14" customFormat="1" ht="18.75" customHeight="1" x14ac:dyDescent="0.25">
      <c r="A40" s="170" t="s">
        <v>449</v>
      </c>
      <c r="B40" s="262" t="s">
        <v>964</v>
      </c>
      <c r="C40" s="797"/>
      <c r="D40" s="797"/>
      <c r="E40" s="797"/>
      <c r="F40" s="797"/>
      <c r="G40" s="797"/>
      <c r="H40" s="797">
        <f>SUM(IF(T40&lt;0,0,T40),IF(AF40&lt;0,0,AF40),IF(AR40&lt;0,0,AR40),IF(BD40&lt;0,0,BD40),IF(BP40&lt;0,0,BP40),IF(CB40&lt;0,0,CB40),IF(CN40&lt;0,0,CN40),IF(CZ40&lt;0,0,CZ40),IF(DL40&lt;0,0,DL40),IF(DX40&lt;0,0,DX40),IF(EJ40&lt;0,0,EJ40),IF(EV40&lt;0,0,EV40),)</f>
        <v>184116</v>
      </c>
      <c r="I40" s="797"/>
      <c r="J40" s="797"/>
      <c r="K40" s="797"/>
      <c r="L40" s="797"/>
      <c r="M40" s="797"/>
      <c r="N40" s="797"/>
      <c r="O40" s="797"/>
      <c r="P40" s="797"/>
      <c r="Q40" s="797"/>
      <c r="R40" s="797"/>
      <c r="S40" s="797"/>
      <c r="T40" s="797">
        <f>T39-P39</f>
        <v>6606</v>
      </c>
      <c r="U40" s="797"/>
      <c r="V40" s="797"/>
      <c r="W40" s="797"/>
      <c r="X40" s="797"/>
      <c r="Y40" s="797"/>
      <c r="Z40" s="797"/>
      <c r="AA40" s="797"/>
      <c r="AB40" s="797"/>
      <c r="AC40" s="797"/>
      <c r="AD40" s="797"/>
      <c r="AE40" s="797"/>
      <c r="AF40" s="797">
        <f>AF39-AB39</f>
        <v>25400</v>
      </c>
      <c r="AG40" s="797"/>
      <c r="AH40" s="797"/>
      <c r="AI40" s="797"/>
      <c r="AJ40" s="797"/>
      <c r="AK40" s="797"/>
      <c r="AL40" s="797"/>
      <c r="AM40" s="797"/>
      <c r="AN40" s="797"/>
      <c r="AO40" s="797"/>
      <c r="AP40" s="797"/>
      <c r="AQ40" s="797"/>
      <c r="AR40" s="797">
        <f>AR39-AN39</f>
        <v>2395</v>
      </c>
      <c r="AS40" s="797"/>
      <c r="AT40" s="797"/>
      <c r="AU40" s="797"/>
      <c r="AV40" s="797"/>
      <c r="AW40" s="797"/>
      <c r="AX40" s="797"/>
      <c r="AY40" s="797"/>
      <c r="AZ40" s="797"/>
      <c r="BA40" s="797"/>
      <c r="BB40" s="797"/>
      <c r="BC40" s="797"/>
      <c r="BD40" s="797">
        <f>BD39-AZ39</f>
        <v>600</v>
      </c>
      <c r="BE40" s="797"/>
      <c r="BF40" s="797"/>
      <c r="BG40" s="797"/>
      <c r="BH40" s="797"/>
      <c r="BI40" s="797"/>
      <c r="BJ40" s="797"/>
      <c r="BK40" s="797"/>
      <c r="BL40" s="797"/>
      <c r="BM40" s="797"/>
      <c r="BN40" s="797"/>
      <c r="BO40" s="797"/>
      <c r="BP40" s="797">
        <f>BP39-BL39</f>
        <v>13472</v>
      </c>
      <c r="BQ40" s="797"/>
      <c r="BR40" s="797"/>
      <c r="BS40" s="797"/>
      <c r="BT40" s="797"/>
      <c r="BU40" s="797"/>
      <c r="BV40" s="797"/>
      <c r="BW40" s="797"/>
      <c r="BX40" s="797"/>
      <c r="BY40" s="797"/>
      <c r="BZ40" s="797"/>
      <c r="CA40" s="797"/>
      <c r="CB40" s="797">
        <f>CB39-BX39</f>
        <v>43090</v>
      </c>
      <c r="CC40" s="797"/>
      <c r="CD40" s="797"/>
      <c r="CE40" s="797"/>
      <c r="CF40" s="797"/>
      <c r="CG40" s="797"/>
      <c r="CH40" s="797"/>
      <c r="CI40" s="797"/>
      <c r="CJ40" s="797"/>
      <c r="CK40" s="797"/>
      <c r="CL40" s="797"/>
      <c r="CM40" s="797"/>
      <c r="CN40" s="797">
        <f>CN39-CJ39</f>
        <v>12890</v>
      </c>
      <c r="CO40" s="797"/>
      <c r="CP40" s="797"/>
      <c r="CQ40" s="797"/>
      <c r="CR40" s="797"/>
      <c r="CS40" s="797"/>
      <c r="CT40" s="797"/>
      <c r="CU40" s="797"/>
      <c r="CV40" s="797"/>
      <c r="CW40" s="797"/>
      <c r="CX40" s="797"/>
      <c r="CY40" s="797"/>
      <c r="CZ40" s="797">
        <f>CZ39-CV39</f>
        <v>4610</v>
      </c>
      <c r="DA40" s="797"/>
      <c r="DB40" s="797"/>
      <c r="DC40" s="797"/>
      <c r="DD40" s="797"/>
      <c r="DE40" s="797"/>
      <c r="DF40" s="797"/>
      <c r="DG40" s="797"/>
      <c r="DH40" s="797"/>
      <c r="DI40" s="797"/>
      <c r="DJ40" s="797"/>
      <c r="DK40" s="797"/>
      <c r="DL40" s="797">
        <f>DL39-DH39</f>
        <v>26683</v>
      </c>
      <c r="DM40" s="797"/>
      <c r="DN40" s="797"/>
      <c r="DO40" s="797"/>
      <c r="DP40" s="797"/>
      <c r="DQ40" s="797"/>
      <c r="DR40" s="797"/>
      <c r="DS40" s="797"/>
      <c r="DT40" s="797"/>
      <c r="DU40" s="797"/>
      <c r="DV40" s="797"/>
      <c r="DW40" s="797"/>
      <c r="DX40" s="797">
        <f>DX39-DT39</f>
        <v>670</v>
      </c>
      <c r="DY40" s="797"/>
      <c r="DZ40" s="797"/>
      <c r="EA40" s="797"/>
      <c r="EB40" s="797"/>
      <c r="EC40" s="797"/>
      <c r="ED40" s="797"/>
      <c r="EE40" s="797"/>
      <c r="EF40" s="797"/>
      <c r="EG40" s="797"/>
      <c r="EH40" s="797"/>
      <c r="EI40" s="797"/>
      <c r="EJ40" s="797">
        <f>EJ39-EF39</f>
        <v>46940</v>
      </c>
      <c r="EK40" s="797"/>
      <c r="EL40" s="797"/>
      <c r="EM40" s="797"/>
      <c r="EN40" s="797"/>
      <c r="EO40" s="797"/>
      <c r="EP40" s="797"/>
      <c r="EQ40" s="797"/>
      <c r="ER40" s="797"/>
      <c r="ES40" s="797"/>
      <c r="ET40" s="797"/>
      <c r="EU40" s="797"/>
      <c r="EV40" s="797">
        <f>EV39-ER39</f>
        <v>760</v>
      </c>
      <c r="EW40" s="797"/>
      <c r="EX40" s="797"/>
      <c r="EY40" s="797"/>
      <c r="EZ40" s="797"/>
      <c r="FA40" s="797"/>
      <c r="FB40" s="797"/>
    </row>
    <row r="41" spans="1:158" s="98" customFormat="1" ht="18.75" customHeight="1" x14ac:dyDescent="0.25">
      <c r="A41" s="171"/>
      <c r="B41" s="263" t="s">
        <v>965</v>
      </c>
      <c r="C41" s="798"/>
      <c r="D41" s="798"/>
      <c r="E41" s="798"/>
      <c r="F41" s="798"/>
      <c r="G41" s="798"/>
      <c r="H41" s="798">
        <f>SUM(AF41,AR41,BD41,BP41,CB41,CN41,CZ41,DL41,DX41,EJ41,EV41,T41)</f>
        <v>92058</v>
      </c>
      <c r="I41" s="798"/>
      <c r="J41" s="798"/>
      <c r="K41" s="787"/>
      <c r="L41" s="798"/>
      <c r="M41" s="798"/>
      <c r="N41" s="798"/>
      <c r="O41" s="798"/>
      <c r="P41" s="798"/>
      <c r="Q41" s="798"/>
      <c r="R41" s="798"/>
      <c r="S41" s="798"/>
      <c r="T41" s="798">
        <f>IF(T40&lt;0,0,T40)/2</f>
        <v>3303</v>
      </c>
      <c r="U41" s="798"/>
      <c r="V41" s="798"/>
      <c r="W41" s="798"/>
      <c r="X41" s="798"/>
      <c r="Y41" s="798"/>
      <c r="Z41" s="798"/>
      <c r="AA41" s="798"/>
      <c r="AB41" s="798"/>
      <c r="AC41" s="798"/>
      <c r="AD41" s="798"/>
      <c r="AE41" s="798"/>
      <c r="AF41" s="798">
        <f>IF(AF40&lt;0,0,AF40)/2</f>
        <v>12700</v>
      </c>
      <c r="AG41" s="798"/>
      <c r="AH41" s="798"/>
      <c r="AI41" s="798"/>
      <c r="AJ41" s="798"/>
      <c r="AK41" s="798"/>
      <c r="AL41" s="798"/>
      <c r="AM41" s="798"/>
      <c r="AN41" s="798"/>
      <c r="AO41" s="798"/>
      <c r="AP41" s="798"/>
      <c r="AQ41" s="798"/>
      <c r="AR41" s="798">
        <f>IF(AR40&lt;0,0,AR40)/2</f>
        <v>1197.5</v>
      </c>
      <c r="AS41" s="798"/>
      <c r="AT41" s="798"/>
      <c r="AU41" s="798"/>
      <c r="AV41" s="798"/>
      <c r="AW41" s="798"/>
      <c r="AX41" s="798"/>
      <c r="AY41" s="798"/>
      <c r="AZ41" s="798"/>
      <c r="BA41" s="798"/>
      <c r="BB41" s="798"/>
      <c r="BC41" s="798"/>
      <c r="BD41" s="798">
        <f>IF(BD40&lt;0,0,BD40)/2</f>
        <v>300</v>
      </c>
      <c r="BE41" s="798"/>
      <c r="BF41" s="798"/>
      <c r="BG41" s="798"/>
      <c r="BH41" s="798"/>
      <c r="BI41" s="798"/>
      <c r="BJ41" s="798"/>
      <c r="BK41" s="798"/>
      <c r="BL41" s="798"/>
      <c r="BM41" s="798"/>
      <c r="BN41" s="798"/>
      <c r="BO41" s="798"/>
      <c r="BP41" s="798">
        <f>IF(BP40&lt;0,0,BP40)/2</f>
        <v>6736</v>
      </c>
      <c r="BQ41" s="798"/>
      <c r="BR41" s="798"/>
      <c r="BS41" s="798"/>
      <c r="BT41" s="798"/>
      <c r="BU41" s="798"/>
      <c r="BV41" s="798"/>
      <c r="BW41" s="798"/>
      <c r="BX41" s="798"/>
      <c r="BY41" s="798"/>
      <c r="BZ41" s="798"/>
      <c r="CA41" s="798"/>
      <c r="CB41" s="798">
        <f>IF(CB40&lt;0,0,CB40)/2</f>
        <v>21545</v>
      </c>
      <c r="CC41" s="798"/>
      <c r="CD41" s="798"/>
      <c r="CE41" s="798"/>
      <c r="CF41" s="798"/>
      <c r="CG41" s="798"/>
      <c r="CH41" s="798"/>
      <c r="CI41" s="798"/>
      <c r="CJ41" s="798"/>
      <c r="CK41" s="798"/>
      <c r="CL41" s="798"/>
      <c r="CM41" s="798"/>
      <c r="CN41" s="798">
        <f>IF(CN40&lt;0,0,CN40)/2</f>
        <v>6445</v>
      </c>
      <c r="CO41" s="798"/>
      <c r="CP41" s="798"/>
      <c r="CQ41" s="798"/>
      <c r="CR41" s="798"/>
      <c r="CS41" s="798"/>
      <c r="CT41" s="798"/>
      <c r="CU41" s="798"/>
      <c r="CV41" s="798"/>
      <c r="CW41" s="798"/>
      <c r="CX41" s="798"/>
      <c r="CY41" s="798"/>
      <c r="CZ41" s="798">
        <f>IF(CZ40&lt;0,0,CZ40)/2</f>
        <v>2305</v>
      </c>
      <c r="DA41" s="798"/>
      <c r="DB41" s="798"/>
      <c r="DC41" s="798"/>
      <c r="DD41" s="798"/>
      <c r="DE41" s="798"/>
      <c r="DF41" s="798"/>
      <c r="DG41" s="798"/>
      <c r="DH41" s="798"/>
      <c r="DI41" s="798"/>
      <c r="DJ41" s="798"/>
      <c r="DK41" s="798"/>
      <c r="DL41" s="798">
        <f>IF(DL40&lt;0,0,DL40)/2</f>
        <v>13341.5</v>
      </c>
      <c r="DM41" s="798"/>
      <c r="DN41" s="798"/>
      <c r="DO41" s="798"/>
      <c r="DP41" s="798"/>
      <c r="DQ41" s="798"/>
      <c r="DR41" s="798"/>
      <c r="DS41" s="798"/>
      <c r="DT41" s="798"/>
      <c r="DU41" s="798"/>
      <c r="DV41" s="798"/>
      <c r="DW41" s="798"/>
      <c r="DX41" s="798">
        <f>IF(DX40&lt;0,0,DX40)/2</f>
        <v>335</v>
      </c>
      <c r="DY41" s="798"/>
      <c r="DZ41" s="798"/>
      <c r="EA41" s="798"/>
      <c r="EB41" s="798"/>
      <c r="EC41" s="798"/>
      <c r="ED41" s="798"/>
      <c r="EE41" s="798"/>
      <c r="EF41" s="798"/>
      <c r="EG41" s="798"/>
      <c r="EH41" s="798"/>
      <c r="EI41" s="798"/>
      <c r="EJ41" s="798">
        <f>IF(EJ40&lt;0,0,EJ40)/2</f>
        <v>23470</v>
      </c>
      <c r="EK41" s="798"/>
      <c r="EL41" s="798"/>
      <c r="EM41" s="798"/>
      <c r="EN41" s="798"/>
      <c r="EO41" s="798"/>
      <c r="EP41" s="798"/>
      <c r="EQ41" s="798"/>
      <c r="ER41" s="798"/>
      <c r="ES41" s="798"/>
      <c r="ET41" s="798"/>
      <c r="EU41" s="798"/>
      <c r="EV41" s="798">
        <f>IF(EV40&lt;0,0,EV40)/2</f>
        <v>380</v>
      </c>
      <c r="EW41" s="798"/>
      <c r="EX41" s="798"/>
      <c r="EY41" s="798"/>
      <c r="EZ41" s="798"/>
      <c r="FA41" s="798"/>
      <c r="FB41" s="798"/>
    </row>
    <row r="42" spans="1:158" s="14" customFormat="1" ht="18.75" customHeight="1" x14ac:dyDescent="0.25">
      <c r="A42" s="170" t="s">
        <v>449</v>
      </c>
      <c r="B42" s="262" t="s">
        <v>966</v>
      </c>
      <c r="C42" s="797"/>
      <c r="D42" s="797"/>
      <c r="E42" s="797"/>
      <c r="F42" s="797"/>
      <c r="G42" s="797"/>
      <c r="H42" s="797"/>
      <c r="I42" s="797"/>
      <c r="J42" s="797">
        <f>SUM(IF(V42&lt;0,0,V42),IF(AH42&lt;0,0,AH42),IF(AT42&lt;0,0,AT42),IF(BF42&lt;0,0,BF42),IF(BR42&lt;0,0,BR42),IF(CD42&lt;0,0,CD42),IF(CP42&lt;0,0,CP42),IF(DB42&lt;0,0,DB42),IF(DN42&lt;0,0,DN42),IF(DZ42&lt;0,0,DZ42),IF(EL42&lt;0,0,EL42),IF(EX42&lt;0,0,EX42),)</f>
        <v>144910</v>
      </c>
      <c r="K42" s="788"/>
      <c r="L42" s="797"/>
      <c r="M42" s="797"/>
      <c r="N42" s="797"/>
      <c r="O42" s="797"/>
      <c r="P42" s="797"/>
      <c r="Q42" s="797"/>
      <c r="R42" s="797"/>
      <c r="S42" s="797"/>
      <c r="T42" s="797"/>
      <c r="U42" s="797"/>
      <c r="V42" s="797">
        <f>V39-P39</f>
        <v>11400</v>
      </c>
      <c r="W42" s="797"/>
      <c r="X42" s="797"/>
      <c r="Y42" s="797"/>
      <c r="Z42" s="797"/>
      <c r="AA42" s="797"/>
      <c r="AB42" s="797"/>
      <c r="AC42" s="797"/>
      <c r="AD42" s="797"/>
      <c r="AE42" s="797"/>
      <c r="AF42" s="797"/>
      <c r="AG42" s="797"/>
      <c r="AH42" s="797">
        <f>AH39-AB39</f>
        <v>6930</v>
      </c>
      <c r="AI42" s="797"/>
      <c r="AJ42" s="797"/>
      <c r="AK42" s="797"/>
      <c r="AL42" s="797"/>
      <c r="AM42" s="797"/>
      <c r="AN42" s="797"/>
      <c r="AO42" s="797"/>
      <c r="AP42" s="797"/>
      <c r="AQ42" s="797"/>
      <c r="AR42" s="797"/>
      <c r="AS42" s="797"/>
      <c r="AT42" s="797">
        <f>AT39-AN39</f>
        <v>4740</v>
      </c>
      <c r="AU42" s="797"/>
      <c r="AV42" s="797"/>
      <c r="AW42" s="797"/>
      <c r="AX42" s="797"/>
      <c r="AY42" s="797"/>
      <c r="AZ42" s="797"/>
      <c r="BA42" s="797"/>
      <c r="BB42" s="797"/>
      <c r="BC42" s="797"/>
      <c r="BD42" s="797"/>
      <c r="BE42" s="797"/>
      <c r="BF42" s="797">
        <f>BF39-AZ39</f>
        <v>-1370</v>
      </c>
      <c r="BG42" s="797"/>
      <c r="BH42" s="797"/>
      <c r="BI42" s="797"/>
      <c r="BJ42" s="797"/>
      <c r="BK42" s="797"/>
      <c r="BL42" s="797"/>
      <c r="BM42" s="797"/>
      <c r="BN42" s="797"/>
      <c r="BO42" s="797"/>
      <c r="BP42" s="797"/>
      <c r="BQ42" s="797"/>
      <c r="BR42" s="797">
        <f>BR39-BL39</f>
        <v>9150</v>
      </c>
      <c r="BS42" s="797"/>
      <c r="BT42" s="797"/>
      <c r="BU42" s="797"/>
      <c r="BV42" s="797"/>
      <c r="BW42" s="797"/>
      <c r="BX42" s="797"/>
      <c r="BY42" s="797"/>
      <c r="BZ42" s="797"/>
      <c r="CA42" s="797"/>
      <c r="CB42" s="797"/>
      <c r="CC42" s="797"/>
      <c r="CD42" s="797">
        <f>CD39-BX39</f>
        <v>54350</v>
      </c>
      <c r="CE42" s="797"/>
      <c r="CF42" s="797"/>
      <c r="CG42" s="797"/>
      <c r="CH42" s="797"/>
      <c r="CI42" s="797"/>
      <c r="CJ42" s="797"/>
      <c r="CK42" s="797"/>
      <c r="CL42" s="797"/>
      <c r="CM42" s="797"/>
      <c r="CN42" s="797"/>
      <c r="CO42" s="797"/>
      <c r="CP42" s="797">
        <f>CP39-CJ39</f>
        <v>8250</v>
      </c>
      <c r="CQ42" s="797"/>
      <c r="CR42" s="797"/>
      <c r="CS42" s="797"/>
      <c r="CT42" s="797"/>
      <c r="CU42" s="797"/>
      <c r="CV42" s="797"/>
      <c r="CW42" s="797"/>
      <c r="CX42" s="797"/>
      <c r="CY42" s="797"/>
      <c r="CZ42" s="797"/>
      <c r="DA42" s="797"/>
      <c r="DB42" s="797">
        <f>DB39-CV39</f>
        <v>23030</v>
      </c>
      <c r="DC42" s="797"/>
      <c r="DD42" s="797"/>
      <c r="DE42" s="797"/>
      <c r="DF42" s="797"/>
      <c r="DG42" s="797"/>
      <c r="DH42" s="797"/>
      <c r="DI42" s="797"/>
      <c r="DJ42" s="797"/>
      <c r="DK42" s="797"/>
      <c r="DL42" s="797"/>
      <c r="DM42" s="797"/>
      <c r="DN42" s="797">
        <f>DN39-DH39</f>
        <v>20350</v>
      </c>
      <c r="DO42" s="797"/>
      <c r="DP42" s="797"/>
      <c r="DQ42" s="797"/>
      <c r="DR42" s="797"/>
      <c r="DS42" s="797"/>
      <c r="DT42" s="797"/>
      <c r="DU42" s="797"/>
      <c r="DV42" s="797"/>
      <c r="DW42" s="797"/>
      <c r="DX42" s="797"/>
      <c r="DY42" s="797"/>
      <c r="DZ42" s="797">
        <f>DZ39-DT39</f>
        <v>1370</v>
      </c>
      <c r="EA42" s="797"/>
      <c r="EB42" s="797"/>
      <c r="EC42" s="797"/>
      <c r="ED42" s="797"/>
      <c r="EE42" s="797"/>
      <c r="EF42" s="797"/>
      <c r="EG42" s="797"/>
      <c r="EH42" s="797"/>
      <c r="EI42" s="797"/>
      <c r="EJ42" s="797"/>
      <c r="EK42" s="797"/>
      <c r="EL42" s="797">
        <f>EL39-EF39</f>
        <v>-10310</v>
      </c>
      <c r="EM42" s="797"/>
      <c r="EN42" s="797"/>
      <c r="EO42" s="797"/>
      <c r="EP42" s="797"/>
      <c r="EQ42" s="797"/>
      <c r="ER42" s="797"/>
      <c r="ES42" s="797"/>
      <c r="ET42" s="797"/>
      <c r="EU42" s="797"/>
      <c r="EV42" s="797"/>
      <c r="EW42" s="797"/>
      <c r="EX42" s="797">
        <f>EX39-ER39</f>
        <v>5340</v>
      </c>
      <c r="EY42" s="797"/>
      <c r="EZ42" s="797"/>
      <c r="FA42" s="797"/>
      <c r="FB42" s="797"/>
    </row>
    <row r="43" spans="1:158" s="98" customFormat="1" ht="18.75" customHeight="1" x14ac:dyDescent="0.25">
      <c r="A43" s="172"/>
      <c r="B43" s="265" t="s">
        <v>967</v>
      </c>
      <c r="C43" s="799"/>
      <c r="D43" s="799"/>
      <c r="E43" s="799"/>
      <c r="F43" s="799"/>
      <c r="G43" s="799"/>
      <c r="H43" s="799"/>
      <c r="I43" s="799"/>
      <c r="J43" s="799">
        <f>SUM(AH43,AT43,BF43,BR43,CD43,CP43,DB43,DN43,DZ43,EL43,EX43,V43)</f>
        <v>66615</v>
      </c>
      <c r="K43" s="792"/>
      <c r="L43" s="799"/>
      <c r="M43" s="799"/>
      <c r="N43" s="799"/>
      <c r="O43" s="799"/>
      <c r="P43" s="799"/>
      <c r="Q43" s="799"/>
      <c r="R43" s="799"/>
      <c r="S43" s="799"/>
      <c r="T43" s="799"/>
      <c r="U43" s="799"/>
      <c r="V43" s="799">
        <f>V42/2</f>
        <v>5700</v>
      </c>
      <c r="W43" s="799"/>
      <c r="X43" s="799"/>
      <c r="Y43" s="799"/>
      <c r="Z43" s="799"/>
      <c r="AA43" s="799"/>
      <c r="AB43" s="799"/>
      <c r="AC43" s="799"/>
      <c r="AD43" s="799"/>
      <c r="AE43" s="799"/>
      <c r="AF43" s="799"/>
      <c r="AG43" s="799"/>
      <c r="AH43" s="799">
        <f>AH42/2</f>
        <v>3465</v>
      </c>
      <c r="AI43" s="799"/>
      <c r="AJ43" s="799"/>
      <c r="AK43" s="799"/>
      <c r="AL43" s="799"/>
      <c r="AM43" s="799"/>
      <c r="AN43" s="799"/>
      <c r="AO43" s="799"/>
      <c r="AP43" s="799"/>
      <c r="AQ43" s="799"/>
      <c r="AR43" s="799"/>
      <c r="AS43" s="799"/>
      <c r="AT43" s="799">
        <f>AT42/2</f>
        <v>2370</v>
      </c>
      <c r="AU43" s="799"/>
      <c r="AV43" s="799"/>
      <c r="AW43" s="799"/>
      <c r="AX43" s="799"/>
      <c r="AY43" s="799"/>
      <c r="AZ43" s="799"/>
      <c r="BA43" s="799"/>
      <c r="BB43" s="799"/>
      <c r="BC43" s="799"/>
      <c r="BD43" s="799"/>
      <c r="BE43" s="799"/>
      <c r="BF43" s="799">
        <f>BF42/2</f>
        <v>-685</v>
      </c>
      <c r="BG43" s="799"/>
      <c r="BH43" s="799"/>
      <c r="BI43" s="799"/>
      <c r="BJ43" s="799"/>
      <c r="BK43" s="799"/>
      <c r="BL43" s="799"/>
      <c r="BM43" s="799"/>
      <c r="BN43" s="799"/>
      <c r="BO43" s="799"/>
      <c r="BP43" s="799"/>
      <c r="BQ43" s="799"/>
      <c r="BR43" s="799">
        <f>BR42/2</f>
        <v>4575</v>
      </c>
      <c r="BS43" s="799"/>
      <c r="BT43" s="799"/>
      <c r="BU43" s="799"/>
      <c r="BV43" s="799"/>
      <c r="BW43" s="799"/>
      <c r="BX43" s="799"/>
      <c r="BY43" s="799"/>
      <c r="BZ43" s="799"/>
      <c r="CA43" s="799"/>
      <c r="CB43" s="799"/>
      <c r="CC43" s="799"/>
      <c r="CD43" s="799">
        <f>CD42/2</f>
        <v>27175</v>
      </c>
      <c r="CE43" s="799"/>
      <c r="CF43" s="799"/>
      <c r="CG43" s="799"/>
      <c r="CH43" s="799"/>
      <c r="CI43" s="799"/>
      <c r="CJ43" s="799"/>
      <c r="CK43" s="799"/>
      <c r="CL43" s="799"/>
      <c r="CM43" s="799"/>
      <c r="CN43" s="799"/>
      <c r="CO43" s="799"/>
      <c r="CP43" s="799">
        <f>CP42/2</f>
        <v>4125</v>
      </c>
      <c r="CQ43" s="799"/>
      <c r="CR43" s="799"/>
      <c r="CS43" s="799"/>
      <c r="CT43" s="799"/>
      <c r="CU43" s="799"/>
      <c r="CV43" s="799"/>
      <c r="CW43" s="799"/>
      <c r="CX43" s="799"/>
      <c r="CY43" s="799"/>
      <c r="CZ43" s="799"/>
      <c r="DA43" s="799"/>
      <c r="DB43" s="799">
        <f>DB42/2</f>
        <v>11515</v>
      </c>
      <c r="DC43" s="799"/>
      <c r="DD43" s="799"/>
      <c r="DE43" s="799"/>
      <c r="DF43" s="799"/>
      <c r="DG43" s="799"/>
      <c r="DH43" s="799"/>
      <c r="DI43" s="799"/>
      <c r="DJ43" s="799"/>
      <c r="DK43" s="799"/>
      <c r="DL43" s="799"/>
      <c r="DM43" s="799"/>
      <c r="DN43" s="799">
        <f>DN42/2</f>
        <v>10175</v>
      </c>
      <c r="DO43" s="799"/>
      <c r="DP43" s="799"/>
      <c r="DQ43" s="799"/>
      <c r="DR43" s="799"/>
      <c r="DS43" s="799"/>
      <c r="DT43" s="799"/>
      <c r="DU43" s="799"/>
      <c r="DV43" s="799"/>
      <c r="DW43" s="799"/>
      <c r="DX43" s="799"/>
      <c r="DY43" s="799"/>
      <c r="DZ43" s="799">
        <f>DZ42/2</f>
        <v>685</v>
      </c>
      <c r="EA43" s="799"/>
      <c r="EB43" s="799"/>
      <c r="EC43" s="799"/>
      <c r="ED43" s="799"/>
      <c r="EE43" s="799"/>
      <c r="EF43" s="799"/>
      <c r="EG43" s="799"/>
      <c r="EH43" s="799"/>
      <c r="EI43" s="799"/>
      <c r="EJ43" s="799"/>
      <c r="EK43" s="799"/>
      <c r="EL43" s="799">
        <f>EL42/2</f>
        <v>-5155</v>
      </c>
      <c r="EM43" s="799"/>
      <c r="EN43" s="799"/>
      <c r="EO43" s="799"/>
      <c r="EP43" s="799"/>
      <c r="EQ43" s="799"/>
      <c r="ER43" s="799"/>
      <c r="ES43" s="799"/>
      <c r="ET43" s="799"/>
      <c r="EU43" s="799"/>
      <c r="EV43" s="799"/>
      <c r="EW43" s="799"/>
      <c r="EX43" s="799">
        <f>EX42/2</f>
        <v>2670</v>
      </c>
      <c r="EY43" s="799"/>
      <c r="EZ43" s="799"/>
      <c r="FA43" s="799"/>
      <c r="FB43" s="799"/>
    </row>
    <row r="45" spans="1:158" x14ac:dyDescent="0.25">
      <c r="E45" s="512">
        <f>E10/C10%</f>
        <v>81.802441860465123</v>
      </c>
      <c r="Q45" s="512">
        <f>Q10/O10%</f>
        <v>85.63636363636364</v>
      </c>
      <c r="V45" s="267">
        <v>1600</v>
      </c>
      <c r="AC45" s="512">
        <f>AC10/AA10%</f>
        <v>69.975265017667851</v>
      </c>
      <c r="AO45" s="512">
        <f>AO10/AM10%</f>
        <v>105.19</v>
      </c>
      <c r="BA45" s="512">
        <f>BA10/AY10%</f>
        <v>57.585185185185182</v>
      </c>
      <c r="BM45" s="512">
        <f>BM10/BK10%</f>
        <v>85.709333333333333</v>
      </c>
      <c r="BY45" s="512">
        <f>BY10/BW10%</f>
        <v>87.10790431617265</v>
      </c>
      <c r="CK45" s="512">
        <f>CK10/CI10%</f>
        <v>71.707838479809979</v>
      </c>
      <c r="CW45" s="512">
        <f>CW10/CU10%</f>
        <v>131.83214285714286</v>
      </c>
      <c r="DI45" s="512">
        <f>DI10/DG10%</f>
        <v>113.96393442622951</v>
      </c>
      <c r="DU45" s="512">
        <f>DU10/DS10%</f>
        <v>51.060869565217388</v>
      </c>
      <c r="EG45" s="512">
        <f>EG10/EE10%</f>
        <v>61.194155844155844</v>
      </c>
      <c r="ES45" s="512">
        <f>ES10/EQ10%</f>
        <v>87.56065573770492</v>
      </c>
    </row>
    <row r="46" spans="1:158" x14ac:dyDescent="0.25">
      <c r="J46" s="248">
        <f>J8/D8%</f>
        <v>106.64432917096987</v>
      </c>
      <c r="Q46" s="267">
        <v>52804</v>
      </c>
      <c r="V46" s="868">
        <f>+V43-V45</f>
        <v>4100</v>
      </c>
    </row>
    <row r="47" spans="1:158" x14ac:dyDescent="0.25">
      <c r="E47" s="248">
        <f>E10/8</f>
        <v>87937.625</v>
      </c>
      <c r="Q47" s="868">
        <f>+Q8-Q46</f>
        <v>0</v>
      </c>
    </row>
    <row r="48" spans="1:158" x14ac:dyDescent="0.25">
      <c r="E48" s="248">
        <f>+E47*12</f>
        <v>1055251.5</v>
      </c>
    </row>
    <row r="49" spans="5:5" x14ac:dyDescent="0.25">
      <c r="E49" s="513">
        <f>E10-80000</f>
        <v>623501</v>
      </c>
    </row>
    <row r="50" spans="5:5" x14ac:dyDescent="0.25">
      <c r="E50" s="248">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21" bestFit="1" customWidth="1"/>
    <col min="2" max="2" width="90.75" style="621" customWidth="1"/>
    <col min="3" max="3" width="19.5" style="669" customWidth="1"/>
    <col min="4" max="16384" width="8.75" style="621"/>
  </cols>
  <sheetData>
    <row r="1" spans="1:3" ht="63" customHeight="1" x14ac:dyDescent="0.3">
      <c r="A1" s="1044" t="s">
        <v>1071</v>
      </c>
      <c r="B1" s="1044"/>
      <c r="C1" s="1044"/>
    </row>
    <row r="2" spans="1:3" ht="21" hidden="1" customHeight="1" x14ac:dyDescent="0.3">
      <c r="A2" s="622"/>
      <c r="B2" s="622"/>
      <c r="C2" s="623"/>
    </row>
    <row r="3" spans="1:3" ht="17.25" hidden="1" customHeight="1" x14ac:dyDescent="0.3">
      <c r="A3" s="624"/>
      <c r="B3" s="624"/>
      <c r="C3" s="623"/>
    </row>
    <row r="4" spans="1:3" ht="17.25" customHeight="1" x14ac:dyDescent="0.35">
      <c r="B4" s="625"/>
      <c r="C4" s="625" t="s">
        <v>835</v>
      </c>
    </row>
    <row r="5" spans="1:3" s="627" customFormat="1" ht="34.5" customHeight="1" x14ac:dyDescent="0.25">
      <c r="A5" s="628" t="s">
        <v>396</v>
      </c>
      <c r="B5" s="628" t="s">
        <v>84</v>
      </c>
      <c r="C5" s="628" t="s">
        <v>276</v>
      </c>
    </row>
    <row r="6" spans="1:3" s="651" customFormat="1" ht="18" customHeight="1" x14ac:dyDescent="0.3">
      <c r="A6" s="664" t="s">
        <v>281</v>
      </c>
      <c r="B6" s="655" t="s">
        <v>1070</v>
      </c>
      <c r="C6" s="689"/>
    </row>
    <row r="7" spans="1:3" ht="30" customHeight="1" x14ac:dyDescent="0.3">
      <c r="A7" s="663"/>
      <c r="B7" s="690" t="s">
        <v>882</v>
      </c>
      <c r="C7" s="691">
        <f>'Phụ lục số 2'!D34</f>
        <v>104575</v>
      </c>
    </row>
    <row r="8" spans="1:3" ht="30" customHeight="1" x14ac:dyDescent="0.3">
      <c r="A8" s="663"/>
      <c r="B8" s="690" t="s">
        <v>1069</v>
      </c>
      <c r="C8" s="691">
        <v>33003</v>
      </c>
    </row>
    <row r="9" spans="1:3" ht="30" customHeight="1" x14ac:dyDescent="0.3">
      <c r="A9" s="663"/>
      <c r="B9" s="692" t="s">
        <v>878</v>
      </c>
      <c r="C9" s="693"/>
    </row>
    <row r="10" spans="1:3" ht="30" customHeight="1" x14ac:dyDescent="0.3">
      <c r="A10" s="663"/>
      <c r="B10" s="1045" t="s">
        <v>1072</v>
      </c>
      <c r="C10" s="1045"/>
    </row>
    <row r="11" spans="1:3" ht="30" customHeight="1" x14ac:dyDescent="0.3">
      <c r="A11" s="663"/>
      <c r="B11" s="1045"/>
      <c r="C11" s="1045"/>
    </row>
    <row r="12" spans="1:3" ht="30" customHeight="1" x14ac:dyDescent="0.3">
      <c r="A12" s="663"/>
      <c r="B12" s="694" t="s">
        <v>1068</v>
      </c>
      <c r="C12" s="693">
        <f>C7-C8</f>
        <v>71572</v>
      </c>
    </row>
    <row r="13" spans="1:3" s="651" customFormat="1" ht="30" customHeight="1" x14ac:dyDescent="0.3">
      <c r="A13" s="664" t="s">
        <v>294</v>
      </c>
      <c r="B13" s="655" t="s">
        <v>879</v>
      </c>
      <c r="C13" s="693"/>
    </row>
    <row r="14" spans="1:3" ht="30" customHeight="1" x14ac:dyDescent="0.3">
      <c r="A14" s="663"/>
      <c r="B14" s="690" t="s">
        <v>883</v>
      </c>
      <c r="C14" s="693">
        <v>630415</v>
      </c>
    </row>
    <row r="15" spans="1:3" ht="30" customHeight="1" x14ac:dyDescent="0.3">
      <c r="A15" s="663"/>
      <c r="B15" s="690" t="s">
        <v>884</v>
      </c>
      <c r="C15" s="693">
        <f>SUM(C16:C19)</f>
        <v>33779</v>
      </c>
    </row>
    <row r="16" spans="1:3" ht="30" customHeight="1" x14ac:dyDescent="0.3">
      <c r="A16" s="663"/>
      <c r="B16" s="690" t="s">
        <v>885</v>
      </c>
      <c r="C16" s="693">
        <v>2000</v>
      </c>
    </row>
    <row r="17" spans="1:3" x14ac:dyDescent="0.3">
      <c r="A17" s="663"/>
      <c r="B17" s="690" t="s">
        <v>886</v>
      </c>
      <c r="C17" s="693">
        <v>0</v>
      </c>
    </row>
    <row r="18" spans="1:3" x14ac:dyDescent="0.3">
      <c r="A18" s="663"/>
      <c r="B18" s="662" t="s">
        <v>880</v>
      </c>
      <c r="C18" s="693">
        <v>26136</v>
      </c>
    </row>
    <row r="19" spans="1:3" x14ac:dyDescent="0.3">
      <c r="A19" s="663"/>
      <c r="B19" s="690" t="s">
        <v>881</v>
      </c>
      <c r="C19" s="693">
        <f>3848+1795</f>
        <v>5643</v>
      </c>
    </row>
    <row r="20" spans="1:3" x14ac:dyDescent="0.3">
      <c r="A20" s="663"/>
      <c r="B20" s="690" t="s">
        <v>1067</v>
      </c>
      <c r="C20" s="693">
        <v>0</v>
      </c>
    </row>
    <row r="21" spans="1:3" x14ac:dyDescent="0.3">
      <c r="A21" s="663"/>
      <c r="B21" s="692" t="s">
        <v>878</v>
      </c>
      <c r="C21" s="693"/>
    </row>
    <row r="22" spans="1:3" x14ac:dyDescent="0.3">
      <c r="A22" s="663"/>
      <c r="B22" s="1046"/>
      <c r="C22" s="1046"/>
    </row>
    <row r="23" spans="1:3" x14ac:dyDescent="0.3">
      <c r="A23" s="663"/>
      <c r="B23" s="1046"/>
      <c r="C23" s="1046"/>
    </row>
    <row r="24" spans="1:3" x14ac:dyDescent="0.3">
      <c r="A24" s="663"/>
      <c r="B24" s="1046"/>
      <c r="C24" s="1046"/>
    </row>
    <row r="25" spans="1:3" s="627" customFormat="1" x14ac:dyDescent="0.25">
      <c r="A25" s="695"/>
      <c r="B25" s="696" t="s">
        <v>1068</v>
      </c>
      <c r="C25" s="697">
        <f>C14+C15-C20</f>
        <v>664194</v>
      </c>
    </row>
    <row r="26" spans="1:3" s="627" customFormat="1" x14ac:dyDescent="0.25">
      <c r="C26" s="698"/>
    </row>
    <row r="27" spans="1:3" s="627" customFormat="1" x14ac:dyDescent="0.25">
      <c r="C27" s="935"/>
    </row>
    <row r="28" spans="1:3" s="627" customFormat="1" x14ac:dyDescent="0.25">
      <c r="C28" s="698"/>
    </row>
    <row r="29" spans="1:3" s="627" customFormat="1" x14ac:dyDescent="0.25">
      <c r="C29" s="698"/>
    </row>
    <row r="30" spans="1:3" s="627" customFormat="1" x14ac:dyDescent="0.25">
      <c r="C30" s="698"/>
    </row>
    <row r="31" spans="1:3" s="627" customFormat="1" x14ac:dyDescent="0.25">
      <c r="C31" s="698"/>
    </row>
    <row r="32" spans="1:3" s="627" customFormat="1" x14ac:dyDescent="0.25">
      <c r="C32" s="698"/>
    </row>
    <row r="33" spans="3:3" s="627" customFormat="1" x14ac:dyDescent="0.25">
      <c r="C33" s="698"/>
    </row>
    <row r="34" spans="3:3" s="627" customFormat="1" x14ac:dyDescent="0.25">
      <c r="C34" s="698"/>
    </row>
    <row r="35" spans="3:3" s="627" customFormat="1" x14ac:dyDescent="0.25">
      <c r="C35" s="698"/>
    </row>
    <row r="36" spans="3:3" s="627" customFormat="1" x14ac:dyDescent="0.25">
      <c r="C36" s="698"/>
    </row>
    <row r="37" spans="3:3" s="627" customFormat="1" x14ac:dyDescent="0.25">
      <c r="C37" s="698"/>
    </row>
    <row r="38" spans="3:3" s="627" customFormat="1" x14ac:dyDescent="0.25">
      <c r="C38" s="698"/>
    </row>
    <row r="39" spans="3:3" s="627" customFormat="1" x14ac:dyDescent="0.25">
      <c r="C39" s="698"/>
    </row>
    <row r="40" spans="3:3" s="627" customFormat="1" x14ac:dyDescent="0.25">
      <c r="C40" s="698"/>
    </row>
    <row r="41" spans="3:3" s="627" customFormat="1" x14ac:dyDescent="0.25">
      <c r="C41" s="698"/>
    </row>
    <row r="42" spans="3:3" s="627" customFormat="1" x14ac:dyDescent="0.25">
      <c r="C42" s="698"/>
    </row>
    <row r="43" spans="3:3" s="627" customFormat="1" x14ac:dyDescent="0.25">
      <c r="C43" s="698"/>
    </row>
    <row r="44" spans="3:3" s="627" customFormat="1" x14ac:dyDescent="0.25">
      <c r="C44" s="698"/>
    </row>
    <row r="45" spans="3:3" s="627" customFormat="1" x14ac:dyDescent="0.25">
      <c r="C45" s="698"/>
    </row>
    <row r="46" spans="3:3" s="627" customFormat="1" x14ac:dyDescent="0.25">
      <c r="C46" s="698"/>
    </row>
    <row r="47" spans="3:3" s="627" customFormat="1" x14ac:dyDescent="0.25">
      <c r="C47" s="698"/>
    </row>
    <row r="48" spans="3:3" s="627" customFormat="1" x14ac:dyDescent="0.25">
      <c r="C48" s="698"/>
    </row>
    <row r="49" spans="3:3" s="627" customFormat="1" x14ac:dyDescent="0.25">
      <c r="C49" s="698"/>
    </row>
    <row r="50" spans="3:3" s="627" customFormat="1" x14ac:dyDescent="0.25">
      <c r="C50" s="698"/>
    </row>
    <row r="51" spans="3:3" s="627" customFormat="1" x14ac:dyDescent="0.25">
      <c r="C51" s="698"/>
    </row>
    <row r="52" spans="3:3" s="627" customFormat="1" x14ac:dyDescent="0.25">
      <c r="C52" s="698"/>
    </row>
    <row r="53" spans="3:3" s="627" customFormat="1" x14ac:dyDescent="0.25">
      <c r="C53" s="698"/>
    </row>
    <row r="54" spans="3:3" s="627" customFormat="1" x14ac:dyDescent="0.25">
      <c r="C54" s="698"/>
    </row>
    <row r="55" spans="3:3" s="627" customFormat="1" x14ac:dyDescent="0.25">
      <c r="C55" s="698"/>
    </row>
    <row r="56" spans="3:3" s="627" customFormat="1" x14ac:dyDescent="0.25">
      <c r="C56" s="698"/>
    </row>
    <row r="57" spans="3:3" s="627" customFormat="1" x14ac:dyDescent="0.25">
      <c r="C57" s="698"/>
    </row>
    <row r="58" spans="3:3" s="627" customFormat="1" x14ac:dyDescent="0.25">
      <c r="C58" s="698"/>
    </row>
    <row r="59" spans="3:3" s="627" customFormat="1" x14ac:dyDescent="0.25">
      <c r="C59" s="698"/>
    </row>
    <row r="60" spans="3:3" s="627" customFormat="1" x14ac:dyDescent="0.25">
      <c r="C60" s="698"/>
    </row>
    <row r="61" spans="3:3" s="627" customFormat="1" x14ac:dyDescent="0.25">
      <c r="C61" s="698"/>
    </row>
    <row r="62" spans="3:3" s="627" customFormat="1" x14ac:dyDescent="0.25">
      <c r="C62" s="698"/>
    </row>
    <row r="63" spans="3:3" s="627" customFormat="1" x14ac:dyDescent="0.25">
      <c r="C63" s="698"/>
    </row>
    <row r="64" spans="3:3" s="651" customFormat="1" x14ac:dyDescent="0.3">
      <c r="C64" s="699"/>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48" customWidth="1"/>
    <col min="2" max="2" width="25" style="248" customWidth="1"/>
    <col min="3" max="3" width="11.5" style="248" customWidth="1"/>
    <col min="4" max="4" width="10.375" style="248" customWidth="1"/>
    <col min="5" max="5" width="10.25" style="248" customWidth="1"/>
    <col min="6" max="6" width="10.75" style="248" customWidth="1"/>
    <col min="7" max="7" width="8.625" style="248" customWidth="1"/>
    <col min="8" max="8" width="11.125" style="248" bestFit="1" customWidth="1"/>
    <col min="9" max="16384" width="9" style="248"/>
  </cols>
  <sheetData>
    <row r="1" spans="1:15" s="14" customFormat="1" hidden="1" x14ac:dyDescent="0.25">
      <c r="A1" s="977" t="s">
        <v>818</v>
      </c>
      <c r="B1" s="977"/>
      <c r="C1" s="566"/>
      <c r="D1" s="977" t="s">
        <v>349</v>
      </c>
      <c r="E1" s="977"/>
      <c r="F1" s="977"/>
      <c r="G1" s="12"/>
      <c r="H1" s="12"/>
      <c r="I1" s="12"/>
      <c r="J1" s="12"/>
      <c r="K1" s="12"/>
      <c r="L1" s="12"/>
      <c r="M1" s="12"/>
      <c r="N1" s="12"/>
      <c r="O1" s="12"/>
    </row>
    <row r="2" spans="1:15" s="14" customFormat="1" hidden="1" x14ac:dyDescent="0.25">
      <c r="A2" s="977" t="s">
        <v>887</v>
      </c>
      <c r="B2" s="977"/>
      <c r="C2" s="566"/>
      <c r="D2" s="977" t="s">
        <v>888</v>
      </c>
      <c r="E2" s="977"/>
      <c r="F2" s="977"/>
      <c r="G2" s="12"/>
      <c r="H2" s="12"/>
      <c r="I2" s="12"/>
      <c r="J2" s="12"/>
      <c r="K2" s="12"/>
      <c r="L2" s="12"/>
      <c r="M2" s="12"/>
      <c r="N2" s="12"/>
      <c r="O2" s="12"/>
    </row>
    <row r="3" spans="1:15" hidden="1" x14ac:dyDescent="0.25">
      <c r="A3" s="700"/>
      <c r="B3" s="700"/>
      <c r="C3" s="700"/>
      <c r="D3" s="12"/>
      <c r="E3" s="12"/>
      <c r="F3" s="12"/>
      <c r="G3" s="12"/>
      <c r="H3" s="12"/>
      <c r="I3" s="12"/>
      <c r="J3" s="12"/>
      <c r="K3" s="12"/>
      <c r="L3" s="12"/>
      <c r="M3" s="12"/>
    </row>
    <row r="5" spans="1:15" x14ac:dyDescent="0.25">
      <c r="A5" s="1017" t="s">
        <v>899</v>
      </c>
      <c r="B5" s="1017"/>
      <c r="C5" s="1017"/>
      <c r="D5" s="1017"/>
      <c r="E5" s="1017"/>
      <c r="F5" s="1017"/>
      <c r="G5" s="1017"/>
    </row>
    <row r="7" spans="1:15" x14ac:dyDescent="0.25">
      <c r="F7" s="14"/>
    </row>
    <row r="8" spans="1:15" s="568" customFormat="1" ht="63" x14ac:dyDescent="0.25">
      <c r="A8" s="567" t="s">
        <v>396</v>
      </c>
      <c r="B8" s="567" t="s">
        <v>36</v>
      </c>
      <c r="C8" s="567" t="s">
        <v>889</v>
      </c>
      <c r="D8" s="565" t="s">
        <v>890</v>
      </c>
      <c r="E8" s="565" t="s">
        <v>900</v>
      </c>
      <c r="F8" s="565" t="s">
        <v>748</v>
      </c>
      <c r="G8" s="701" t="s">
        <v>901</v>
      </c>
    </row>
    <row r="9" spans="1:15" s="14" customFormat="1" x14ac:dyDescent="0.25">
      <c r="A9" s="93">
        <v>1</v>
      </c>
      <c r="B9" s="94" t="s">
        <v>891</v>
      </c>
      <c r="C9" s="702" t="s">
        <v>83</v>
      </c>
      <c r="D9" s="703">
        <f>'Phụ lục số 1'!C55</f>
        <v>1270000</v>
      </c>
      <c r="E9" s="703">
        <f>'Phụ lục số 1'!H55</f>
        <v>1340000</v>
      </c>
      <c r="F9" s="703">
        <f>'Phụ lục số 1'!N55</f>
        <v>1380000</v>
      </c>
      <c r="G9" s="704">
        <f>100*F9/D9</f>
        <v>108.66141732283465</v>
      </c>
      <c r="H9" s="1"/>
    </row>
    <row r="10" spans="1:15" s="14" customFormat="1" x14ac:dyDescent="0.25">
      <c r="A10" s="89">
        <v>2</v>
      </c>
      <c r="B10" s="90" t="s">
        <v>892</v>
      </c>
      <c r="C10" s="705" t="s">
        <v>83</v>
      </c>
      <c r="D10" s="593">
        <f>D9</f>
        <v>1270000</v>
      </c>
      <c r="E10" s="593">
        <f>E9</f>
        <v>1340000</v>
      </c>
      <c r="F10" s="593">
        <f>F9</f>
        <v>1380000</v>
      </c>
      <c r="G10" s="706">
        <f>100*F10/D10</f>
        <v>108.66141732283465</v>
      </c>
      <c r="H10" s="1"/>
    </row>
    <row r="11" spans="1:15" x14ac:dyDescent="0.25">
      <c r="A11" s="315"/>
      <c r="B11" s="314" t="s">
        <v>240</v>
      </c>
      <c r="C11" s="705"/>
      <c r="D11" s="594"/>
      <c r="E11" s="594"/>
      <c r="F11" s="594"/>
      <c r="G11" s="707"/>
      <c r="H11" s="249"/>
    </row>
    <row r="12" spans="1:15" x14ac:dyDescent="0.25">
      <c r="A12" s="315" t="s">
        <v>449</v>
      </c>
      <c r="B12" s="314" t="s">
        <v>893</v>
      </c>
      <c r="C12" s="705" t="s">
        <v>83</v>
      </c>
      <c r="D12" s="594">
        <v>480300</v>
      </c>
      <c r="E12" s="594">
        <f>D12</f>
        <v>480300</v>
      </c>
      <c r="F12" s="594">
        <f>ROUND(E12*G9/100,-3)</f>
        <v>522000</v>
      </c>
      <c r="G12" s="707"/>
      <c r="H12" s="249"/>
    </row>
    <row r="13" spans="1:15" x14ac:dyDescent="0.25">
      <c r="A13" s="315" t="s">
        <v>894</v>
      </c>
      <c r="B13" s="314" t="s">
        <v>895</v>
      </c>
      <c r="C13" s="705" t="s">
        <v>896</v>
      </c>
      <c r="D13" s="595">
        <f>D12/D10*100</f>
        <v>37.818897637795274</v>
      </c>
      <c r="E13" s="595">
        <f>E12/E10*100</f>
        <v>35.843283582089555</v>
      </c>
      <c r="F13" s="595">
        <f>F12/F10*100</f>
        <v>37.826086956521735</v>
      </c>
      <c r="G13" s="707"/>
      <c r="H13" s="268"/>
    </row>
    <row r="14" spans="1:15" x14ac:dyDescent="0.25">
      <c r="A14" s="315" t="s">
        <v>449</v>
      </c>
      <c r="B14" s="314" t="s">
        <v>897</v>
      </c>
      <c r="C14" s="705" t="s">
        <v>83</v>
      </c>
      <c r="D14" s="594">
        <v>62400</v>
      </c>
      <c r="E14" s="594">
        <f>D14</f>
        <v>62400</v>
      </c>
      <c r="F14" s="594">
        <f>ROUND(D14*G9/100,-3)</f>
        <v>68000</v>
      </c>
      <c r="G14" s="707"/>
      <c r="H14" s="249"/>
    </row>
    <row r="15" spans="1:15" x14ac:dyDescent="0.25">
      <c r="A15" s="318" t="s">
        <v>894</v>
      </c>
      <c r="B15" s="320" t="s">
        <v>898</v>
      </c>
      <c r="C15" s="708" t="s">
        <v>896</v>
      </c>
      <c r="D15" s="709">
        <f>D14/D10*100</f>
        <v>4.9133858267716528</v>
      </c>
      <c r="E15" s="709">
        <f>E14/E10*100</f>
        <v>4.6567164179104479</v>
      </c>
      <c r="F15" s="709">
        <f>F14/F10*100</f>
        <v>4.9275362318840585</v>
      </c>
      <c r="G15" s="710"/>
      <c r="H15" s="249"/>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16" bestFit="1" customWidth="1"/>
    <col min="2" max="2" width="38.125" style="712" customWidth="1"/>
    <col min="3" max="3" width="9.625" style="712" customWidth="1"/>
    <col min="4" max="4" width="11.25" style="712" customWidth="1"/>
    <col min="5" max="5" width="10.625" style="712" customWidth="1"/>
    <col min="6" max="6" width="14.375" style="712" customWidth="1"/>
    <col min="7" max="7" width="11.125" style="712" customWidth="1"/>
    <col min="8" max="8" width="10.75" style="712" customWidth="1"/>
    <col min="9" max="9" width="11" style="712" customWidth="1"/>
    <col min="10" max="256" width="9" style="717"/>
    <col min="257" max="257" width="5.75" style="717" bestFit="1" customWidth="1"/>
    <col min="258" max="258" width="38.125" style="717" customWidth="1"/>
    <col min="259" max="259" width="9.625" style="717" customWidth="1"/>
    <col min="260" max="260" width="11.25" style="717" customWidth="1"/>
    <col min="261" max="261" width="10.625" style="717" customWidth="1"/>
    <col min="262" max="262" width="14.375" style="717" customWidth="1"/>
    <col min="263" max="263" width="11.125" style="717" customWidth="1"/>
    <col min="264" max="264" width="10.75" style="717" customWidth="1"/>
    <col min="265" max="265" width="11" style="717" customWidth="1"/>
    <col min="266" max="512" width="9" style="717"/>
    <col min="513" max="513" width="5.75" style="717" bestFit="1" customWidth="1"/>
    <col min="514" max="514" width="38.125" style="717" customWidth="1"/>
    <col min="515" max="515" width="9.625" style="717" customWidth="1"/>
    <col min="516" max="516" width="11.25" style="717" customWidth="1"/>
    <col min="517" max="517" width="10.625" style="717" customWidth="1"/>
    <col min="518" max="518" width="14.375" style="717" customWidth="1"/>
    <col min="519" max="519" width="11.125" style="717" customWidth="1"/>
    <col min="520" max="520" width="10.75" style="717" customWidth="1"/>
    <col min="521" max="521" width="11" style="717" customWidth="1"/>
    <col min="522" max="768" width="9" style="717"/>
    <col min="769" max="769" width="5.75" style="717" bestFit="1" customWidth="1"/>
    <col min="770" max="770" width="38.125" style="717" customWidth="1"/>
    <col min="771" max="771" width="9.625" style="717" customWidth="1"/>
    <col min="772" max="772" width="11.25" style="717" customWidth="1"/>
    <col min="773" max="773" width="10.625" style="717" customWidth="1"/>
    <col min="774" max="774" width="14.375" style="717" customWidth="1"/>
    <col min="775" max="775" width="11.125" style="717" customWidth="1"/>
    <col min="776" max="776" width="10.75" style="717" customWidth="1"/>
    <col min="777" max="777" width="11" style="717" customWidth="1"/>
    <col min="778" max="1024" width="9" style="717"/>
    <col min="1025" max="1025" width="5.75" style="717" bestFit="1" customWidth="1"/>
    <col min="1026" max="1026" width="38.125" style="717" customWidth="1"/>
    <col min="1027" max="1027" width="9.625" style="717" customWidth="1"/>
    <col min="1028" max="1028" width="11.25" style="717" customWidth="1"/>
    <col min="1029" max="1029" width="10.625" style="717" customWidth="1"/>
    <col min="1030" max="1030" width="14.375" style="717" customWidth="1"/>
    <col min="1031" max="1031" width="11.125" style="717" customWidth="1"/>
    <col min="1032" max="1032" width="10.75" style="717" customWidth="1"/>
    <col min="1033" max="1033" width="11" style="717" customWidth="1"/>
    <col min="1034" max="1280" width="9" style="717"/>
    <col min="1281" max="1281" width="5.75" style="717" bestFit="1" customWidth="1"/>
    <col min="1282" max="1282" width="38.125" style="717" customWidth="1"/>
    <col min="1283" max="1283" width="9.625" style="717" customWidth="1"/>
    <col min="1284" max="1284" width="11.25" style="717" customWidth="1"/>
    <col min="1285" max="1285" width="10.625" style="717" customWidth="1"/>
    <col min="1286" max="1286" width="14.375" style="717" customWidth="1"/>
    <col min="1287" max="1287" width="11.125" style="717" customWidth="1"/>
    <col min="1288" max="1288" width="10.75" style="717" customWidth="1"/>
    <col min="1289" max="1289" width="11" style="717" customWidth="1"/>
    <col min="1290" max="1536" width="9" style="717"/>
    <col min="1537" max="1537" width="5.75" style="717" bestFit="1" customWidth="1"/>
    <col min="1538" max="1538" width="38.125" style="717" customWidth="1"/>
    <col min="1539" max="1539" width="9.625" style="717" customWidth="1"/>
    <col min="1540" max="1540" width="11.25" style="717" customWidth="1"/>
    <col min="1541" max="1541" width="10.625" style="717" customWidth="1"/>
    <col min="1542" max="1542" width="14.375" style="717" customWidth="1"/>
    <col min="1543" max="1543" width="11.125" style="717" customWidth="1"/>
    <col min="1544" max="1544" width="10.75" style="717" customWidth="1"/>
    <col min="1545" max="1545" width="11" style="717" customWidth="1"/>
    <col min="1546" max="1792" width="9" style="717"/>
    <col min="1793" max="1793" width="5.75" style="717" bestFit="1" customWidth="1"/>
    <col min="1794" max="1794" width="38.125" style="717" customWidth="1"/>
    <col min="1795" max="1795" width="9.625" style="717" customWidth="1"/>
    <col min="1796" max="1796" width="11.25" style="717" customWidth="1"/>
    <col min="1797" max="1797" width="10.625" style="717" customWidth="1"/>
    <col min="1798" max="1798" width="14.375" style="717" customWidth="1"/>
    <col min="1799" max="1799" width="11.125" style="717" customWidth="1"/>
    <col min="1800" max="1800" width="10.75" style="717" customWidth="1"/>
    <col min="1801" max="1801" width="11" style="717" customWidth="1"/>
    <col min="1802" max="2048" width="9" style="717"/>
    <col min="2049" max="2049" width="5.75" style="717" bestFit="1" customWidth="1"/>
    <col min="2050" max="2050" width="38.125" style="717" customWidth="1"/>
    <col min="2051" max="2051" width="9.625" style="717" customWidth="1"/>
    <col min="2052" max="2052" width="11.25" style="717" customWidth="1"/>
    <col min="2053" max="2053" width="10.625" style="717" customWidth="1"/>
    <col min="2054" max="2054" width="14.375" style="717" customWidth="1"/>
    <col min="2055" max="2055" width="11.125" style="717" customWidth="1"/>
    <col min="2056" max="2056" width="10.75" style="717" customWidth="1"/>
    <col min="2057" max="2057" width="11" style="717" customWidth="1"/>
    <col min="2058" max="2304" width="9" style="717"/>
    <col min="2305" max="2305" width="5.75" style="717" bestFit="1" customWidth="1"/>
    <col min="2306" max="2306" width="38.125" style="717" customWidth="1"/>
    <col min="2307" max="2307" width="9.625" style="717" customWidth="1"/>
    <col min="2308" max="2308" width="11.25" style="717" customWidth="1"/>
    <col min="2309" max="2309" width="10.625" style="717" customWidth="1"/>
    <col min="2310" max="2310" width="14.375" style="717" customWidth="1"/>
    <col min="2311" max="2311" width="11.125" style="717" customWidth="1"/>
    <col min="2312" max="2312" width="10.75" style="717" customWidth="1"/>
    <col min="2313" max="2313" width="11" style="717" customWidth="1"/>
    <col min="2314" max="2560" width="9" style="717"/>
    <col min="2561" max="2561" width="5.75" style="717" bestFit="1" customWidth="1"/>
    <col min="2562" max="2562" width="38.125" style="717" customWidth="1"/>
    <col min="2563" max="2563" width="9.625" style="717" customWidth="1"/>
    <col min="2564" max="2564" width="11.25" style="717" customWidth="1"/>
    <col min="2565" max="2565" width="10.625" style="717" customWidth="1"/>
    <col min="2566" max="2566" width="14.375" style="717" customWidth="1"/>
    <col min="2567" max="2567" width="11.125" style="717" customWidth="1"/>
    <col min="2568" max="2568" width="10.75" style="717" customWidth="1"/>
    <col min="2569" max="2569" width="11" style="717" customWidth="1"/>
    <col min="2570" max="2816" width="9" style="717"/>
    <col min="2817" max="2817" width="5.75" style="717" bestFit="1" customWidth="1"/>
    <col min="2818" max="2818" width="38.125" style="717" customWidth="1"/>
    <col min="2819" max="2819" width="9.625" style="717" customWidth="1"/>
    <col min="2820" max="2820" width="11.25" style="717" customWidth="1"/>
    <col min="2821" max="2821" width="10.625" style="717" customWidth="1"/>
    <col min="2822" max="2822" width="14.375" style="717" customWidth="1"/>
    <col min="2823" max="2823" width="11.125" style="717" customWidth="1"/>
    <col min="2824" max="2824" width="10.75" style="717" customWidth="1"/>
    <col min="2825" max="2825" width="11" style="717" customWidth="1"/>
    <col min="2826" max="3072" width="9" style="717"/>
    <col min="3073" max="3073" width="5.75" style="717" bestFit="1" customWidth="1"/>
    <col min="3074" max="3074" width="38.125" style="717" customWidth="1"/>
    <col min="3075" max="3075" width="9.625" style="717" customWidth="1"/>
    <col min="3076" max="3076" width="11.25" style="717" customWidth="1"/>
    <col min="3077" max="3077" width="10.625" style="717" customWidth="1"/>
    <col min="3078" max="3078" width="14.375" style="717" customWidth="1"/>
    <col min="3079" max="3079" width="11.125" style="717" customWidth="1"/>
    <col min="3080" max="3080" width="10.75" style="717" customWidth="1"/>
    <col min="3081" max="3081" width="11" style="717" customWidth="1"/>
    <col min="3082" max="3328" width="9" style="717"/>
    <col min="3329" max="3329" width="5.75" style="717" bestFit="1" customWidth="1"/>
    <col min="3330" max="3330" width="38.125" style="717" customWidth="1"/>
    <col min="3331" max="3331" width="9.625" style="717" customWidth="1"/>
    <col min="3332" max="3332" width="11.25" style="717" customWidth="1"/>
    <col min="3333" max="3333" width="10.625" style="717" customWidth="1"/>
    <col min="3334" max="3334" width="14.375" style="717" customWidth="1"/>
    <col min="3335" max="3335" width="11.125" style="717" customWidth="1"/>
    <col min="3336" max="3336" width="10.75" style="717" customWidth="1"/>
    <col min="3337" max="3337" width="11" style="717" customWidth="1"/>
    <col min="3338" max="3584" width="9" style="717"/>
    <col min="3585" max="3585" width="5.75" style="717" bestFit="1" customWidth="1"/>
    <col min="3586" max="3586" width="38.125" style="717" customWidth="1"/>
    <col min="3587" max="3587" width="9.625" style="717" customWidth="1"/>
    <col min="3588" max="3588" width="11.25" style="717" customWidth="1"/>
    <col min="3589" max="3589" width="10.625" style="717" customWidth="1"/>
    <col min="3590" max="3590" width="14.375" style="717" customWidth="1"/>
    <col min="3591" max="3591" width="11.125" style="717" customWidth="1"/>
    <col min="3592" max="3592" width="10.75" style="717" customWidth="1"/>
    <col min="3593" max="3593" width="11" style="717" customWidth="1"/>
    <col min="3594" max="3840" width="9" style="717"/>
    <col min="3841" max="3841" width="5.75" style="717" bestFit="1" customWidth="1"/>
    <col min="3842" max="3842" width="38.125" style="717" customWidth="1"/>
    <col min="3843" max="3843" width="9.625" style="717" customWidth="1"/>
    <col min="3844" max="3844" width="11.25" style="717" customWidth="1"/>
    <col min="3845" max="3845" width="10.625" style="717" customWidth="1"/>
    <col min="3846" max="3846" width="14.375" style="717" customWidth="1"/>
    <col min="3847" max="3847" width="11.125" style="717" customWidth="1"/>
    <col min="3848" max="3848" width="10.75" style="717" customWidth="1"/>
    <col min="3849" max="3849" width="11" style="717" customWidth="1"/>
    <col min="3850" max="4096" width="9" style="717"/>
    <col min="4097" max="4097" width="5.75" style="717" bestFit="1" customWidth="1"/>
    <col min="4098" max="4098" width="38.125" style="717" customWidth="1"/>
    <col min="4099" max="4099" width="9.625" style="717" customWidth="1"/>
    <col min="4100" max="4100" width="11.25" style="717" customWidth="1"/>
    <col min="4101" max="4101" width="10.625" style="717" customWidth="1"/>
    <col min="4102" max="4102" width="14.375" style="717" customWidth="1"/>
    <col min="4103" max="4103" width="11.125" style="717" customWidth="1"/>
    <col min="4104" max="4104" width="10.75" style="717" customWidth="1"/>
    <col min="4105" max="4105" width="11" style="717" customWidth="1"/>
    <col min="4106" max="4352" width="9" style="717"/>
    <col min="4353" max="4353" width="5.75" style="717" bestFit="1" customWidth="1"/>
    <col min="4354" max="4354" width="38.125" style="717" customWidth="1"/>
    <col min="4355" max="4355" width="9.625" style="717" customWidth="1"/>
    <col min="4356" max="4356" width="11.25" style="717" customWidth="1"/>
    <col min="4357" max="4357" width="10.625" style="717" customWidth="1"/>
    <col min="4358" max="4358" width="14.375" style="717" customWidth="1"/>
    <col min="4359" max="4359" width="11.125" style="717" customWidth="1"/>
    <col min="4360" max="4360" width="10.75" style="717" customWidth="1"/>
    <col min="4361" max="4361" width="11" style="717" customWidth="1"/>
    <col min="4362" max="4608" width="9" style="717"/>
    <col min="4609" max="4609" width="5.75" style="717" bestFit="1" customWidth="1"/>
    <col min="4610" max="4610" width="38.125" style="717" customWidth="1"/>
    <col min="4611" max="4611" width="9.625" style="717" customWidth="1"/>
    <col min="4612" max="4612" width="11.25" style="717" customWidth="1"/>
    <col min="4613" max="4613" width="10.625" style="717" customWidth="1"/>
    <col min="4614" max="4614" width="14.375" style="717" customWidth="1"/>
    <col min="4615" max="4615" width="11.125" style="717" customWidth="1"/>
    <col min="4616" max="4616" width="10.75" style="717" customWidth="1"/>
    <col min="4617" max="4617" width="11" style="717" customWidth="1"/>
    <col min="4618" max="4864" width="9" style="717"/>
    <col min="4865" max="4865" width="5.75" style="717" bestFit="1" customWidth="1"/>
    <col min="4866" max="4866" width="38.125" style="717" customWidth="1"/>
    <col min="4867" max="4867" width="9.625" style="717" customWidth="1"/>
    <col min="4868" max="4868" width="11.25" style="717" customWidth="1"/>
    <col min="4869" max="4869" width="10.625" style="717" customWidth="1"/>
    <col min="4870" max="4870" width="14.375" style="717" customWidth="1"/>
    <col min="4871" max="4871" width="11.125" style="717" customWidth="1"/>
    <col min="4872" max="4872" width="10.75" style="717" customWidth="1"/>
    <col min="4873" max="4873" width="11" style="717" customWidth="1"/>
    <col min="4874" max="5120" width="9" style="717"/>
    <col min="5121" max="5121" width="5.75" style="717" bestFit="1" customWidth="1"/>
    <col min="5122" max="5122" width="38.125" style="717" customWidth="1"/>
    <col min="5123" max="5123" width="9.625" style="717" customWidth="1"/>
    <col min="5124" max="5124" width="11.25" style="717" customWidth="1"/>
    <col min="5125" max="5125" width="10.625" style="717" customWidth="1"/>
    <col min="5126" max="5126" width="14.375" style="717" customWidth="1"/>
    <col min="5127" max="5127" width="11.125" style="717" customWidth="1"/>
    <col min="5128" max="5128" width="10.75" style="717" customWidth="1"/>
    <col min="5129" max="5129" width="11" style="717" customWidth="1"/>
    <col min="5130" max="5376" width="9" style="717"/>
    <col min="5377" max="5377" width="5.75" style="717" bestFit="1" customWidth="1"/>
    <col min="5378" max="5378" width="38.125" style="717" customWidth="1"/>
    <col min="5379" max="5379" width="9.625" style="717" customWidth="1"/>
    <col min="5380" max="5380" width="11.25" style="717" customWidth="1"/>
    <col min="5381" max="5381" width="10.625" style="717" customWidth="1"/>
    <col min="5382" max="5382" width="14.375" style="717" customWidth="1"/>
    <col min="5383" max="5383" width="11.125" style="717" customWidth="1"/>
    <col min="5384" max="5384" width="10.75" style="717" customWidth="1"/>
    <col min="5385" max="5385" width="11" style="717" customWidth="1"/>
    <col min="5386" max="5632" width="9" style="717"/>
    <col min="5633" max="5633" width="5.75" style="717" bestFit="1" customWidth="1"/>
    <col min="5634" max="5634" width="38.125" style="717" customWidth="1"/>
    <col min="5635" max="5635" width="9.625" style="717" customWidth="1"/>
    <col min="5636" max="5636" width="11.25" style="717" customWidth="1"/>
    <col min="5637" max="5637" width="10.625" style="717" customWidth="1"/>
    <col min="5638" max="5638" width="14.375" style="717" customWidth="1"/>
    <col min="5639" max="5639" width="11.125" style="717" customWidth="1"/>
    <col min="5640" max="5640" width="10.75" style="717" customWidth="1"/>
    <col min="5641" max="5641" width="11" style="717" customWidth="1"/>
    <col min="5642" max="5888" width="9" style="717"/>
    <col min="5889" max="5889" width="5.75" style="717" bestFit="1" customWidth="1"/>
    <col min="5890" max="5890" width="38.125" style="717" customWidth="1"/>
    <col min="5891" max="5891" width="9.625" style="717" customWidth="1"/>
    <col min="5892" max="5892" width="11.25" style="717" customWidth="1"/>
    <col min="5893" max="5893" width="10.625" style="717" customWidth="1"/>
    <col min="5894" max="5894" width="14.375" style="717" customWidth="1"/>
    <col min="5895" max="5895" width="11.125" style="717" customWidth="1"/>
    <col min="5896" max="5896" width="10.75" style="717" customWidth="1"/>
    <col min="5897" max="5897" width="11" style="717" customWidth="1"/>
    <col min="5898" max="6144" width="9" style="717"/>
    <col min="6145" max="6145" width="5.75" style="717" bestFit="1" customWidth="1"/>
    <col min="6146" max="6146" width="38.125" style="717" customWidth="1"/>
    <col min="6147" max="6147" width="9.625" style="717" customWidth="1"/>
    <col min="6148" max="6148" width="11.25" style="717" customWidth="1"/>
    <col min="6149" max="6149" width="10.625" style="717" customWidth="1"/>
    <col min="6150" max="6150" width="14.375" style="717" customWidth="1"/>
    <col min="6151" max="6151" width="11.125" style="717" customWidth="1"/>
    <col min="6152" max="6152" width="10.75" style="717" customWidth="1"/>
    <col min="6153" max="6153" width="11" style="717" customWidth="1"/>
    <col min="6154" max="6400" width="9" style="717"/>
    <col min="6401" max="6401" width="5.75" style="717" bestFit="1" customWidth="1"/>
    <col min="6402" max="6402" width="38.125" style="717" customWidth="1"/>
    <col min="6403" max="6403" width="9.625" style="717" customWidth="1"/>
    <col min="6404" max="6404" width="11.25" style="717" customWidth="1"/>
    <col min="6405" max="6405" width="10.625" style="717" customWidth="1"/>
    <col min="6406" max="6406" width="14.375" style="717" customWidth="1"/>
    <col min="6407" max="6407" width="11.125" style="717" customWidth="1"/>
    <col min="6408" max="6408" width="10.75" style="717" customWidth="1"/>
    <col min="6409" max="6409" width="11" style="717" customWidth="1"/>
    <col min="6410" max="6656" width="9" style="717"/>
    <col min="6657" max="6657" width="5.75" style="717" bestFit="1" customWidth="1"/>
    <col min="6658" max="6658" width="38.125" style="717" customWidth="1"/>
    <col min="6659" max="6659" width="9.625" style="717" customWidth="1"/>
    <col min="6660" max="6660" width="11.25" style="717" customWidth="1"/>
    <col min="6661" max="6661" width="10.625" style="717" customWidth="1"/>
    <col min="6662" max="6662" width="14.375" style="717" customWidth="1"/>
    <col min="6663" max="6663" width="11.125" style="717" customWidth="1"/>
    <col min="6664" max="6664" width="10.75" style="717" customWidth="1"/>
    <col min="6665" max="6665" width="11" style="717" customWidth="1"/>
    <col min="6666" max="6912" width="9" style="717"/>
    <col min="6913" max="6913" width="5.75" style="717" bestFit="1" customWidth="1"/>
    <col min="6914" max="6914" width="38.125" style="717" customWidth="1"/>
    <col min="6915" max="6915" width="9.625" style="717" customWidth="1"/>
    <col min="6916" max="6916" width="11.25" style="717" customWidth="1"/>
    <col min="6917" max="6917" width="10.625" style="717" customWidth="1"/>
    <col min="6918" max="6918" width="14.375" style="717" customWidth="1"/>
    <col min="6919" max="6919" width="11.125" style="717" customWidth="1"/>
    <col min="6920" max="6920" width="10.75" style="717" customWidth="1"/>
    <col min="6921" max="6921" width="11" style="717" customWidth="1"/>
    <col min="6922" max="7168" width="9" style="717"/>
    <col min="7169" max="7169" width="5.75" style="717" bestFit="1" customWidth="1"/>
    <col min="7170" max="7170" width="38.125" style="717" customWidth="1"/>
    <col min="7171" max="7171" width="9.625" style="717" customWidth="1"/>
    <col min="7172" max="7172" width="11.25" style="717" customWidth="1"/>
    <col min="7173" max="7173" width="10.625" style="717" customWidth="1"/>
    <col min="7174" max="7174" width="14.375" style="717" customWidth="1"/>
    <col min="7175" max="7175" width="11.125" style="717" customWidth="1"/>
    <col min="7176" max="7176" width="10.75" style="717" customWidth="1"/>
    <col min="7177" max="7177" width="11" style="717" customWidth="1"/>
    <col min="7178" max="7424" width="9" style="717"/>
    <col min="7425" max="7425" width="5.75" style="717" bestFit="1" customWidth="1"/>
    <col min="7426" max="7426" width="38.125" style="717" customWidth="1"/>
    <col min="7427" max="7427" width="9.625" style="717" customWidth="1"/>
    <col min="7428" max="7428" width="11.25" style="717" customWidth="1"/>
    <col min="7429" max="7429" width="10.625" style="717" customWidth="1"/>
    <col min="7430" max="7430" width="14.375" style="717" customWidth="1"/>
    <col min="7431" max="7431" width="11.125" style="717" customWidth="1"/>
    <col min="7432" max="7432" width="10.75" style="717" customWidth="1"/>
    <col min="7433" max="7433" width="11" style="717" customWidth="1"/>
    <col min="7434" max="7680" width="9" style="717"/>
    <col min="7681" max="7681" width="5.75" style="717" bestFit="1" customWidth="1"/>
    <col min="7682" max="7682" width="38.125" style="717" customWidth="1"/>
    <col min="7683" max="7683" width="9.625" style="717" customWidth="1"/>
    <col min="7684" max="7684" width="11.25" style="717" customWidth="1"/>
    <col min="7685" max="7685" width="10.625" style="717" customWidth="1"/>
    <col min="7686" max="7686" width="14.375" style="717" customWidth="1"/>
    <col min="7687" max="7687" width="11.125" style="717" customWidth="1"/>
    <col min="7688" max="7688" width="10.75" style="717" customWidth="1"/>
    <col min="7689" max="7689" width="11" style="717" customWidth="1"/>
    <col min="7690" max="7936" width="9" style="717"/>
    <col min="7937" max="7937" width="5.75" style="717" bestFit="1" customWidth="1"/>
    <col min="7938" max="7938" width="38.125" style="717" customWidth="1"/>
    <col min="7939" max="7939" width="9.625" style="717" customWidth="1"/>
    <col min="7940" max="7940" width="11.25" style="717" customWidth="1"/>
    <col min="7941" max="7941" width="10.625" style="717" customWidth="1"/>
    <col min="7942" max="7942" width="14.375" style="717" customWidth="1"/>
    <col min="7943" max="7943" width="11.125" style="717" customWidth="1"/>
    <col min="7944" max="7944" width="10.75" style="717" customWidth="1"/>
    <col min="7945" max="7945" width="11" style="717" customWidth="1"/>
    <col min="7946" max="8192" width="9" style="717"/>
    <col min="8193" max="8193" width="5.75" style="717" bestFit="1" customWidth="1"/>
    <col min="8194" max="8194" width="38.125" style="717" customWidth="1"/>
    <col min="8195" max="8195" width="9.625" style="717" customWidth="1"/>
    <col min="8196" max="8196" width="11.25" style="717" customWidth="1"/>
    <col min="8197" max="8197" width="10.625" style="717" customWidth="1"/>
    <col min="8198" max="8198" width="14.375" style="717" customWidth="1"/>
    <col min="8199" max="8199" width="11.125" style="717" customWidth="1"/>
    <col min="8200" max="8200" width="10.75" style="717" customWidth="1"/>
    <col min="8201" max="8201" width="11" style="717" customWidth="1"/>
    <col min="8202" max="8448" width="9" style="717"/>
    <col min="8449" max="8449" width="5.75" style="717" bestFit="1" customWidth="1"/>
    <col min="8450" max="8450" width="38.125" style="717" customWidth="1"/>
    <col min="8451" max="8451" width="9.625" style="717" customWidth="1"/>
    <col min="8452" max="8452" width="11.25" style="717" customWidth="1"/>
    <col min="8453" max="8453" width="10.625" style="717" customWidth="1"/>
    <col min="8454" max="8454" width="14.375" style="717" customWidth="1"/>
    <col min="8455" max="8455" width="11.125" style="717" customWidth="1"/>
    <col min="8456" max="8456" width="10.75" style="717" customWidth="1"/>
    <col min="8457" max="8457" width="11" style="717" customWidth="1"/>
    <col min="8458" max="8704" width="9" style="717"/>
    <col min="8705" max="8705" width="5.75" style="717" bestFit="1" customWidth="1"/>
    <col min="8706" max="8706" width="38.125" style="717" customWidth="1"/>
    <col min="8707" max="8707" width="9.625" style="717" customWidth="1"/>
    <col min="8708" max="8708" width="11.25" style="717" customWidth="1"/>
    <col min="8709" max="8709" width="10.625" style="717" customWidth="1"/>
    <col min="8710" max="8710" width="14.375" style="717" customWidth="1"/>
    <col min="8711" max="8711" width="11.125" style="717" customWidth="1"/>
    <col min="8712" max="8712" width="10.75" style="717" customWidth="1"/>
    <col min="8713" max="8713" width="11" style="717" customWidth="1"/>
    <col min="8714" max="8960" width="9" style="717"/>
    <col min="8961" max="8961" width="5.75" style="717" bestFit="1" customWidth="1"/>
    <col min="8962" max="8962" width="38.125" style="717" customWidth="1"/>
    <col min="8963" max="8963" width="9.625" style="717" customWidth="1"/>
    <col min="8964" max="8964" width="11.25" style="717" customWidth="1"/>
    <col min="8965" max="8965" width="10.625" style="717" customWidth="1"/>
    <col min="8966" max="8966" width="14.375" style="717" customWidth="1"/>
    <col min="8967" max="8967" width="11.125" style="717" customWidth="1"/>
    <col min="8968" max="8968" width="10.75" style="717" customWidth="1"/>
    <col min="8969" max="8969" width="11" style="717" customWidth="1"/>
    <col min="8970" max="9216" width="9" style="717"/>
    <col min="9217" max="9217" width="5.75" style="717" bestFit="1" customWidth="1"/>
    <col min="9218" max="9218" width="38.125" style="717" customWidth="1"/>
    <col min="9219" max="9219" width="9.625" style="717" customWidth="1"/>
    <col min="9220" max="9220" width="11.25" style="717" customWidth="1"/>
    <col min="9221" max="9221" width="10.625" style="717" customWidth="1"/>
    <col min="9222" max="9222" width="14.375" style="717" customWidth="1"/>
    <col min="9223" max="9223" width="11.125" style="717" customWidth="1"/>
    <col min="9224" max="9224" width="10.75" style="717" customWidth="1"/>
    <col min="9225" max="9225" width="11" style="717" customWidth="1"/>
    <col min="9226" max="9472" width="9" style="717"/>
    <col min="9473" max="9473" width="5.75" style="717" bestFit="1" customWidth="1"/>
    <col min="9474" max="9474" width="38.125" style="717" customWidth="1"/>
    <col min="9475" max="9475" width="9.625" style="717" customWidth="1"/>
    <col min="9476" max="9476" width="11.25" style="717" customWidth="1"/>
    <col min="9477" max="9477" width="10.625" style="717" customWidth="1"/>
    <col min="9478" max="9478" width="14.375" style="717" customWidth="1"/>
    <col min="9479" max="9479" width="11.125" style="717" customWidth="1"/>
    <col min="9480" max="9480" width="10.75" style="717" customWidth="1"/>
    <col min="9481" max="9481" width="11" style="717" customWidth="1"/>
    <col min="9482" max="9728" width="9" style="717"/>
    <col min="9729" max="9729" width="5.75" style="717" bestFit="1" customWidth="1"/>
    <col min="9730" max="9730" width="38.125" style="717" customWidth="1"/>
    <col min="9731" max="9731" width="9.625" style="717" customWidth="1"/>
    <col min="9732" max="9732" width="11.25" style="717" customWidth="1"/>
    <col min="9733" max="9733" width="10.625" style="717" customWidth="1"/>
    <col min="9734" max="9734" width="14.375" style="717" customWidth="1"/>
    <col min="9735" max="9735" width="11.125" style="717" customWidth="1"/>
    <col min="9736" max="9736" width="10.75" style="717" customWidth="1"/>
    <col min="9737" max="9737" width="11" style="717" customWidth="1"/>
    <col min="9738" max="9984" width="9" style="717"/>
    <col min="9985" max="9985" width="5.75" style="717" bestFit="1" customWidth="1"/>
    <col min="9986" max="9986" width="38.125" style="717" customWidth="1"/>
    <col min="9987" max="9987" width="9.625" style="717" customWidth="1"/>
    <col min="9988" max="9988" width="11.25" style="717" customWidth="1"/>
    <col min="9989" max="9989" width="10.625" style="717" customWidth="1"/>
    <col min="9990" max="9990" width="14.375" style="717" customWidth="1"/>
    <col min="9991" max="9991" width="11.125" style="717" customWidth="1"/>
    <col min="9992" max="9992" width="10.75" style="717" customWidth="1"/>
    <col min="9993" max="9993" width="11" style="717" customWidth="1"/>
    <col min="9994" max="10240" width="9" style="717"/>
    <col min="10241" max="10241" width="5.75" style="717" bestFit="1" customWidth="1"/>
    <col min="10242" max="10242" width="38.125" style="717" customWidth="1"/>
    <col min="10243" max="10243" width="9.625" style="717" customWidth="1"/>
    <col min="10244" max="10244" width="11.25" style="717" customWidth="1"/>
    <col min="10245" max="10245" width="10.625" style="717" customWidth="1"/>
    <col min="10246" max="10246" width="14.375" style="717" customWidth="1"/>
    <col min="10247" max="10247" width="11.125" style="717" customWidth="1"/>
    <col min="10248" max="10248" width="10.75" style="717" customWidth="1"/>
    <col min="10249" max="10249" width="11" style="717" customWidth="1"/>
    <col min="10250" max="10496" width="9" style="717"/>
    <col min="10497" max="10497" width="5.75" style="717" bestFit="1" customWidth="1"/>
    <col min="10498" max="10498" width="38.125" style="717" customWidth="1"/>
    <col min="10499" max="10499" width="9.625" style="717" customWidth="1"/>
    <col min="10500" max="10500" width="11.25" style="717" customWidth="1"/>
    <col min="10501" max="10501" width="10.625" style="717" customWidth="1"/>
    <col min="10502" max="10502" width="14.375" style="717" customWidth="1"/>
    <col min="10503" max="10503" width="11.125" style="717" customWidth="1"/>
    <col min="10504" max="10504" width="10.75" style="717" customWidth="1"/>
    <col min="10505" max="10505" width="11" style="717" customWidth="1"/>
    <col min="10506" max="10752" width="9" style="717"/>
    <col min="10753" max="10753" width="5.75" style="717" bestFit="1" customWidth="1"/>
    <col min="10754" max="10754" width="38.125" style="717" customWidth="1"/>
    <col min="10755" max="10755" width="9.625" style="717" customWidth="1"/>
    <col min="10756" max="10756" width="11.25" style="717" customWidth="1"/>
    <col min="10757" max="10757" width="10.625" style="717" customWidth="1"/>
    <col min="10758" max="10758" width="14.375" style="717" customWidth="1"/>
    <col min="10759" max="10759" width="11.125" style="717" customWidth="1"/>
    <col min="10760" max="10760" width="10.75" style="717" customWidth="1"/>
    <col min="10761" max="10761" width="11" style="717" customWidth="1"/>
    <col min="10762" max="11008" width="9" style="717"/>
    <col min="11009" max="11009" width="5.75" style="717" bestFit="1" customWidth="1"/>
    <col min="11010" max="11010" width="38.125" style="717" customWidth="1"/>
    <col min="11011" max="11011" width="9.625" style="717" customWidth="1"/>
    <col min="11012" max="11012" width="11.25" style="717" customWidth="1"/>
    <col min="11013" max="11013" width="10.625" style="717" customWidth="1"/>
    <col min="11014" max="11014" width="14.375" style="717" customWidth="1"/>
    <col min="11015" max="11015" width="11.125" style="717" customWidth="1"/>
    <col min="11016" max="11016" width="10.75" style="717" customWidth="1"/>
    <col min="11017" max="11017" width="11" style="717" customWidth="1"/>
    <col min="11018" max="11264" width="9" style="717"/>
    <col min="11265" max="11265" width="5.75" style="717" bestFit="1" customWidth="1"/>
    <col min="11266" max="11266" width="38.125" style="717" customWidth="1"/>
    <col min="11267" max="11267" width="9.625" style="717" customWidth="1"/>
    <col min="11268" max="11268" width="11.25" style="717" customWidth="1"/>
    <col min="11269" max="11269" width="10.625" style="717" customWidth="1"/>
    <col min="11270" max="11270" width="14.375" style="717" customWidth="1"/>
    <col min="11271" max="11271" width="11.125" style="717" customWidth="1"/>
    <col min="11272" max="11272" width="10.75" style="717" customWidth="1"/>
    <col min="11273" max="11273" width="11" style="717" customWidth="1"/>
    <col min="11274" max="11520" width="9" style="717"/>
    <col min="11521" max="11521" width="5.75" style="717" bestFit="1" customWidth="1"/>
    <col min="11522" max="11522" width="38.125" style="717" customWidth="1"/>
    <col min="11523" max="11523" width="9.625" style="717" customWidth="1"/>
    <col min="11524" max="11524" width="11.25" style="717" customWidth="1"/>
    <col min="11525" max="11525" width="10.625" style="717" customWidth="1"/>
    <col min="11526" max="11526" width="14.375" style="717" customWidth="1"/>
    <col min="11527" max="11527" width="11.125" style="717" customWidth="1"/>
    <col min="11528" max="11528" width="10.75" style="717" customWidth="1"/>
    <col min="11529" max="11529" width="11" style="717" customWidth="1"/>
    <col min="11530" max="11776" width="9" style="717"/>
    <col min="11777" max="11777" width="5.75" style="717" bestFit="1" customWidth="1"/>
    <col min="11778" max="11778" width="38.125" style="717" customWidth="1"/>
    <col min="11779" max="11779" width="9.625" style="717" customWidth="1"/>
    <col min="11780" max="11780" width="11.25" style="717" customWidth="1"/>
    <col min="11781" max="11781" width="10.625" style="717" customWidth="1"/>
    <col min="11782" max="11782" width="14.375" style="717" customWidth="1"/>
    <col min="11783" max="11783" width="11.125" style="717" customWidth="1"/>
    <col min="11784" max="11784" width="10.75" style="717" customWidth="1"/>
    <col min="11785" max="11785" width="11" style="717" customWidth="1"/>
    <col min="11786" max="12032" width="9" style="717"/>
    <col min="12033" max="12033" width="5.75" style="717" bestFit="1" customWidth="1"/>
    <col min="12034" max="12034" width="38.125" style="717" customWidth="1"/>
    <col min="12035" max="12035" width="9.625" style="717" customWidth="1"/>
    <col min="12036" max="12036" width="11.25" style="717" customWidth="1"/>
    <col min="12037" max="12037" width="10.625" style="717" customWidth="1"/>
    <col min="12038" max="12038" width="14.375" style="717" customWidth="1"/>
    <col min="12039" max="12039" width="11.125" style="717" customWidth="1"/>
    <col min="12040" max="12040" width="10.75" style="717" customWidth="1"/>
    <col min="12041" max="12041" width="11" style="717" customWidth="1"/>
    <col min="12042" max="12288" width="9" style="717"/>
    <col min="12289" max="12289" width="5.75" style="717" bestFit="1" customWidth="1"/>
    <col min="12290" max="12290" width="38.125" style="717" customWidth="1"/>
    <col min="12291" max="12291" width="9.625" style="717" customWidth="1"/>
    <col min="12292" max="12292" width="11.25" style="717" customWidth="1"/>
    <col min="12293" max="12293" width="10.625" style="717" customWidth="1"/>
    <col min="12294" max="12294" width="14.375" style="717" customWidth="1"/>
    <col min="12295" max="12295" width="11.125" style="717" customWidth="1"/>
    <col min="12296" max="12296" width="10.75" style="717" customWidth="1"/>
    <col min="12297" max="12297" width="11" style="717" customWidth="1"/>
    <col min="12298" max="12544" width="9" style="717"/>
    <col min="12545" max="12545" width="5.75" style="717" bestFit="1" customWidth="1"/>
    <col min="12546" max="12546" width="38.125" style="717" customWidth="1"/>
    <col min="12547" max="12547" width="9.625" style="717" customWidth="1"/>
    <col min="12548" max="12548" width="11.25" style="717" customWidth="1"/>
    <col min="12549" max="12549" width="10.625" style="717" customWidth="1"/>
    <col min="12550" max="12550" width="14.375" style="717" customWidth="1"/>
    <col min="12551" max="12551" width="11.125" style="717" customWidth="1"/>
    <col min="12552" max="12552" width="10.75" style="717" customWidth="1"/>
    <col min="12553" max="12553" width="11" style="717" customWidth="1"/>
    <col min="12554" max="12800" width="9" style="717"/>
    <col min="12801" max="12801" width="5.75" style="717" bestFit="1" customWidth="1"/>
    <col min="12802" max="12802" width="38.125" style="717" customWidth="1"/>
    <col min="12803" max="12803" width="9.625" style="717" customWidth="1"/>
    <col min="12804" max="12804" width="11.25" style="717" customWidth="1"/>
    <col min="12805" max="12805" width="10.625" style="717" customWidth="1"/>
    <col min="12806" max="12806" width="14.375" style="717" customWidth="1"/>
    <col min="12807" max="12807" width="11.125" style="717" customWidth="1"/>
    <col min="12808" max="12808" width="10.75" style="717" customWidth="1"/>
    <col min="12809" max="12809" width="11" style="717" customWidth="1"/>
    <col min="12810" max="13056" width="9" style="717"/>
    <col min="13057" max="13057" width="5.75" style="717" bestFit="1" customWidth="1"/>
    <col min="13058" max="13058" width="38.125" style="717" customWidth="1"/>
    <col min="13059" max="13059" width="9.625" style="717" customWidth="1"/>
    <col min="13060" max="13060" width="11.25" style="717" customWidth="1"/>
    <col min="13061" max="13061" width="10.625" style="717" customWidth="1"/>
    <col min="13062" max="13062" width="14.375" style="717" customWidth="1"/>
    <col min="13063" max="13063" width="11.125" style="717" customWidth="1"/>
    <col min="13064" max="13064" width="10.75" style="717" customWidth="1"/>
    <col min="13065" max="13065" width="11" style="717" customWidth="1"/>
    <col min="13066" max="13312" width="9" style="717"/>
    <col min="13313" max="13313" width="5.75" style="717" bestFit="1" customWidth="1"/>
    <col min="13314" max="13314" width="38.125" style="717" customWidth="1"/>
    <col min="13315" max="13315" width="9.625" style="717" customWidth="1"/>
    <col min="13316" max="13316" width="11.25" style="717" customWidth="1"/>
    <col min="13317" max="13317" width="10.625" style="717" customWidth="1"/>
    <col min="13318" max="13318" width="14.375" style="717" customWidth="1"/>
    <col min="13319" max="13319" width="11.125" style="717" customWidth="1"/>
    <col min="13320" max="13320" width="10.75" style="717" customWidth="1"/>
    <col min="13321" max="13321" width="11" style="717" customWidth="1"/>
    <col min="13322" max="13568" width="9" style="717"/>
    <col min="13569" max="13569" width="5.75" style="717" bestFit="1" customWidth="1"/>
    <col min="13570" max="13570" width="38.125" style="717" customWidth="1"/>
    <col min="13571" max="13571" width="9.625" style="717" customWidth="1"/>
    <col min="13572" max="13572" width="11.25" style="717" customWidth="1"/>
    <col min="13573" max="13573" width="10.625" style="717" customWidth="1"/>
    <col min="13574" max="13574" width="14.375" style="717" customWidth="1"/>
    <col min="13575" max="13575" width="11.125" style="717" customWidth="1"/>
    <col min="13576" max="13576" width="10.75" style="717" customWidth="1"/>
    <col min="13577" max="13577" width="11" style="717" customWidth="1"/>
    <col min="13578" max="13824" width="9" style="717"/>
    <col min="13825" max="13825" width="5.75" style="717" bestFit="1" customWidth="1"/>
    <col min="13826" max="13826" width="38.125" style="717" customWidth="1"/>
    <col min="13827" max="13827" width="9.625" style="717" customWidth="1"/>
    <col min="13828" max="13828" width="11.25" style="717" customWidth="1"/>
    <col min="13829" max="13829" width="10.625" style="717" customWidth="1"/>
    <col min="13830" max="13830" width="14.375" style="717" customWidth="1"/>
    <col min="13831" max="13831" width="11.125" style="717" customWidth="1"/>
    <col min="13832" max="13832" width="10.75" style="717" customWidth="1"/>
    <col min="13833" max="13833" width="11" style="717" customWidth="1"/>
    <col min="13834" max="14080" width="9" style="717"/>
    <col min="14081" max="14081" width="5.75" style="717" bestFit="1" customWidth="1"/>
    <col min="14082" max="14082" width="38.125" style="717" customWidth="1"/>
    <col min="14083" max="14083" width="9.625" style="717" customWidth="1"/>
    <col min="14084" max="14084" width="11.25" style="717" customWidth="1"/>
    <col min="14085" max="14085" width="10.625" style="717" customWidth="1"/>
    <col min="14086" max="14086" width="14.375" style="717" customWidth="1"/>
    <col min="14087" max="14087" width="11.125" style="717" customWidth="1"/>
    <col min="14088" max="14088" width="10.75" style="717" customWidth="1"/>
    <col min="14089" max="14089" width="11" style="717" customWidth="1"/>
    <col min="14090" max="14336" width="9" style="717"/>
    <col min="14337" max="14337" width="5.75" style="717" bestFit="1" customWidth="1"/>
    <col min="14338" max="14338" width="38.125" style="717" customWidth="1"/>
    <col min="14339" max="14339" width="9.625" style="717" customWidth="1"/>
    <col min="14340" max="14340" width="11.25" style="717" customWidth="1"/>
    <col min="14341" max="14341" width="10.625" style="717" customWidth="1"/>
    <col min="14342" max="14342" width="14.375" style="717" customWidth="1"/>
    <col min="14343" max="14343" width="11.125" style="717" customWidth="1"/>
    <col min="14344" max="14344" width="10.75" style="717" customWidth="1"/>
    <col min="14345" max="14345" width="11" style="717" customWidth="1"/>
    <col min="14346" max="14592" width="9" style="717"/>
    <col min="14593" max="14593" width="5.75" style="717" bestFit="1" customWidth="1"/>
    <col min="14594" max="14594" width="38.125" style="717" customWidth="1"/>
    <col min="14595" max="14595" width="9.625" style="717" customWidth="1"/>
    <col min="14596" max="14596" width="11.25" style="717" customWidth="1"/>
    <col min="14597" max="14597" width="10.625" style="717" customWidth="1"/>
    <col min="14598" max="14598" width="14.375" style="717" customWidth="1"/>
    <col min="14599" max="14599" width="11.125" style="717" customWidth="1"/>
    <col min="14600" max="14600" width="10.75" style="717" customWidth="1"/>
    <col min="14601" max="14601" width="11" style="717" customWidth="1"/>
    <col min="14602" max="14848" width="9" style="717"/>
    <col min="14849" max="14849" width="5.75" style="717" bestFit="1" customWidth="1"/>
    <col min="14850" max="14850" width="38.125" style="717" customWidth="1"/>
    <col min="14851" max="14851" width="9.625" style="717" customWidth="1"/>
    <col min="14852" max="14852" width="11.25" style="717" customWidth="1"/>
    <col min="14853" max="14853" width="10.625" style="717" customWidth="1"/>
    <col min="14854" max="14854" width="14.375" style="717" customWidth="1"/>
    <col min="14855" max="14855" width="11.125" style="717" customWidth="1"/>
    <col min="14856" max="14856" width="10.75" style="717" customWidth="1"/>
    <col min="14857" max="14857" width="11" style="717" customWidth="1"/>
    <col min="14858" max="15104" width="9" style="717"/>
    <col min="15105" max="15105" width="5.75" style="717" bestFit="1" customWidth="1"/>
    <col min="15106" max="15106" width="38.125" style="717" customWidth="1"/>
    <col min="15107" max="15107" width="9.625" style="717" customWidth="1"/>
    <col min="15108" max="15108" width="11.25" style="717" customWidth="1"/>
    <col min="15109" max="15109" width="10.625" style="717" customWidth="1"/>
    <col min="15110" max="15110" width="14.375" style="717" customWidth="1"/>
    <col min="15111" max="15111" width="11.125" style="717" customWidth="1"/>
    <col min="15112" max="15112" width="10.75" style="717" customWidth="1"/>
    <col min="15113" max="15113" width="11" style="717" customWidth="1"/>
    <col min="15114" max="15360" width="9" style="717"/>
    <col min="15361" max="15361" width="5.75" style="717" bestFit="1" customWidth="1"/>
    <col min="15362" max="15362" width="38.125" style="717" customWidth="1"/>
    <col min="15363" max="15363" width="9.625" style="717" customWidth="1"/>
    <col min="15364" max="15364" width="11.25" style="717" customWidth="1"/>
    <col min="15365" max="15365" width="10.625" style="717" customWidth="1"/>
    <col min="15366" max="15366" width="14.375" style="717" customWidth="1"/>
    <col min="15367" max="15367" width="11.125" style="717" customWidth="1"/>
    <col min="15368" max="15368" width="10.75" style="717" customWidth="1"/>
    <col min="15369" max="15369" width="11" style="717" customWidth="1"/>
    <col min="15370" max="15616" width="9" style="717"/>
    <col min="15617" max="15617" width="5.75" style="717" bestFit="1" customWidth="1"/>
    <col min="15618" max="15618" width="38.125" style="717" customWidth="1"/>
    <col min="15619" max="15619" width="9.625" style="717" customWidth="1"/>
    <col min="15620" max="15620" width="11.25" style="717" customWidth="1"/>
    <col min="15621" max="15621" width="10.625" style="717" customWidth="1"/>
    <col min="15622" max="15622" width="14.375" style="717" customWidth="1"/>
    <col min="15623" max="15623" width="11.125" style="717" customWidth="1"/>
    <col min="15624" max="15624" width="10.75" style="717" customWidth="1"/>
    <col min="15625" max="15625" width="11" style="717" customWidth="1"/>
    <col min="15626" max="15872" width="9" style="717"/>
    <col min="15873" max="15873" width="5.75" style="717" bestFit="1" customWidth="1"/>
    <col min="15874" max="15874" width="38.125" style="717" customWidth="1"/>
    <col min="15875" max="15875" width="9.625" style="717" customWidth="1"/>
    <col min="15876" max="15876" width="11.25" style="717" customWidth="1"/>
    <col min="15877" max="15877" width="10.625" style="717" customWidth="1"/>
    <col min="15878" max="15878" width="14.375" style="717" customWidth="1"/>
    <col min="15879" max="15879" width="11.125" style="717" customWidth="1"/>
    <col min="15880" max="15880" width="10.75" style="717" customWidth="1"/>
    <col min="15881" max="15881" width="11" style="717" customWidth="1"/>
    <col min="15882" max="16128" width="9" style="717"/>
    <col min="16129" max="16129" width="5.75" style="717" bestFit="1" customWidth="1"/>
    <col min="16130" max="16130" width="38.125" style="717" customWidth="1"/>
    <col min="16131" max="16131" width="9.625" style="717" customWidth="1"/>
    <col min="16132" max="16132" width="11.25" style="717" customWidth="1"/>
    <col min="16133" max="16133" width="10.625" style="717" customWidth="1"/>
    <col min="16134" max="16134" width="14.375" style="717" customWidth="1"/>
    <col min="16135" max="16135" width="11.125" style="717" customWidth="1"/>
    <col min="16136" max="16136" width="10.75" style="717" customWidth="1"/>
    <col min="16137" max="16137" width="11" style="717" customWidth="1"/>
    <col min="16138" max="16384" width="9" style="717"/>
  </cols>
  <sheetData>
    <row r="1" spans="1:9" ht="27" customHeight="1" x14ac:dyDescent="0.3">
      <c r="A1" s="711"/>
    </row>
    <row r="2" spans="1:9" ht="27" customHeight="1" x14ac:dyDescent="0.3">
      <c r="A2" s="965" t="s">
        <v>902</v>
      </c>
      <c r="B2" s="965"/>
      <c r="C2" s="965"/>
      <c r="D2" s="965"/>
      <c r="E2" s="965"/>
      <c r="F2" s="965"/>
      <c r="G2" s="965"/>
      <c r="H2" s="965"/>
      <c r="I2" s="965"/>
    </row>
    <row r="3" spans="1:9" ht="27" customHeight="1" x14ac:dyDescent="0.3">
      <c r="A3" s="966" t="s">
        <v>396</v>
      </c>
      <c r="B3" s="966" t="s">
        <v>84</v>
      </c>
      <c r="C3" s="966" t="s">
        <v>903</v>
      </c>
      <c r="D3" s="966" t="s">
        <v>551</v>
      </c>
      <c r="E3" s="966"/>
      <c r="F3" s="966" t="s">
        <v>837</v>
      </c>
      <c r="G3" s="966"/>
      <c r="H3" s="966" t="s">
        <v>953</v>
      </c>
      <c r="I3" s="966" t="s">
        <v>954</v>
      </c>
    </row>
    <row r="4" spans="1:9" ht="52.5" customHeight="1" x14ac:dyDescent="0.3">
      <c r="A4" s="966"/>
      <c r="B4" s="966"/>
      <c r="C4" s="966"/>
      <c r="D4" s="718" t="s">
        <v>904</v>
      </c>
      <c r="E4" s="718" t="s">
        <v>905</v>
      </c>
      <c r="F4" s="718" t="s">
        <v>904</v>
      </c>
      <c r="G4" s="718" t="s">
        <v>905</v>
      </c>
      <c r="H4" s="966"/>
      <c r="I4" s="966"/>
    </row>
    <row r="5" spans="1:9" ht="45.75" customHeight="1" x14ac:dyDescent="0.3">
      <c r="A5" s="719">
        <v>1</v>
      </c>
      <c r="B5" s="720" t="s">
        <v>906</v>
      </c>
      <c r="C5" s="721" t="s">
        <v>907</v>
      </c>
      <c r="D5" s="722">
        <v>63985</v>
      </c>
      <c r="E5" s="722">
        <v>61332</v>
      </c>
      <c r="F5" s="722" t="s">
        <v>955</v>
      </c>
      <c r="G5" s="722">
        <v>67381</v>
      </c>
      <c r="H5" s="723">
        <v>74519</v>
      </c>
      <c r="I5" s="723">
        <v>79617</v>
      </c>
    </row>
    <row r="6" spans="1:9" ht="42" customHeight="1" x14ac:dyDescent="0.3">
      <c r="A6" s="713">
        <v>2</v>
      </c>
      <c r="B6" s="714" t="s">
        <v>908</v>
      </c>
      <c r="C6" s="715" t="s">
        <v>896</v>
      </c>
      <c r="D6" s="724">
        <v>13.923261817858105</v>
      </c>
      <c r="E6" s="724">
        <v>9.1996795157126314</v>
      </c>
      <c r="F6" s="725" t="s">
        <v>956</v>
      </c>
      <c r="G6" s="724">
        <v>9.8627144068349253</v>
      </c>
      <c r="H6" s="726">
        <v>10.593490746649664</v>
      </c>
      <c r="I6" s="726">
        <v>6.8412082824514471</v>
      </c>
    </row>
    <row r="7" spans="1:9" ht="27" customHeight="1" x14ac:dyDescent="0.3">
      <c r="A7" s="713">
        <v>3</v>
      </c>
      <c r="B7" s="714" t="s">
        <v>909</v>
      </c>
      <c r="C7" s="715"/>
      <c r="D7" s="727"/>
      <c r="E7" s="727"/>
      <c r="F7" s="727"/>
      <c r="G7" s="727"/>
      <c r="H7" s="727"/>
      <c r="I7" s="727"/>
    </row>
    <row r="8" spans="1:9" ht="27" customHeight="1" x14ac:dyDescent="0.3">
      <c r="A8" s="713" t="s">
        <v>449</v>
      </c>
      <c r="B8" s="728" t="s">
        <v>910</v>
      </c>
      <c r="C8" s="715" t="s">
        <v>896</v>
      </c>
      <c r="D8" s="724">
        <v>34.700000000000003</v>
      </c>
      <c r="E8" s="724">
        <v>35.729999999999997</v>
      </c>
      <c r="F8" s="725" t="s">
        <v>957</v>
      </c>
      <c r="G8" s="724">
        <v>35.130000000000003</v>
      </c>
      <c r="H8" s="729">
        <v>33.549999999999997</v>
      </c>
      <c r="I8" s="730" t="s">
        <v>449</v>
      </c>
    </row>
    <row r="9" spans="1:9" ht="27" customHeight="1" x14ac:dyDescent="0.3">
      <c r="A9" s="713" t="s">
        <v>449</v>
      </c>
      <c r="B9" s="728" t="s">
        <v>911</v>
      </c>
      <c r="C9" s="715" t="s">
        <v>896</v>
      </c>
      <c r="D9" s="724">
        <v>23</v>
      </c>
      <c r="E9" s="724">
        <v>23.26</v>
      </c>
      <c r="F9" s="725" t="s">
        <v>958</v>
      </c>
      <c r="G9" s="724">
        <v>24.35</v>
      </c>
      <c r="H9" s="729">
        <v>25.73</v>
      </c>
      <c r="I9" s="730" t="s">
        <v>449</v>
      </c>
    </row>
    <row r="10" spans="1:9" ht="27" customHeight="1" x14ac:dyDescent="0.3">
      <c r="A10" s="713" t="s">
        <v>449</v>
      </c>
      <c r="B10" s="728" t="s">
        <v>912</v>
      </c>
      <c r="C10" s="715" t="s">
        <v>896</v>
      </c>
      <c r="D10" s="724">
        <v>42.3</v>
      </c>
      <c r="E10" s="724">
        <v>41.01</v>
      </c>
      <c r="F10" s="725" t="s">
        <v>959</v>
      </c>
      <c r="G10" s="724">
        <v>40.51</v>
      </c>
      <c r="H10" s="731">
        <v>40.78</v>
      </c>
      <c r="I10" s="732" t="s">
        <v>449</v>
      </c>
    </row>
    <row r="11" spans="1:9" ht="27" customHeight="1" x14ac:dyDescent="0.3">
      <c r="A11" s="713">
        <v>4</v>
      </c>
      <c r="B11" s="714" t="s">
        <v>913</v>
      </c>
      <c r="C11" s="715" t="s">
        <v>896</v>
      </c>
      <c r="D11" s="727"/>
      <c r="E11" s="727"/>
      <c r="F11" s="727"/>
      <c r="G11" s="727"/>
      <c r="H11" s="727"/>
      <c r="I11" s="727"/>
    </row>
    <row r="12" spans="1:9" ht="33" x14ac:dyDescent="0.3">
      <c r="A12" s="713">
        <v>5</v>
      </c>
      <c r="B12" s="714" t="s">
        <v>914</v>
      </c>
      <c r="C12" s="715" t="s">
        <v>907</v>
      </c>
      <c r="D12" s="727">
        <v>16316</v>
      </c>
      <c r="E12" s="727">
        <v>16741</v>
      </c>
      <c r="F12" s="733" t="s">
        <v>960</v>
      </c>
      <c r="G12" s="727">
        <v>15913</v>
      </c>
      <c r="H12" s="727">
        <v>17950</v>
      </c>
      <c r="I12" s="727">
        <v>20193</v>
      </c>
    </row>
    <row r="13" spans="1:9" ht="27" customHeight="1" x14ac:dyDescent="0.3">
      <c r="A13" s="713"/>
      <c r="B13" s="728" t="s">
        <v>915</v>
      </c>
      <c r="C13" s="715" t="s">
        <v>896</v>
      </c>
      <c r="D13" s="726">
        <v>25.499726498398061</v>
      </c>
      <c r="E13" s="724">
        <v>26.8</v>
      </c>
      <c r="F13" s="734">
        <v>26.5</v>
      </c>
      <c r="G13" s="724">
        <v>23.616449741024915</v>
      </c>
      <c r="H13" s="724">
        <v>24.087816530012478</v>
      </c>
      <c r="I13" s="724">
        <v>25.362673800821433</v>
      </c>
    </row>
    <row r="14" spans="1:9" ht="27" customHeight="1" x14ac:dyDescent="0.3">
      <c r="A14" s="713">
        <v>6</v>
      </c>
      <c r="B14" s="714" t="s">
        <v>916</v>
      </c>
      <c r="C14" s="715" t="s">
        <v>917</v>
      </c>
      <c r="D14" s="727">
        <v>915</v>
      </c>
      <c r="E14" s="727">
        <v>1020</v>
      </c>
      <c r="F14" s="727">
        <v>1030</v>
      </c>
      <c r="G14" s="727">
        <v>1155</v>
      </c>
      <c r="H14" s="727">
        <v>1200</v>
      </c>
      <c r="I14" s="733" t="s">
        <v>449</v>
      </c>
    </row>
    <row r="15" spans="1:9" ht="27" customHeight="1" x14ac:dyDescent="0.3">
      <c r="A15" s="713"/>
      <c r="B15" s="728" t="s">
        <v>918</v>
      </c>
      <c r="C15" s="715" t="s">
        <v>896</v>
      </c>
      <c r="D15" s="724">
        <v>3.8121170864533696</v>
      </c>
      <c r="E15" s="724">
        <v>15.724982981620144</v>
      </c>
      <c r="F15" s="724">
        <v>0.98039215686273451</v>
      </c>
      <c r="G15" s="724">
        <v>13.235294117647058</v>
      </c>
      <c r="H15" s="726">
        <v>3.896103896103881</v>
      </c>
      <c r="I15" s="733" t="s">
        <v>449</v>
      </c>
    </row>
    <row r="16" spans="1:9" ht="27" customHeight="1" x14ac:dyDescent="0.3">
      <c r="A16" s="713">
        <v>7</v>
      </c>
      <c r="B16" s="714" t="s">
        <v>919</v>
      </c>
      <c r="C16" s="715" t="s">
        <v>917</v>
      </c>
      <c r="D16" s="727">
        <v>430</v>
      </c>
      <c r="E16" s="727">
        <v>414.29</v>
      </c>
      <c r="F16" s="727">
        <v>415</v>
      </c>
      <c r="G16" s="727">
        <v>490</v>
      </c>
      <c r="H16" s="727">
        <v>500</v>
      </c>
      <c r="I16" s="733" t="s">
        <v>449</v>
      </c>
    </row>
    <row r="17" spans="1:9" ht="27" customHeight="1" x14ac:dyDescent="0.3">
      <c r="A17" s="713"/>
      <c r="B17" s="728" t="s">
        <v>918</v>
      </c>
      <c r="C17" s="715" t="s">
        <v>896</v>
      </c>
      <c r="D17" s="724">
        <v>6.8986948415164591</v>
      </c>
      <c r="E17" s="724">
        <v>2.9931634555624669</v>
      </c>
      <c r="F17" s="724">
        <v>0.17137753747374518</v>
      </c>
      <c r="G17" s="724">
        <v>18.274638538222021</v>
      </c>
      <c r="H17" s="726">
        <v>2.0408163265306172</v>
      </c>
      <c r="I17" s="733" t="s">
        <v>449</v>
      </c>
    </row>
    <row r="18" spans="1:9" ht="27" customHeight="1" x14ac:dyDescent="0.3">
      <c r="A18" s="713">
        <v>8</v>
      </c>
      <c r="B18" s="714" t="s">
        <v>920</v>
      </c>
      <c r="C18" s="715" t="s">
        <v>921</v>
      </c>
      <c r="D18" s="727">
        <v>1691</v>
      </c>
      <c r="E18" s="727">
        <v>1690</v>
      </c>
      <c r="F18" s="727">
        <v>1693.7</v>
      </c>
      <c r="G18" s="727">
        <v>1693</v>
      </c>
      <c r="H18" s="727">
        <v>1696</v>
      </c>
      <c r="I18" s="727">
        <v>1699</v>
      </c>
    </row>
    <row r="19" spans="1:9" ht="27" customHeight="1" x14ac:dyDescent="0.3">
      <c r="A19" s="713">
        <v>9</v>
      </c>
      <c r="B19" s="714" t="s">
        <v>922</v>
      </c>
      <c r="C19" s="715" t="s">
        <v>83</v>
      </c>
      <c r="D19" s="724">
        <v>37.799999999999997</v>
      </c>
      <c r="E19" s="724">
        <v>36.28</v>
      </c>
      <c r="F19" s="724" t="s">
        <v>961</v>
      </c>
      <c r="G19" s="724">
        <v>39.79</v>
      </c>
      <c r="H19" s="724">
        <v>43.93</v>
      </c>
      <c r="I19" s="724">
        <v>48.77</v>
      </c>
    </row>
    <row r="20" spans="1:9" ht="27" customHeight="1" x14ac:dyDescent="0.3">
      <c r="A20" s="713">
        <v>10</v>
      </c>
      <c r="B20" s="714" t="s">
        <v>923</v>
      </c>
      <c r="C20" s="715" t="s">
        <v>896</v>
      </c>
      <c r="D20" s="726">
        <v>1.5</v>
      </c>
      <c r="E20" s="724">
        <v>2.0299999999999998</v>
      </c>
      <c r="F20" s="726">
        <v>1.5</v>
      </c>
      <c r="G20" s="726">
        <v>1.5</v>
      </c>
      <c r="H20" s="726">
        <v>1</v>
      </c>
      <c r="I20" s="735" t="s">
        <v>962</v>
      </c>
    </row>
    <row r="21" spans="1:9" ht="27" customHeight="1" x14ac:dyDescent="0.3">
      <c r="A21" s="713">
        <v>11</v>
      </c>
      <c r="B21" s="714" t="s">
        <v>924</v>
      </c>
      <c r="C21" s="715" t="s">
        <v>896</v>
      </c>
      <c r="D21" s="724">
        <v>6.65</v>
      </c>
      <c r="E21" s="724">
        <v>6.62</v>
      </c>
      <c r="F21" s="724">
        <v>5.12</v>
      </c>
      <c r="G21" s="724">
        <f>'[2]Tong hop'!K109</f>
        <v>4.6100000000000003</v>
      </c>
      <c r="H21" s="724">
        <f>'[2]Tong hop'!L109</f>
        <v>3.61</v>
      </c>
      <c r="I21" s="727"/>
    </row>
    <row r="22" spans="1:9" ht="27" customHeight="1" x14ac:dyDescent="0.3">
      <c r="A22" s="713">
        <v>12</v>
      </c>
      <c r="B22" s="714" t="s">
        <v>925</v>
      </c>
      <c r="C22" s="715"/>
      <c r="D22" s="727"/>
      <c r="E22" s="727"/>
      <c r="F22" s="727"/>
      <c r="G22" s="727"/>
      <c r="H22" s="727"/>
      <c r="I22" s="727"/>
    </row>
    <row r="23" spans="1:9" ht="27" customHeight="1" x14ac:dyDescent="0.3">
      <c r="A23" s="713"/>
      <c r="B23" s="736" t="s">
        <v>926</v>
      </c>
      <c r="C23" s="715" t="s">
        <v>927</v>
      </c>
      <c r="D23" s="727">
        <v>18304</v>
      </c>
      <c r="E23" s="727">
        <v>17411</v>
      </c>
      <c r="F23" s="727">
        <v>17820</v>
      </c>
      <c r="G23" s="727">
        <f>'[2]Tong hop'!K154</f>
        <v>17662</v>
      </c>
      <c r="H23" s="727">
        <f>'[2]Tong hop'!L154</f>
        <v>11741</v>
      </c>
      <c r="I23" s="727"/>
    </row>
    <row r="24" spans="1:9" ht="27" customHeight="1" x14ac:dyDescent="0.3">
      <c r="A24" s="713"/>
      <c r="B24" s="714" t="s">
        <v>928</v>
      </c>
      <c r="C24" s="715" t="s">
        <v>927</v>
      </c>
      <c r="D24" s="727">
        <v>342628</v>
      </c>
      <c r="E24" s="727">
        <v>339010</v>
      </c>
      <c r="F24" s="727">
        <v>340210</v>
      </c>
      <c r="G24" s="727">
        <f>'[2]Tong hop'!K164</f>
        <v>335864</v>
      </c>
      <c r="H24" s="727">
        <f>'[2]Tong hop'!L164</f>
        <v>333861</v>
      </c>
      <c r="I24" s="727"/>
    </row>
    <row r="25" spans="1:9" s="737" customFormat="1" ht="27" hidden="1" customHeight="1" x14ac:dyDescent="0.3">
      <c r="A25" s="713"/>
      <c r="B25" s="714" t="s">
        <v>164</v>
      </c>
      <c r="C25" s="715"/>
      <c r="D25" s="727"/>
      <c r="E25" s="727"/>
      <c r="F25" s="727"/>
      <c r="G25" s="727"/>
      <c r="H25" s="727"/>
      <c r="I25" s="727"/>
    </row>
    <row r="26" spans="1:9" s="737" customFormat="1" ht="27" hidden="1" customHeight="1" x14ac:dyDescent="0.3">
      <c r="A26" s="713"/>
      <c r="B26" s="714" t="s">
        <v>929</v>
      </c>
      <c r="C26" s="715" t="s">
        <v>927</v>
      </c>
      <c r="D26" s="727"/>
      <c r="E26" s="727"/>
      <c r="F26" s="727"/>
      <c r="G26" s="727"/>
      <c r="H26" s="727"/>
      <c r="I26" s="727"/>
    </row>
    <row r="27" spans="1:9" s="737" customFormat="1" ht="27" hidden="1" customHeight="1" x14ac:dyDescent="0.3">
      <c r="A27" s="713"/>
      <c r="B27" s="714" t="s">
        <v>930</v>
      </c>
      <c r="C27" s="715" t="s">
        <v>927</v>
      </c>
      <c r="D27" s="727"/>
      <c r="E27" s="727"/>
      <c r="F27" s="727"/>
      <c r="G27" s="727"/>
      <c r="H27" s="727"/>
      <c r="I27" s="727"/>
    </row>
    <row r="28" spans="1:9" s="737" customFormat="1" ht="45" hidden="1" customHeight="1" x14ac:dyDescent="0.3">
      <c r="A28" s="713"/>
      <c r="B28" s="714" t="s">
        <v>931</v>
      </c>
      <c r="C28" s="715" t="s">
        <v>927</v>
      </c>
      <c r="D28" s="727"/>
      <c r="E28" s="727"/>
      <c r="F28" s="727"/>
      <c r="G28" s="727"/>
      <c r="H28" s="727"/>
      <c r="I28" s="727"/>
    </row>
    <row r="29" spans="1:9" s="737" customFormat="1" ht="48.75" hidden="1" customHeight="1" x14ac:dyDescent="0.3">
      <c r="A29" s="713"/>
      <c r="B29" s="714" t="s">
        <v>932</v>
      </c>
      <c r="C29" s="715" t="s">
        <v>933</v>
      </c>
      <c r="D29" s="727"/>
      <c r="E29" s="727"/>
      <c r="F29" s="727"/>
      <c r="G29" s="727"/>
      <c r="H29" s="727"/>
      <c r="I29" s="727"/>
    </row>
    <row r="30" spans="1:9" ht="27" customHeight="1" x14ac:dyDescent="0.3">
      <c r="A30" s="713">
        <v>13</v>
      </c>
      <c r="B30" s="714" t="s">
        <v>934</v>
      </c>
      <c r="C30" s="715"/>
      <c r="D30" s="727"/>
      <c r="E30" s="727"/>
      <c r="F30" s="727"/>
      <c r="G30" s="727"/>
      <c r="H30" s="727"/>
      <c r="I30" s="727"/>
    </row>
    <row r="31" spans="1:9" ht="27" customHeight="1" x14ac:dyDescent="0.3">
      <c r="A31" s="713"/>
      <c r="B31" s="714" t="s">
        <v>935</v>
      </c>
      <c r="C31" s="715" t="s">
        <v>936</v>
      </c>
      <c r="D31" s="727">
        <v>395</v>
      </c>
      <c r="E31" s="727">
        <v>395</v>
      </c>
      <c r="F31" s="727">
        <v>396</v>
      </c>
      <c r="G31" s="727">
        <f>'[2]Tong hop'!K220</f>
        <v>173</v>
      </c>
      <c r="H31" s="727">
        <f>'[2]Tong hop'!L220</f>
        <v>173</v>
      </c>
      <c r="I31" s="727">
        <v>173</v>
      </c>
    </row>
    <row r="32" spans="1:9" ht="27" customHeight="1" x14ac:dyDescent="0.3">
      <c r="A32" s="713"/>
      <c r="B32" s="714" t="s">
        <v>937</v>
      </c>
      <c r="C32" s="715" t="s">
        <v>938</v>
      </c>
      <c r="D32" s="727">
        <v>5003</v>
      </c>
      <c r="E32" s="727">
        <v>5023</v>
      </c>
      <c r="F32" s="727">
        <v>5123</v>
      </c>
      <c r="G32" s="727">
        <f>'[2]Tong hop'!K223</f>
        <v>4977</v>
      </c>
      <c r="H32" s="727">
        <f>'[2]Tong hop'!L223</f>
        <v>5027</v>
      </c>
      <c r="I32" s="727">
        <v>5027</v>
      </c>
    </row>
    <row r="33" spans="1:9" ht="27" customHeight="1" x14ac:dyDescent="0.3">
      <c r="A33" s="713"/>
      <c r="B33" s="714" t="s">
        <v>164</v>
      </c>
      <c r="C33" s="715"/>
      <c r="D33" s="727"/>
      <c r="E33" s="727"/>
      <c r="F33" s="727"/>
      <c r="G33" s="727"/>
      <c r="H33" s="727"/>
      <c r="I33" s="727"/>
    </row>
    <row r="34" spans="1:9" ht="27" customHeight="1" x14ac:dyDescent="0.3">
      <c r="A34" s="713"/>
      <c r="B34" s="714" t="s">
        <v>939</v>
      </c>
      <c r="C34" s="715" t="s">
        <v>938</v>
      </c>
      <c r="D34" s="727">
        <v>2760</v>
      </c>
      <c r="E34" s="727">
        <v>2780</v>
      </c>
      <c r="F34" s="727">
        <v>2860</v>
      </c>
      <c r="G34" s="727">
        <f>'[2]Tong hop'!K225</f>
        <v>2742</v>
      </c>
      <c r="H34" s="727">
        <f>'[2]Tong hop'!L225</f>
        <v>2770</v>
      </c>
      <c r="I34" s="727">
        <v>2770</v>
      </c>
    </row>
    <row r="35" spans="1:9" ht="27" customHeight="1" x14ac:dyDescent="0.3">
      <c r="A35" s="713"/>
      <c r="B35" s="714" t="s">
        <v>940</v>
      </c>
      <c r="C35" s="715" t="s">
        <v>938</v>
      </c>
      <c r="D35" s="727">
        <v>1120</v>
      </c>
      <c r="E35" s="727">
        <v>1120</v>
      </c>
      <c r="F35" s="727">
        <v>1140</v>
      </c>
      <c r="G35" s="727">
        <f>'[2]Tong hop'!K226</f>
        <v>1313</v>
      </c>
      <c r="H35" s="727">
        <f>'[2]Tong hop'!L226</f>
        <v>1122</v>
      </c>
      <c r="I35" s="727">
        <v>1122</v>
      </c>
    </row>
    <row r="36" spans="1:9" ht="27" customHeight="1" x14ac:dyDescent="0.3">
      <c r="A36" s="713"/>
      <c r="B36" s="714" t="s">
        <v>941</v>
      </c>
      <c r="C36" s="715" t="s">
        <v>938</v>
      </c>
      <c r="D36" s="727">
        <v>210</v>
      </c>
      <c r="E36" s="727">
        <v>210</v>
      </c>
      <c r="F36" s="727">
        <v>210</v>
      </c>
      <c r="G36" s="727">
        <f>'[2]Tong hop'!K227</f>
        <v>200</v>
      </c>
      <c r="H36" s="727">
        <f>'[2]Tong hop'!L227</f>
        <v>200</v>
      </c>
      <c r="I36" s="727">
        <v>200</v>
      </c>
    </row>
    <row r="37" spans="1:9" ht="27" customHeight="1" x14ac:dyDescent="0.3">
      <c r="A37" s="713"/>
      <c r="B37" s="714" t="s">
        <v>942</v>
      </c>
      <c r="C37" s="715" t="s">
        <v>938</v>
      </c>
      <c r="D37" s="727">
        <v>913</v>
      </c>
      <c r="E37" s="727">
        <v>913</v>
      </c>
      <c r="F37" s="727">
        <v>913</v>
      </c>
      <c r="G37" s="727">
        <f>'[2]Tong hop'!K228</f>
        <v>913</v>
      </c>
      <c r="H37" s="727">
        <f>'[2]Tong hop'!L228</f>
        <v>913</v>
      </c>
      <c r="I37" s="727">
        <v>913</v>
      </c>
    </row>
    <row r="38" spans="1:9" ht="27" customHeight="1" x14ac:dyDescent="0.3">
      <c r="A38" s="713"/>
      <c r="B38" s="714" t="s">
        <v>943</v>
      </c>
      <c r="C38" s="715"/>
      <c r="D38" s="727"/>
      <c r="E38" s="727"/>
      <c r="F38" s="727"/>
      <c r="G38" s="727"/>
      <c r="H38" s="727"/>
      <c r="I38" s="727"/>
    </row>
    <row r="39" spans="1:9" s="739" customFormat="1" ht="27" customHeight="1" x14ac:dyDescent="0.3">
      <c r="A39" s="713"/>
      <c r="B39" s="714" t="s">
        <v>944</v>
      </c>
      <c r="C39" s="715" t="s">
        <v>927</v>
      </c>
      <c r="D39" s="738">
        <v>165743</v>
      </c>
      <c r="E39" s="738">
        <v>165743</v>
      </c>
      <c r="F39" s="738">
        <v>164078</v>
      </c>
      <c r="G39" s="738">
        <v>164078</v>
      </c>
      <c r="H39" s="727">
        <v>174743</v>
      </c>
      <c r="I39" s="727"/>
    </row>
    <row r="40" spans="1:9" ht="27" customHeight="1" x14ac:dyDescent="0.3">
      <c r="A40" s="713"/>
      <c r="B40" s="714" t="s">
        <v>945</v>
      </c>
      <c r="C40" s="715" t="s">
        <v>927</v>
      </c>
      <c r="D40" s="740">
        <v>46354</v>
      </c>
      <c r="E40" s="740">
        <v>46354</v>
      </c>
      <c r="F40" s="740">
        <v>48633</v>
      </c>
      <c r="G40" s="740">
        <v>48633</v>
      </c>
      <c r="H40" s="740">
        <v>52478</v>
      </c>
      <c r="I40" s="727"/>
    </row>
    <row r="41" spans="1:9" ht="27" customHeight="1" x14ac:dyDescent="0.3">
      <c r="A41" s="713"/>
      <c r="B41" s="714" t="s">
        <v>946</v>
      </c>
      <c r="C41" s="715" t="s">
        <v>927</v>
      </c>
      <c r="D41" s="727">
        <v>112989</v>
      </c>
      <c r="E41" s="727">
        <v>112989</v>
      </c>
      <c r="F41" s="727">
        <v>121304</v>
      </c>
      <c r="G41" s="727">
        <v>121304</v>
      </c>
      <c r="H41" s="727">
        <v>123730</v>
      </c>
      <c r="I41" s="727"/>
    </row>
    <row r="42" spans="1:9" ht="53.25" customHeight="1" x14ac:dyDescent="0.3">
      <c r="A42" s="713"/>
      <c r="B42" s="714" t="s">
        <v>947</v>
      </c>
      <c r="C42" s="715" t="s">
        <v>927</v>
      </c>
      <c r="D42" s="727"/>
      <c r="E42" s="727"/>
      <c r="F42" s="727"/>
      <c r="G42" s="727"/>
      <c r="H42" s="727"/>
      <c r="I42" s="727"/>
    </row>
    <row r="43" spans="1:9" ht="27" customHeight="1" x14ac:dyDescent="0.3">
      <c r="A43" s="713"/>
      <c r="B43" s="714" t="s">
        <v>948</v>
      </c>
      <c r="C43" s="715" t="s">
        <v>927</v>
      </c>
      <c r="D43" s="727">
        <v>17</v>
      </c>
      <c r="E43" s="727">
        <v>17</v>
      </c>
      <c r="F43" s="727">
        <v>19</v>
      </c>
      <c r="G43" s="727">
        <v>19</v>
      </c>
      <c r="H43" s="727">
        <v>40</v>
      </c>
      <c r="I43" s="727"/>
    </row>
    <row r="44" spans="1:9" ht="27" customHeight="1" x14ac:dyDescent="0.3">
      <c r="A44" s="713"/>
      <c r="B44" s="714" t="s">
        <v>949</v>
      </c>
      <c r="C44" s="715" t="s">
        <v>927</v>
      </c>
      <c r="D44" s="727">
        <v>229512</v>
      </c>
      <c r="E44" s="727">
        <f>199407+11901+18204</f>
        <v>229512</v>
      </c>
      <c r="F44" s="727">
        <v>230409</v>
      </c>
      <c r="G44" s="727">
        <f>213379+11126+5904</f>
        <v>230409</v>
      </c>
      <c r="H44" s="727">
        <v>253449.9</v>
      </c>
      <c r="I44" s="727"/>
    </row>
    <row r="45" spans="1:9" ht="100.5" customHeight="1" x14ac:dyDescent="0.3">
      <c r="A45" s="713"/>
      <c r="B45" s="714" t="s">
        <v>950</v>
      </c>
      <c r="C45" s="715" t="s">
        <v>927</v>
      </c>
      <c r="D45" s="727">
        <v>16063</v>
      </c>
      <c r="E45" s="727">
        <v>16063</v>
      </c>
      <c r="F45" s="727">
        <v>16362</v>
      </c>
      <c r="G45" s="727">
        <v>16362</v>
      </c>
      <c r="H45" s="727">
        <v>16362</v>
      </c>
      <c r="I45" s="727"/>
    </row>
    <row r="46" spans="1:9" ht="44.25" customHeight="1" x14ac:dyDescent="0.3">
      <c r="A46" s="713"/>
      <c r="B46" s="714" t="s">
        <v>951</v>
      </c>
      <c r="C46" s="715" t="s">
        <v>927</v>
      </c>
      <c r="D46" s="740">
        <f>113422/3</f>
        <v>37807.333333333336</v>
      </c>
      <c r="E46" s="740">
        <f>113422/3</f>
        <v>37807.333333333336</v>
      </c>
      <c r="F46" s="740">
        <v>49959</v>
      </c>
      <c r="G46" s="740">
        <v>49959</v>
      </c>
      <c r="H46" s="740">
        <v>51458</v>
      </c>
      <c r="I46" s="727"/>
    </row>
    <row r="47" spans="1:9" ht="54" customHeight="1" x14ac:dyDescent="0.3">
      <c r="A47" s="741"/>
      <c r="B47" s="742" t="s">
        <v>952</v>
      </c>
      <c r="C47" s="743" t="s">
        <v>927</v>
      </c>
      <c r="D47" s="744"/>
      <c r="E47" s="744">
        <f>778/3</f>
        <v>259.33333333333331</v>
      </c>
      <c r="F47" s="744"/>
      <c r="G47" s="744">
        <v>494</v>
      </c>
      <c r="H47" s="744">
        <v>544</v>
      </c>
      <c r="I47" s="744"/>
    </row>
    <row r="49" spans="5:7" x14ac:dyDescent="0.3">
      <c r="E49" s="745"/>
      <c r="F49" s="745"/>
      <c r="G49" s="745"/>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21" bestFit="1" customWidth="1"/>
    <col min="2" max="2" width="57.25" style="621" customWidth="1"/>
    <col min="3" max="3" width="19.5" style="669" customWidth="1"/>
    <col min="4" max="4" width="13.75" style="621" customWidth="1"/>
    <col min="5" max="5" width="12" style="621" customWidth="1"/>
    <col min="6" max="6" width="12.125" style="621" customWidth="1"/>
    <col min="7" max="7" width="12.875" style="621" bestFit="1" customWidth="1"/>
    <col min="8" max="8" width="12.25" style="621" customWidth="1"/>
    <col min="9" max="16384" width="8.75" style="621"/>
  </cols>
  <sheetData>
    <row r="1" spans="1:9" ht="63" customHeight="1" x14ac:dyDescent="0.3">
      <c r="A1" s="1044" t="s">
        <v>875</v>
      </c>
      <c r="B1" s="1044"/>
      <c r="C1" s="1044"/>
      <c r="D1" s="1044"/>
      <c r="E1" s="1044"/>
      <c r="F1" s="1044"/>
      <c r="G1" s="1044"/>
      <c r="H1" s="1044"/>
    </row>
    <row r="2" spans="1:9" ht="21" hidden="1" customHeight="1" x14ac:dyDescent="0.3">
      <c r="A2" s="622"/>
      <c r="B2" s="622"/>
      <c r="C2" s="623"/>
    </row>
    <row r="3" spans="1:9" ht="17.25" hidden="1" customHeight="1" x14ac:dyDescent="0.3">
      <c r="A3" s="624"/>
      <c r="B3" s="624"/>
      <c r="C3" s="623"/>
    </row>
    <row r="4" spans="1:9" ht="17.25" customHeight="1" x14ac:dyDescent="0.35">
      <c r="B4" s="1047"/>
      <c r="C4" s="1047"/>
      <c r="D4" s="1047"/>
      <c r="E4" s="1047"/>
      <c r="H4" s="625" t="s">
        <v>835</v>
      </c>
      <c r="I4" s="626"/>
    </row>
    <row r="5" spans="1:9" s="627" customFormat="1" x14ac:dyDescent="0.25">
      <c r="A5" s="1048" t="s">
        <v>396</v>
      </c>
      <c r="B5" s="1048" t="s">
        <v>84</v>
      </c>
      <c r="C5" s="1048" t="s">
        <v>836</v>
      </c>
      <c r="D5" s="1048"/>
      <c r="E5" s="1049" t="s">
        <v>876</v>
      </c>
      <c r="F5" s="1049" t="s">
        <v>877</v>
      </c>
      <c r="G5" s="1049" t="s">
        <v>529</v>
      </c>
      <c r="H5" s="1049" t="s">
        <v>718</v>
      </c>
    </row>
    <row r="6" spans="1:9" s="627" customFormat="1" ht="81.75" customHeight="1" x14ac:dyDescent="0.25">
      <c r="A6" s="1048"/>
      <c r="B6" s="1048"/>
      <c r="C6" s="628" t="s">
        <v>838</v>
      </c>
      <c r="D6" s="629" t="s">
        <v>839</v>
      </c>
      <c r="E6" s="1049"/>
      <c r="F6" s="1049"/>
      <c r="G6" s="1049"/>
      <c r="H6" s="1049"/>
    </row>
    <row r="7" spans="1:9" s="627" customFormat="1" x14ac:dyDescent="0.25">
      <c r="A7" s="628"/>
      <c r="B7" s="628"/>
      <c r="C7" s="628">
        <v>1</v>
      </c>
      <c r="D7" s="629">
        <v>2</v>
      </c>
      <c r="E7" s="629">
        <v>3</v>
      </c>
      <c r="F7" s="629" t="s">
        <v>840</v>
      </c>
      <c r="G7" s="629">
        <v>5</v>
      </c>
      <c r="H7" s="629">
        <v>6</v>
      </c>
    </row>
    <row r="8" spans="1:9" s="634" customFormat="1" x14ac:dyDescent="0.25">
      <c r="A8" s="630" t="s">
        <v>279</v>
      </c>
      <c r="B8" s="675" t="s">
        <v>841</v>
      </c>
      <c r="C8" s="631">
        <f>'CĐ NSĐP 2019-2021'!C13*20%</f>
        <v>1012060.8</v>
      </c>
      <c r="D8" s="631">
        <f>'CĐ NSĐP 2019-2021'!D13*20%</f>
        <v>1061000</v>
      </c>
      <c r="E8" s="631">
        <f>'CĐ NSĐP 2019-2021'!E13*20%</f>
        <v>1093316</v>
      </c>
      <c r="F8" s="632">
        <f>E8/D8</f>
        <v>1.0304580584354384</v>
      </c>
      <c r="G8" s="633">
        <f>'CĐ NSĐP 2019-2021'!F13*20%</f>
        <v>1111000</v>
      </c>
      <c r="H8" s="633">
        <f>'CĐ NSĐP 2019-2021'!G13*20%</f>
        <v>1147200</v>
      </c>
    </row>
    <row r="9" spans="1:9" s="634" customFormat="1" ht="18" customHeight="1" x14ac:dyDescent="0.25">
      <c r="A9" s="635" t="s">
        <v>295</v>
      </c>
      <c r="B9" s="676" t="s">
        <v>842</v>
      </c>
      <c r="C9" s="670">
        <v>298040</v>
      </c>
      <c r="D9" s="636">
        <v>298040</v>
      </c>
      <c r="E9" s="636"/>
      <c r="F9" s="637"/>
      <c r="G9" s="636"/>
      <c r="H9" s="636"/>
    </row>
    <row r="10" spans="1:9" s="634" customFormat="1" ht="18" customHeight="1" x14ac:dyDescent="0.25">
      <c r="A10" s="635" t="s">
        <v>299</v>
      </c>
      <c r="B10" s="676" t="s">
        <v>843</v>
      </c>
      <c r="C10" s="670">
        <v>298040</v>
      </c>
      <c r="D10" s="636">
        <v>298040</v>
      </c>
      <c r="E10" s="636"/>
      <c r="F10" s="637"/>
      <c r="G10" s="636"/>
      <c r="H10" s="636"/>
    </row>
    <row r="11" spans="1:9" s="634" customFormat="1" ht="18" customHeight="1" x14ac:dyDescent="0.25">
      <c r="A11" s="638">
        <v>1</v>
      </c>
      <c r="B11" s="677" t="s">
        <v>844</v>
      </c>
      <c r="C11" s="639">
        <f>SUM(C13,C17,C18,C19,C20)</f>
        <v>840579.5</v>
      </c>
      <c r="D11" s="639">
        <f>SUM(D13,D17,D18,D19,D20)</f>
        <v>840579.5</v>
      </c>
      <c r="E11" s="639">
        <f>SUM(E13,E17,E18,E19,E20)</f>
        <v>638715.92111500003</v>
      </c>
      <c r="F11" s="640"/>
      <c r="G11" s="639">
        <f>SUM(G13,G17,G18,G19,G20)</f>
        <v>281812.51533599995</v>
      </c>
      <c r="H11" s="639">
        <f>SUM(H13,H17,H18,H19,H20)</f>
        <v>186484.18200399994</v>
      </c>
    </row>
    <row r="12" spans="1:9" s="627" customFormat="1" ht="18" customHeight="1" x14ac:dyDescent="0.25">
      <c r="A12" s="641"/>
      <c r="B12" s="678" t="s">
        <v>845</v>
      </c>
      <c r="C12" s="642">
        <f>C11/C8%</f>
        <v>83.056225475781687</v>
      </c>
      <c r="D12" s="642">
        <f>D11/D8%</f>
        <v>79.225212064090485</v>
      </c>
      <c r="E12" s="642">
        <f>E11/E8%</f>
        <v>58.42006529813888</v>
      </c>
      <c r="F12" s="643"/>
      <c r="G12" s="642">
        <f>G11/G8%</f>
        <v>25.365662946534648</v>
      </c>
      <c r="H12" s="642">
        <f>H11/H8%</f>
        <v>16.255594665620638</v>
      </c>
    </row>
    <row r="13" spans="1:9" s="634" customFormat="1" ht="18" customHeight="1" x14ac:dyDescent="0.25">
      <c r="A13" s="644">
        <v>1</v>
      </c>
      <c r="B13" s="679" t="s">
        <v>846</v>
      </c>
      <c r="C13" s="636">
        <f>SUM(C14:C16)</f>
        <v>840579.5</v>
      </c>
      <c r="D13" s="636">
        <f>SUM(D14:D16)</f>
        <v>840579.5</v>
      </c>
      <c r="E13" s="636">
        <f>SUM(E14:$E$16)</f>
        <v>638715.92111500003</v>
      </c>
      <c r="F13" s="637"/>
      <c r="G13" s="636">
        <f>SUM(G14:G16)</f>
        <v>281812.51533599995</v>
      </c>
      <c r="H13" s="636">
        <f>SUM(H14:H16)</f>
        <v>186484.18200399994</v>
      </c>
    </row>
    <row r="14" spans="1:9" s="648" customFormat="1" ht="18" customHeight="1" x14ac:dyDescent="0.3">
      <c r="A14" s="645"/>
      <c r="B14" s="680" t="s">
        <v>847</v>
      </c>
      <c r="C14" s="674">
        <f>290208.5+85000-92708-103437</f>
        <v>179063.5</v>
      </c>
      <c r="D14" s="674">
        <f>290208.5+85000-92708-103437</f>
        <v>179063.5</v>
      </c>
      <c r="E14" s="646">
        <f t="shared" ref="E14:E20" si="0">D49</f>
        <v>94896.5</v>
      </c>
      <c r="F14" s="647"/>
      <c r="G14" s="646">
        <f>E49</f>
        <v>34792</v>
      </c>
      <c r="H14" s="646">
        <f>G49</f>
        <v>6250</v>
      </c>
    </row>
    <row r="15" spans="1:9" s="648" customFormat="1" ht="18" customHeight="1" x14ac:dyDescent="0.3">
      <c r="A15" s="645"/>
      <c r="B15" s="681" t="s">
        <v>848</v>
      </c>
      <c r="C15" s="674">
        <f>340936-10000-48888</f>
        <v>282048</v>
      </c>
      <c r="D15" s="674">
        <f>340936-10000-48888</f>
        <v>282048</v>
      </c>
      <c r="E15" s="646">
        <f t="shared" si="0"/>
        <v>230762.75444699998</v>
      </c>
      <c r="F15" s="647"/>
      <c r="G15" s="646">
        <f>E50</f>
        <v>375.18199999997159</v>
      </c>
      <c r="H15" s="646">
        <f>G50</f>
        <v>0.18199999997159466</v>
      </c>
    </row>
    <row r="16" spans="1:9" s="648" customFormat="1" ht="18" customHeight="1" x14ac:dyDescent="0.3">
      <c r="A16" s="645"/>
      <c r="B16" s="681" t="s">
        <v>849</v>
      </c>
      <c r="C16" s="674">
        <f>228000+28008+142460-19000</f>
        <v>379468</v>
      </c>
      <c r="D16" s="674">
        <f>228000+28008+142460-19000</f>
        <v>379468</v>
      </c>
      <c r="E16" s="646">
        <f t="shared" si="0"/>
        <v>313056.66666799999</v>
      </c>
      <c r="F16" s="647"/>
      <c r="G16" s="646">
        <f>E51</f>
        <v>246645.33333599998</v>
      </c>
      <c r="H16" s="646">
        <f>G51</f>
        <v>180234.00000399997</v>
      </c>
    </row>
    <row r="17" spans="1:8" s="634" customFormat="1" x14ac:dyDescent="0.25">
      <c r="A17" s="644">
        <v>2</v>
      </c>
      <c r="B17" s="679" t="s">
        <v>850</v>
      </c>
      <c r="C17" s="636">
        <v>0</v>
      </c>
      <c r="D17" s="636">
        <v>0</v>
      </c>
      <c r="E17" s="636">
        <f t="shared" si="0"/>
        <v>0</v>
      </c>
      <c r="F17" s="637"/>
      <c r="G17" s="636">
        <f t="shared" ref="G17:H20" si="1">F52</f>
        <v>0</v>
      </c>
      <c r="H17" s="636">
        <f t="shared" si="1"/>
        <v>0</v>
      </c>
    </row>
    <row r="18" spans="1:8" s="651" customFormat="1" x14ac:dyDescent="0.3">
      <c r="A18" s="644">
        <v>3</v>
      </c>
      <c r="B18" s="682" t="s">
        <v>851</v>
      </c>
      <c r="C18" s="649">
        <v>0</v>
      </c>
      <c r="D18" s="649">
        <v>0</v>
      </c>
      <c r="E18" s="636">
        <f t="shared" si="0"/>
        <v>0</v>
      </c>
      <c r="F18" s="650"/>
      <c r="G18" s="636">
        <f t="shared" si="1"/>
        <v>0</v>
      </c>
      <c r="H18" s="636">
        <f t="shared" si="1"/>
        <v>0</v>
      </c>
    </row>
    <row r="19" spans="1:8" s="651" customFormat="1" x14ac:dyDescent="0.3">
      <c r="A19" s="644">
        <v>4</v>
      </c>
      <c r="B19" s="682" t="s">
        <v>852</v>
      </c>
      <c r="C19" s="649">
        <v>0</v>
      </c>
      <c r="D19" s="649">
        <v>0</v>
      </c>
      <c r="E19" s="636">
        <f t="shared" si="0"/>
        <v>0</v>
      </c>
      <c r="F19" s="650"/>
      <c r="G19" s="636">
        <f t="shared" si="1"/>
        <v>0</v>
      </c>
      <c r="H19" s="636">
        <f t="shared" si="1"/>
        <v>0</v>
      </c>
    </row>
    <row r="20" spans="1:8" s="651" customFormat="1" x14ac:dyDescent="0.3">
      <c r="A20" s="644">
        <v>5</v>
      </c>
      <c r="B20" s="682" t="s">
        <v>853</v>
      </c>
      <c r="C20" s="649">
        <v>0</v>
      </c>
      <c r="D20" s="649">
        <v>0</v>
      </c>
      <c r="E20" s="636">
        <f t="shared" si="0"/>
        <v>0</v>
      </c>
      <c r="F20" s="650"/>
      <c r="G20" s="636">
        <f t="shared" si="1"/>
        <v>0</v>
      </c>
      <c r="H20" s="636">
        <f t="shared" si="1"/>
        <v>0</v>
      </c>
    </row>
    <row r="21" spans="1:8" s="651" customFormat="1" x14ac:dyDescent="0.3">
      <c r="A21" s="652" t="s">
        <v>294</v>
      </c>
      <c r="B21" s="683" t="s">
        <v>854</v>
      </c>
      <c r="C21" s="653">
        <f>SUM(C23,C27,C28,C29,C30)</f>
        <v>167700.33333200001</v>
      </c>
      <c r="D21" s="653">
        <f>SUM(D23,D27,D28,D29,D30)</f>
        <v>201863.57888500002</v>
      </c>
      <c r="E21" s="653">
        <f>SUM(E23,E27,E28,E29,E30)</f>
        <v>356903.40577900002</v>
      </c>
      <c r="F21" s="654"/>
      <c r="G21" s="653">
        <f>SUM(G23,G27,G28,G29,G30)</f>
        <v>95328.333331999995</v>
      </c>
      <c r="H21" s="653">
        <f>SUM(H23,H27,H28,H29,H30)</f>
        <v>72661</v>
      </c>
    </row>
    <row r="22" spans="1:8" s="651" customFormat="1" x14ac:dyDescent="0.3">
      <c r="A22" s="644">
        <v>1</v>
      </c>
      <c r="B22" s="684" t="s">
        <v>855</v>
      </c>
      <c r="C22" s="649">
        <f>SUM(C23,C27,C28,C29,C30)</f>
        <v>167700.33333200001</v>
      </c>
      <c r="D22" s="649">
        <f>SUM(D23,D27,D28,D29,D30)</f>
        <v>201863.57888500002</v>
      </c>
      <c r="E22" s="649">
        <f>SUM(E23,E27,E28,E29,E30)</f>
        <v>356903.40577900002</v>
      </c>
      <c r="F22" s="650"/>
      <c r="G22" s="649">
        <f>SUM(G23,G27,G28,G29,G30)</f>
        <v>95328.333331999995</v>
      </c>
      <c r="H22" s="649">
        <f>SUM(H23,H27,H28,H29,H30)</f>
        <v>72661</v>
      </c>
    </row>
    <row r="23" spans="1:8" x14ac:dyDescent="0.3">
      <c r="A23" s="644" t="s">
        <v>449</v>
      </c>
      <c r="B23" s="685" t="s">
        <v>856</v>
      </c>
      <c r="C23" s="656">
        <f>SUM(C24:C26)</f>
        <v>167700.33333200001</v>
      </c>
      <c r="D23" s="656">
        <f>SUM(D24:D26)</f>
        <v>201863.57888500002</v>
      </c>
      <c r="E23" s="656">
        <f>SUM(E24:E26)</f>
        <v>356903.40577900002</v>
      </c>
      <c r="F23" s="657"/>
      <c r="G23" s="656">
        <f>SUM(G24:G26)</f>
        <v>95328.333331999995</v>
      </c>
      <c r="H23" s="656">
        <f>SUM(H24:H26)</f>
        <v>72661</v>
      </c>
    </row>
    <row r="24" spans="1:8" s="661" customFormat="1" ht="19.5" x14ac:dyDescent="0.3">
      <c r="A24" s="658"/>
      <c r="B24" s="680" t="s">
        <v>847</v>
      </c>
      <c r="C24" s="671">
        <v>84167</v>
      </c>
      <c r="D24" s="671">
        <v>84167</v>
      </c>
      <c r="E24" s="671">
        <v>60104.5</v>
      </c>
      <c r="F24" s="660"/>
      <c r="G24" s="671">
        <v>28542</v>
      </c>
      <c r="H24" s="671">
        <v>6250</v>
      </c>
    </row>
    <row r="25" spans="1:8" s="661" customFormat="1" ht="19.5" x14ac:dyDescent="0.3">
      <c r="A25" s="658"/>
      <c r="B25" s="681" t="s">
        <v>848</v>
      </c>
      <c r="C25" s="671">
        <v>17122</v>
      </c>
      <c r="D25" s="671">
        <v>51285.245553000001</v>
      </c>
      <c r="E25" s="671">
        <v>230387.57244700001</v>
      </c>
      <c r="F25" s="660"/>
      <c r="G25" s="671">
        <v>375</v>
      </c>
      <c r="H25" s="671">
        <v>0</v>
      </c>
    </row>
    <row r="26" spans="1:8" s="661" customFormat="1" ht="19.5" x14ac:dyDescent="0.3">
      <c r="A26" s="658"/>
      <c r="B26" s="681" t="s">
        <v>849</v>
      </c>
      <c r="C26" s="671">
        <v>66411.333331999995</v>
      </c>
      <c r="D26" s="671">
        <v>66411.333331999995</v>
      </c>
      <c r="E26" s="671">
        <v>66411.333331999995</v>
      </c>
      <c r="F26" s="660"/>
      <c r="G26" s="671">
        <v>66411.333331999995</v>
      </c>
      <c r="H26" s="671">
        <v>66411</v>
      </c>
    </row>
    <row r="27" spans="1:8" x14ac:dyDescent="0.3">
      <c r="A27" s="644" t="s">
        <v>449</v>
      </c>
      <c r="B27" s="685" t="s">
        <v>857</v>
      </c>
      <c r="C27" s="656">
        <v>0</v>
      </c>
      <c r="D27" s="656">
        <v>0</v>
      </c>
      <c r="E27" s="656">
        <v>0</v>
      </c>
      <c r="F27" s="656">
        <v>0</v>
      </c>
      <c r="G27" s="656">
        <v>0</v>
      </c>
      <c r="H27" s="656">
        <v>0</v>
      </c>
    </row>
    <row r="28" spans="1:8" x14ac:dyDescent="0.3">
      <c r="A28" s="644" t="s">
        <v>449</v>
      </c>
      <c r="B28" s="686" t="s">
        <v>858</v>
      </c>
      <c r="C28" s="656">
        <v>0</v>
      </c>
      <c r="D28" s="656">
        <v>0</v>
      </c>
      <c r="E28" s="656">
        <v>0</v>
      </c>
      <c r="F28" s="656">
        <v>0</v>
      </c>
      <c r="G28" s="656">
        <v>0</v>
      </c>
      <c r="H28" s="656">
        <v>0</v>
      </c>
    </row>
    <row r="29" spans="1:8" x14ac:dyDescent="0.3">
      <c r="A29" s="663" t="s">
        <v>449</v>
      </c>
      <c r="B29" s="686" t="s">
        <v>859</v>
      </c>
      <c r="C29" s="656">
        <v>0</v>
      </c>
      <c r="D29" s="656">
        <v>0</v>
      </c>
      <c r="E29" s="656">
        <v>0</v>
      </c>
      <c r="F29" s="656">
        <v>0</v>
      </c>
      <c r="G29" s="656">
        <v>0</v>
      </c>
      <c r="H29" s="656">
        <v>0</v>
      </c>
    </row>
    <row r="30" spans="1:8" x14ac:dyDescent="0.3">
      <c r="A30" s="663" t="s">
        <v>449</v>
      </c>
      <c r="B30" s="686" t="s">
        <v>860</v>
      </c>
      <c r="C30" s="656">
        <v>0</v>
      </c>
      <c r="D30" s="656">
        <v>0</v>
      </c>
      <c r="E30" s="656">
        <v>0</v>
      </c>
      <c r="F30" s="656">
        <v>0</v>
      </c>
      <c r="G30" s="656">
        <v>0</v>
      </c>
      <c r="H30" s="656">
        <v>0</v>
      </c>
    </row>
    <row r="31" spans="1:8" s="651" customFormat="1" x14ac:dyDescent="0.3">
      <c r="A31" s="664">
        <v>2</v>
      </c>
      <c r="B31" s="682" t="s">
        <v>861</v>
      </c>
      <c r="C31" s="649">
        <f>SUM(C32:C35)</f>
        <v>167700</v>
      </c>
      <c r="D31" s="649">
        <f>SUM(D32:D35)</f>
        <v>274828</v>
      </c>
      <c r="E31" s="649">
        <f>SUM(E32:E35)</f>
        <v>356903.40577900002</v>
      </c>
      <c r="F31" s="650"/>
      <c r="G31" s="649">
        <f>SUM(G32:G35)</f>
        <v>95328</v>
      </c>
      <c r="H31" s="649">
        <f>SUM(H32:H35)</f>
        <v>72661</v>
      </c>
    </row>
    <row r="32" spans="1:8" x14ac:dyDescent="0.3">
      <c r="A32" s="663" t="s">
        <v>449</v>
      </c>
      <c r="B32" s="686" t="s">
        <v>862</v>
      </c>
      <c r="C32" s="656">
        <v>0</v>
      </c>
      <c r="D32" s="656">
        <v>0</v>
      </c>
      <c r="E32" s="656"/>
      <c r="F32" s="657"/>
      <c r="G32" s="656"/>
      <c r="H32" s="656"/>
    </row>
    <row r="33" spans="1:8" x14ac:dyDescent="0.3">
      <c r="A33" s="663" t="s">
        <v>449</v>
      </c>
      <c r="B33" s="686" t="s">
        <v>863</v>
      </c>
      <c r="C33" s="672">
        <v>167700</v>
      </c>
      <c r="D33" s="672">
        <v>274828</v>
      </c>
      <c r="E33" s="672">
        <v>356903.40577900002</v>
      </c>
      <c r="F33" s="673"/>
      <c r="G33" s="672">
        <v>95328</v>
      </c>
      <c r="H33" s="672">
        <v>72661</v>
      </c>
    </row>
    <row r="34" spans="1:8" x14ac:dyDescent="0.3">
      <c r="A34" s="663" t="s">
        <v>449</v>
      </c>
      <c r="B34" s="686" t="s">
        <v>864</v>
      </c>
      <c r="C34" s="672">
        <v>0</v>
      </c>
      <c r="D34" s="672">
        <v>0</v>
      </c>
      <c r="E34" s="672"/>
      <c r="F34" s="673"/>
      <c r="G34" s="672"/>
      <c r="H34" s="672"/>
    </row>
    <row r="35" spans="1:8" x14ac:dyDescent="0.3">
      <c r="A35" s="663" t="s">
        <v>449</v>
      </c>
      <c r="B35" s="686" t="s">
        <v>865</v>
      </c>
      <c r="C35" s="656">
        <v>0</v>
      </c>
      <c r="D35" s="656">
        <v>0</v>
      </c>
      <c r="E35" s="656"/>
      <c r="F35" s="657"/>
      <c r="G35" s="656"/>
      <c r="H35" s="656"/>
    </row>
    <row r="36" spans="1:8" s="651" customFormat="1" x14ac:dyDescent="0.3">
      <c r="A36" s="665" t="s">
        <v>322</v>
      </c>
      <c r="B36" s="687" t="s">
        <v>866</v>
      </c>
      <c r="C36" s="653">
        <f>SUM(C40)</f>
        <v>0</v>
      </c>
      <c r="D36" s="653">
        <f>SUM(D40)</f>
        <v>0</v>
      </c>
      <c r="E36" s="653">
        <f>SUM(E40)</f>
        <v>0</v>
      </c>
      <c r="F36" s="654"/>
      <c r="G36" s="653">
        <f>SUM(G40)</f>
        <v>0</v>
      </c>
      <c r="H36" s="653">
        <f>SUM(H40)</f>
        <v>0</v>
      </c>
    </row>
    <row r="37" spans="1:8" s="651" customFormat="1" x14ac:dyDescent="0.3">
      <c r="A37" s="664">
        <v>1</v>
      </c>
      <c r="B37" s="682" t="s">
        <v>867</v>
      </c>
      <c r="C37" s="649">
        <f>SUM(C38:C39)</f>
        <v>0</v>
      </c>
      <c r="D37" s="649">
        <f>SUM(D38:D39)</f>
        <v>0</v>
      </c>
      <c r="E37" s="649">
        <f>SUM(E38:E39)</f>
        <v>0</v>
      </c>
      <c r="F37" s="650"/>
      <c r="G37" s="649">
        <f>SUM(G38:G39)</f>
        <v>0</v>
      </c>
      <c r="H37" s="649">
        <f>SUM(H38:H39)</f>
        <v>0</v>
      </c>
    </row>
    <row r="38" spans="1:8" x14ac:dyDescent="0.3">
      <c r="A38" s="663" t="s">
        <v>449</v>
      </c>
      <c r="B38" s="686" t="s">
        <v>868</v>
      </c>
      <c r="C38" s="656">
        <v>0</v>
      </c>
      <c r="D38" s="656">
        <v>0</v>
      </c>
      <c r="E38" s="656"/>
      <c r="F38" s="657"/>
      <c r="G38" s="656"/>
      <c r="H38" s="656"/>
    </row>
    <row r="39" spans="1:8" x14ac:dyDescent="0.3">
      <c r="A39" s="663" t="s">
        <v>449</v>
      </c>
      <c r="B39" s="686" t="s">
        <v>869</v>
      </c>
      <c r="C39" s="656">
        <v>0</v>
      </c>
      <c r="D39" s="656">
        <v>0</v>
      </c>
      <c r="E39" s="656"/>
      <c r="F39" s="657"/>
      <c r="G39" s="656"/>
      <c r="H39" s="656"/>
    </row>
    <row r="40" spans="1:8" s="651" customFormat="1" x14ac:dyDescent="0.3">
      <c r="A40" s="664">
        <v>2</v>
      </c>
      <c r="B40" s="682" t="s">
        <v>870</v>
      </c>
      <c r="C40" s="649">
        <f>SUM(C41:C45)</f>
        <v>0</v>
      </c>
      <c r="D40" s="649">
        <f>SUM(D41:D45)</f>
        <v>0</v>
      </c>
      <c r="E40" s="649">
        <f>SUM(E41:E45)</f>
        <v>0</v>
      </c>
      <c r="F40" s="650"/>
      <c r="G40" s="649">
        <f>SUM(G41:G45)</f>
        <v>0</v>
      </c>
      <c r="H40" s="649">
        <f>SUM(H41:H45)</f>
        <v>0</v>
      </c>
    </row>
    <row r="41" spans="1:8" x14ac:dyDescent="0.3">
      <c r="A41" s="663" t="s">
        <v>449</v>
      </c>
      <c r="B41" s="685" t="s">
        <v>871</v>
      </c>
      <c r="C41" s="656">
        <v>0</v>
      </c>
      <c r="D41" s="656">
        <v>0</v>
      </c>
      <c r="E41" s="656"/>
      <c r="F41" s="657"/>
      <c r="G41" s="656"/>
      <c r="H41" s="656"/>
    </row>
    <row r="42" spans="1:8" x14ac:dyDescent="0.3">
      <c r="A42" s="663" t="s">
        <v>449</v>
      </c>
      <c r="B42" s="685" t="s">
        <v>850</v>
      </c>
      <c r="C42" s="656">
        <v>0</v>
      </c>
      <c r="D42" s="656">
        <v>0</v>
      </c>
      <c r="E42" s="656">
        <v>0</v>
      </c>
      <c r="F42" s="657"/>
      <c r="G42" s="656">
        <v>0</v>
      </c>
      <c r="H42" s="656">
        <v>0</v>
      </c>
    </row>
    <row r="43" spans="1:8" x14ac:dyDescent="0.3">
      <c r="A43" s="663" t="s">
        <v>449</v>
      </c>
      <c r="B43" s="686" t="s">
        <v>851</v>
      </c>
      <c r="C43" s="656">
        <v>0</v>
      </c>
      <c r="D43" s="656">
        <v>0</v>
      </c>
      <c r="E43" s="656">
        <v>0</v>
      </c>
      <c r="F43" s="657"/>
      <c r="G43" s="656">
        <v>0</v>
      </c>
      <c r="H43" s="656">
        <v>0</v>
      </c>
    </row>
    <row r="44" spans="1:8" x14ac:dyDescent="0.3">
      <c r="A44" s="663" t="s">
        <v>449</v>
      </c>
      <c r="B44" s="686" t="s">
        <v>852</v>
      </c>
      <c r="C44" s="656">
        <v>0</v>
      </c>
      <c r="D44" s="656">
        <v>0</v>
      </c>
      <c r="E44" s="656">
        <v>0</v>
      </c>
      <c r="F44" s="657"/>
      <c r="G44" s="656">
        <v>0</v>
      </c>
      <c r="H44" s="656">
        <v>0</v>
      </c>
    </row>
    <row r="45" spans="1:8" x14ac:dyDescent="0.3">
      <c r="A45" s="663" t="s">
        <v>449</v>
      </c>
      <c r="B45" s="686" t="s">
        <v>853</v>
      </c>
      <c r="C45" s="656">
        <v>0</v>
      </c>
      <c r="D45" s="656">
        <v>0</v>
      </c>
      <c r="E45" s="656">
        <v>0</v>
      </c>
      <c r="F45" s="657"/>
      <c r="G45" s="656">
        <v>0</v>
      </c>
      <c r="H45" s="656">
        <v>0</v>
      </c>
    </row>
    <row r="46" spans="1:8" s="651" customFormat="1" x14ac:dyDescent="0.3">
      <c r="A46" s="665" t="s">
        <v>323</v>
      </c>
      <c r="B46" s="687" t="s">
        <v>872</v>
      </c>
      <c r="C46" s="653">
        <f>SUM(C48,C52,C53,C54,C55)</f>
        <v>672879.16666799993</v>
      </c>
      <c r="D46" s="653">
        <f>SUM(D48,D52,D53,D54,D55)</f>
        <v>638715.92111500003</v>
      </c>
      <c r="E46" s="653">
        <f>SUM(E48,E52,E53,E54,E55)</f>
        <v>281812.51533599995</v>
      </c>
      <c r="F46" s="654"/>
      <c r="G46" s="653">
        <f>SUM(G48,G52,G53,G54,G55)</f>
        <v>186484.18200399994</v>
      </c>
      <c r="H46" s="653">
        <f>SUM(H48,H52,H53,H54,H55)</f>
        <v>113823.18200399994</v>
      </c>
    </row>
    <row r="47" spans="1:8" x14ac:dyDescent="0.3">
      <c r="A47" s="641"/>
      <c r="B47" s="678" t="s">
        <v>873</v>
      </c>
      <c r="C47" s="656">
        <f>C46/C8%</f>
        <v>66.486041813693404</v>
      </c>
      <c r="D47" s="656">
        <f>D46/D8%</f>
        <v>60.199427060791706</v>
      </c>
      <c r="E47" s="656">
        <f>E46/E8%</f>
        <v>25.775943582276302</v>
      </c>
      <c r="F47" s="657"/>
      <c r="G47" s="656">
        <f>G46/G8%</f>
        <v>16.785254905850579</v>
      </c>
      <c r="H47" s="656">
        <f>H46/H8%</f>
        <v>9.9218254884937185</v>
      </c>
    </row>
    <row r="48" spans="1:8" s="651" customFormat="1" x14ac:dyDescent="0.3">
      <c r="A48" s="644">
        <v>1</v>
      </c>
      <c r="B48" s="679" t="s">
        <v>871</v>
      </c>
      <c r="C48" s="649">
        <f>SUM(C49:C51)</f>
        <v>672879.16666799993</v>
      </c>
      <c r="D48" s="649">
        <f>SUM(D49:D51)</f>
        <v>638715.92111500003</v>
      </c>
      <c r="E48" s="649">
        <f>SUM(E49:E51)</f>
        <v>281812.51533599995</v>
      </c>
      <c r="F48" s="650"/>
      <c r="G48" s="649">
        <f>SUM(G49:G51)</f>
        <v>186484.18200399994</v>
      </c>
      <c r="H48" s="649">
        <f>SUM(H49:H51)</f>
        <v>113823.18200399994</v>
      </c>
    </row>
    <row r="49" spans="1:8" s="661" customFormat="1" x14ac:dyDescent="0.3">
      <c r="A49" s="645"/>
      <c r="B49" s="680" t="s">
        <v>847</v>
      </c>
      <c r="C49" s="659">
        <f>C14-C24</f>
        <v>94896.5</v>
      </c>
      <c r="D49" s="659">
        <f>D14-D24</f>
        <v>94896.5</v>
      </c>
      <c r="E49" s="659">
        <f t="shared" ref="D49:E51" si="2">E14-E24</f>
        <v>34792</v>
      </c>
      <c r="F49" s="660"/>
      <c r="G49" s="659">
        <f>G14-G24</f>
        <v>6250</v>
      </c>
      <c r="H49" s="659">
        <f t="shared" ref="G49:H51" si="3">H14-H24</f>
        <v>0</v>
      </c>
    </row>
    <row r="50" spans="1:8" s="661" customFormat="1" x14ac:dyDescent="0.3">
      <c r="A50" s="645"/>
      <c r="B50" s="681" t="s">
        <v>848</v>
      </c>
      <c r="C50" s="659">
        <f>C15-C25</f>
        <v>264926</v>
      </c>
      <c r="D50" s="659">
        <f t="shared" si="2"/>
        <v>230762.75444699998</v>
      </c>
      <c r="E50" s="659">
        <f>E15-E25</f>
        <v>375.18199999997159</v>
      </c>
      <c r="F50" s="660"/>
      <c r="G50" s="659">
        <f t="shared" si="3"/>
        <v>0.18199999997159466</v>
      </c>
      <c r="H50" s="659">
        <f t="shared" si="3"/>
        <v>0.18199999997159466</v>
      </c>
    </row>
    <row r="51" spans="1:8" s="661" customFormat="1" x14ac:dyDescent="0.3">
      <c r="A51" s="645"/>
      <c r="B51" s="681" t="s">
        <v>849</v>
      </c>
      <c r="C51" s="659">
        <f>C16-C26</f>
        <v>313056.66666799999</v>
      </c>
      <c r="D51" s="659">
        <f t="shared" si="2"/>
        <v>313056.66666799999</v>
      </c>
      <c r="E51" s="659">
        <f t="shared" si="2"/>
        <v>246645.33333599998</v>
      </c>
      <c r="F51" s="660"/>
      <c r="G51" s="659">
        <f t="shared" si="3"/>
        <v>180234.00000399997</v>
      </c>
      <c r="H51" s="659">
        <f t="shared" si="3"/>
        <v>113823.00000399997</v>
      </c>
    </row>
    <row r="52" spans="1:8" s="651" customFormat="1" x14ac:dyDescent="0.3">
      <c r="A52" s="644">
        <v>2</v>
      </c>
      <c r="B52" s="679" t="s">
        <v>850</v>
      </c>
      <c r="C52" s="649">
        <f>C17-C27+C42</f>
        <v>0</v>
      </c>
      <c r="D52" s="649">
        <f>D17-D27+D42</f>
        <v>0</v>
      </c>
      <c r="E52" s="649">
        <f>E17-E27+E42</f>
        <v>0</v>
      </c>
      <c r="F52" s="650"/>
      <c r="G52" s="649">
        <f t="shared" ref="G52:H55" si="4">G17-G27+G42</f>
        <v>0</v>
      </c>
      <c r="H52" s="649">
        <f t="shared" si="4"/>
        <v>0</v>
      </c>
    </row>
    <row r="53" spans="1:8" s="651" customFormat="1" x14ac:dyDescent="0.3">
      <c r="A53" s="644">
        <v>3</v>
      </c>
      <c r="B53" s="682" t="s">
        <v>851</v>
      </c>
      <c r="C53" s="649">
        <f t="shared" ref="C53:E55" si="5">C18-C28+C43</f>
        <v>0</v>
      </c>
      <c r="D53" s="649">
        <f t="shared" si="5"/>
        <v>0</v>
      </c>
      <c r="E53" s="649">
        <f t="shared" si="5"/>
        <v>0</v>
      </c>
      <c r="F53" s="650"/>
      <c r="G53" s="649">
        <f t="shared" si="4"/>
        <v>0</v>
      </c>
      <c r="H53" s="649">
        <f t="shared" si="4"/>
        <v>0</v>
      </c>
    </row>
    <row r="54" spans="1:8" s="651" customFormat="1" x14ac:dyDescent="0.3">
      <c r="A54" s="644">
        <v>4</v>
      </c>
      <c r="B54" s="682" t="s">
        <v>852</v>
      </c>
      <c r="C54" s="649">
        <f t="shared" si="5"/>
        <v>0</v>
      </c>
      <c r="D54" s="649">
        <f t="shared" si="5"/>
        <v>0</v>
      </c>
      <c r="E54" s="649">
        <f t="shared" si="5"/>
        <v>0</v>
      </c>
      <c r="F54" s="650"/>
      <c r="G54" s="649">
        <f t="shared" si="4"/>
        <v>0</v>
      </c>
      <c r="H54" s="649">
        <f t="shared" si="4"/>
        <v>0</v>
      </c>
    </row>
    <row r="55" spans="1:8" s="651" customFormat="1" x14ac:dyDescent="0.3">
      <c r="A55" s="644">
        <v>5</v>
      </c>
      <c r="B55" s="682" t="s">
        <v>853</v>
      </c>
      <c r="C55" s="649">
        <f t="shared" si="5"/>
        <v>0</v>
      </c>
      <c r="D55" s="649">
        <f t="shared" si="5"/>
        <v>0</v>
      </c>
      <c r="E55" s="649">
        <f t="shared" si="5"/>
        <v>0</v>
      </c>
      <c r="F55" s="650"/>
      <c r="G55" s="649">
        <f t="shared" si="4"/>
        <v>0</v>
      </c>
      <c r="H55" s="649">
        <f t="shared" si="4"/>
        <v>0</v>
      </c>
    </row>
    <row r="56" spans="1:8" s="651" customFormat="1" x14ac:dyDescent="0.3">
      <c r="A56" s="666" t="s">
        <v>337</v>
      </c>
      <c r="B56" s="688" t="s">
        <v>874</v>
      </c>
      <c r="C56" s="667">
        <v>0</v>
      </c>
      <c r="D56" s="667">
        <v>0</v>
      </c>
      <c r="E56" s="667">
        <v>0</v>
      </c>
      <c r="F56" s="668"/>
      <c r="G56" s="667">
        <v>0</v>
      </c>
      <c r="H56" s="667">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977" t="s">
        <v>740</v>
      </c>
      <c r="B2" s="977"/>
      <c r="C2" s="977"/>
      <c r="D2" s="977"/>
      <c r="E2" s="977"/>
      <c r="F2" s="977"/>
      <c r="G2" s="977"/>
      <c r="H2" s="977"/>
      <c r="I2" s="977"/>
      <c r="J2" s="977"/>
    </row>
    <row r="4" spans="1:10" x14ac:dyDescent="0.25">
      <c r="J4" s="148" t="s">
        <v>430</v>
      </c>
    </row>
    <row r="5" spans="1:10" s="87" customFormat="1" x14ac:dyDescent="0.25">
      <c r="A5" s="972" t="s">
        <v>396</v>
      </c>
      <c r="B5" s="972" t="s">
        <v>374</v>
      </c>
      <c r="C5" s="972" t="s">
        <v>1055</v>
      </c>
      <c r="D5" s="1032" t="s">
        <v>634</v>
      </c>
      <c r="E5" s="1033"/>
      <c r="F5" s="1033"/>
      <c r="G5" s="1034"/>
      <c r="H5" s="972" t="s">
        <v>635</v>
      </c>
      <c r="I5" s="972" t="s">
        <v>1056</v>
      </c>
      <c r="J5" s="972" t="s">
        <v>637</v>
      </c>
    </row>
    <row r="6" spans="1:10" s="413" customFormat="1" ht="155.25" customHeight="1" x14ac:dyDescent="0.25">
      <c r="A6" s="973"/>
      <c r="B6" s="973"/>
      <c r="C6" s="973"/>
      <c r="D6" s="414" t="s">
        <v>276</v>
      </c>
      <c r="E6" s="414" t="s">
        <v>638</v>
      </c>
      <c r="F6" s="414" t="s">
        <v>636</v>
      </c>
      <c r="G6" s="414" t="s">
        <v>639</v>
      </c>
      <c r="H6" s="973"/>
      <c r="I6" s="973"/>
      <c r="J6" s="973"/>
    </row>
    <row r="7" spans="1:10" s="87" customFormat="1" x14ac:dyDescent="0.25">
      <c r="A7" s="173">
        <v>1</v>
      </c>
      <c r="B7" s="173">
        <v>2</v>
      </c>
      <c r="C7" s="173">
        <v>3</v>
      </c>
      <c r="D7" s="173">
        <v>4</v>
      </c>
      <c r="E7" s="173">
        <v>5</v>
      </c>
      <c r="F7" s="173">
        <v>6</v>
      </c>
      <c r="G7" s="173">
        <v>7</v>
      </c>
      <c r="H7" s="173">
        <v>8</v>
      </c>
      <c r="I7" s="173" t="s">
        <v>640</v>
      </c>
      <c r="J7" s="173">
        <v>5</v>
      </c>
    </row>
    <row r="8" spans="1:10" ht="30" customHeight="1" x14ac:dyDescent="0.25">
      <c r="A8" s="88">
        <v>1</v>
      </c>
      <c r="B8" s="174" t="s">
        <v>178</v>
      </c>
      <c r="C8" s="181">
        <f>IF('Thu NSH'!V43&lt;0,0,'Thu NSH'!V43*60%)</f>
        <v>3420</v>
      </c>
      <c r="D8" s="181">
        <f>SUM(E8:G8)</f>
        <v>285</v>
      </c>
      <c r="E8" s="181">
        <f>'Chi NSH'!Q22</f>
        <v>0</v>
      </c>
      <c r="F8" s="181">
        <f>'Chi NSH'!Q28</f>
        <v>285</v>
      </c>
      <c r="G8" s="181">
        <f>'Chi NSH'!Q24-'Chi NSH'!Q25-'Chi NSH'!Q26-'Chi NSH'!Q27</f>
        <v>0</v>
      </c>
      <c r="H8" s="181">
        <f>C8-D8</f>
        <v>3135</v>
      </c>
      <c r="I8" s="183">
        <f>ROUNDDOWN(C8*10%,-1)</f>
        <v>340</v>
      </c>
      <c r="J8" s="182"/>
    </row>
    <row r="9" spans="1:10" ht="30" customHeight="1" x14ac:dyDescent="0.25">
      <c r="A9" s="175">
        <v>2</v>
      </c>
      <c r="B9" s="176" t="s">
        <v>266</v>
      </c>
      <c r="C9" s="181">
        <f>IF('Thu NSH'!AH43&lt;0,0,'Thu NSH'!AH43*60%)</f>
        <v>2079</v>
      </c>
      <c r="D9" s="181">
        <f t="shared" ref="D9:D19" si="0">SUM(E9:G9)</f>
        <v>173</v>
      </c>
      <c r="E9" s="183">
        <f>'Chi NSH'!Y22</f>
        <v>0</v>
      </c>
      <c r="F9" s="183">
        <f>'Chi NSH'!Y28</f>
        <v>173</v>
      </c>
      <c r="G9" s="183">
        <f>'Chi NSH'!Y24-'Chi NSH'!Y25-'Chi NSH'!Y26-'Chi NSH'!Y27</f>
        <v>0</v>
      </c>
      <c r="H9" s="181">
        <f t="shared" ref="H9:H19" si="1">C9-D9</f>
        <v>1906</v>
      </c>
      <c r="I9" s="183">
        <f t="shared" ref="I9:I19" si="2">ROUNDDOWN(C9*10%,-1)</f>
        <v>200</v>
      </c>
      <c r="J9" s="182"/>
    </row>
    <row r="10" spans="1:10" ht="30" customHeight="1" x14ac:dyDescent="0.25">
      <c r="A10" s="88">
        <v>3</v>
      </c>
      <c r="B10" s="96" t="s">
        <v>179</v>
      </c>
      <c r="C10" s="181">
        <f>IF('Thu NSH'!AT43&lt;0,0,'Thu NSH'!AT43*60%)</f>
        <v>1422</v>
      </c>
      <c r="D10" s="181">
        <f t="shared" si="0"/>
        <v>118</v>
      </c>
      <c r="E10" s="182">
        <f>'Chi NSH'!AG22</f>
        <v>0</v>
      </c>
      <c r="F10" s="182">
        <f>'Chi NSH'!AG28</f>
        <v>118</v>
      </c>
      <c r="G10" s="182">
        <f>'Chi NSH'!AG24-'Chi NSH'!AG25-'Chi NSH'!AG26-'Chi NSH'!AG27</f>
        <v>0</v>
      </c>
      <c r="H10" s="181">
        <f t="shared" si="1"/>
        <v>1304</v>
      </c>
      <c r="I10" s="183">
        <f t="shared" si="2"/>
        <v>140</v>
      </c>
      <c r="J10" s="182"/>
    </row>
    <row r="11" spans="1:10" ht="30" customHeight="1" x14ac:dyDescent="0.25">
      <c r="A11" s="175">
        <v>4</v>
      </c>
      <c r="B11" s="96" t="s">
        <v>50</v>
      </c>
      <c r="C11" s="181">
        <f>IF('Thu NSH'!BF43&lt;0,0,'Thu NSH'!BF43*60%)</f>
        <v>0</v>
      </c>
      <c r="D11" s="181">
        <f t="shared" si="0"/>
        <v>0</v>
      </c>
      <c r="E11" s="182"/>
      <c r="F11" s="182"/>
      <c r="G11" s="182"/>
      <c r="H11" s="181">
        <f t="shared" si="1"/>
        <v>0</v>
      </c>
      <c r="I11" s="183">
        <f t="shared" si="2"/>
        <v>0</v>
      </c>
      <c r="J11" s="182"/>
    </row>
    <row r="12" spans="1:10" ht="30" customHeight="1" x14ac:dyDescent="0.25">
      <c r="A12" s="88">
        <v>5</v>
      </c>
      <c r="B12" s="96" t="s">
        <v>180</v>
      </c>
      <c r="C12" s="181">
        <f>IF('Thu NSH'!BR43&lt;0,0,'Thu NSH'!BR43*60%)</f>
        <v>2745</v>
      </c>
      <c r="D12" s="181">
        <f t="shared" si="0"/>
        <v>0</v>
      </c>
      <c r="E12" s="182"/>
      <c r="F12" s="182"/>
      <c r="G12" s="182"/>
      <c r="H12" s="181">
        <f t="shared" si="1"/>
        <v>2745</v>
      </c>
      <c r="I12" s="183">
        <f t="shared" si="2"/>
        <v>270</v>
      </c>
      <c r="J12" s="182"/>
    </row>
    <row r="13" spans="1:10" ht="30" customHeight="1" x14ac:dyDescent="0.25">
      <c r="A13" s="175">
        <v>6</v>
      </c>
      <c r="B13" s="96" t="s">
        <v>267</v>
      </c>
      <c r="C13" s="181">
        <f>IF('Thu NSH'!CD43&lt;0,0,'Thu NSH'!CD43*60%)</f>
        <v>16305</v>
      </c>
      <c r="D13" s="181">
        <f t="shared" si="0"/>
        <v>0</v>
      </c>
      <c r="E13" s="182"/>
      <c r="F13" s="182"/>
      <c r="G13" s="182"/>
      <c r="H13" s="181">
        <f t="shared" si="1"/>
        <v>16305</v>
      </c>
      <c r="I13" s="183">
        <f t="shared" si="2"/>
        <v>1630</v>
      </c>
      <c r="J13" s="182"/>
    </row>
    <row r="14" spans="1:10" ht="30" customHeight="1" x14ac:dyDescent="0.25">
      <c r="A14" s="88">
        <v>7</v>
      </c>
      <c r="B14" s="96" t="s">
        <v>268</v>
      </c>
      <c r="C14" s="181">
        <f>IF('Thu NSH'!CP43&lt;0,0,'Thu NSH'!CP43*60%)</f>
        <v>2475</v>
      </c>
      <c r="D14" s="181">
        <f t="shared" si="0"/>
        <v>0</v>
      </c>
      <c r="E14" s="182"/>
      <c r="F14" s="182"/>
      <c r="G14" s="182"/>
      <c r="H14" s="181">
        <f t="shared" si="1"/>
        <v>2475</v>
      </c>
      <c r="I14" s="183">
        <f t="shared" si="2"/>
        <v>240</v>
      </c>
      <c r="J14" s="182"/>
    </row>
    <row r="15" spans="1:10" ht="30" customHeight="1" x14ac:dyDescent="0.25">
      <c r="A15" s="175">
        <v>8</v>
      </c>
      <c r="B15" s="96" t="s">
        <v>27</v>
      </c>
      <c r="C15" s="181">
        <f>IF('Thu NSH'!DB43&lt;0,0,'Thu NSH'!DB43*60%)</f>
        <v>6909</v>
      </c>
      <c r="D15" s="181">
        <f t="shared" si="0"/>
        <v>0</v>
      </c>
      <c r="E15" s="182"/>
      <c r="F15" s="182"/>
      <c r="G15" s="182"/>
      <c r="H15" s="181">
        <f t="shared" si="1"/>
        <v>6909</v>
      </c>
      <c r="I15" s="183">
        <f t="shared" si="2"/>
        <v>690</v>
      </c>
      <c r="J15" s="182"/>
    </row>
    <row r="16" spans="1:10" ht="30" customHeight="1" x14ac:dyDescent="0.25">
      <c r="A16" s="88">
        <v>9</v>
      </c>
      <c r="B16" s="96" t="s">
        <v>28</v>
      </c>
      <c r="C16" s="181">
        <f>IF('Thu NSH'!DN43&lt;0,0,'Thu NSH'!DN43*60%)</f>
        <v>6105</v>
      </c>
      <c r="D16" s="181">
        <f t="shared" si="0"/>
        <v>0</v>
      </c>
      <c r="E16" s="182"/>
      <c r="F16" s="182"/>
      <c r="G16" s="182"/>
      <c r="H16" s="181">
        <f t="shared" si="1"/>
        <v>6105</v>
      </c>
      <c r="I16" s="183">
        <f t="shared" si="2"/>
        <v>610</v>
      </c>
      <c r="J16" s="182"/>
    </row>
    <row r="17" spans="1:10" ht="30" customHeight="1" x14ac:dyDescent="0.25">
      <c r="A17" s="175">
        <v>10</v>
      </c>
      <c r="B17" s="96" t="s">
        <v>183</v>
      </c>
      <c r="C17" s="181">
        <f>IF('Thu NSH'!DZ43&lt;0,0,'Thu NSH'!DZ43*60%)</f>
        <v>411</v>
      </c>
      <c r="D17" s="181">
        <f t="shared" si="0"/>
        <v>0</v>
      </c>
      <c r="E17" s="182"/>
      <c r="F17" s="182"/>
      <c r="G17" s="182"/>
      <c r="H17" s="181">
        <f t="shared" si="1"/>
        <v>411</v>
      </c>
      <c r="I17" s="183">
        <f t="shared" si="2"/>
        <v>40</v>
      </c>
      <c r="J17" s="182"/>
    </row>
    <row r="18" spans="1:10" ht="30" customHeight="1" x14ac:dyDescent="0.25">
      <c r="A18" s="88">
        <v>11</v>
      </c>
      <c r="B18" s="96" t="s">
        <v>55</v>
      </c>
      <c r="C18" s="181">
        <f>IF('Thu NSH'!EL43&lt;0,0,'Thu NSH'!EL43*60%)</f>
        <v>0</v>
      </c>
      <c r="D18" s="181">
        <f t="shared" si="0"/>
        <v>0</v>
      </c>
      <c r="E18" s="182"/>
      <c r="F18" s="182"/>
      <c r="G18" s="182"/>
      <c r="H18" s="181">
        <f t="shared" si="1"/>
        <v>0</v>
      </c>
      <c r="I18" s="183">
        <f t="shared" si="2"/>
        <v>0</v>
      </c>
      <c r="J18" s="182"/>
    </row>
    <row r="19" spans="1:10" ht="30" customHeight="1" x14ac:dyDescent="0.25">
      <c r="A19" s="175">
        <v>12</v>
      </c>
      <c r="B19" s="177" t="s">
        <v>184</v>
      </c>
      <c r="C19" s="181">
        <f>IF('Thu NSH'!EX43&lt;0,0,'Thu NSH'!EX43*60%)</f>
        <v>1602</v>
      </c>
      <c r="D19" s="181">
        <f t="shared" si="0"/>
        <v>0</v>
      </c>
      <c r="E19" s="184"/>
      <c r="F19" s="184"/>
      <c r="G19" s="184"/>
      <c r="H19" s="181">
        <f t="shared" si="1"/>
        <v>1602</v>
      </c>
      <c r="I19" s="183">
        <f t="shared" si="2"/>
        <v>160</v>
      </c>
      <c r="J19" s="182"/>
    </row>
    <row r="20" spans="1:10" x14ac:dyDescent="0.25">
      <c r="A20" s="1000" t="s">
        <v>269</v>
      </c>
      <c r="B20" s="1002"/>
      <c r="C20" s="185">
        <f>SUM(C8:C19)</f>
        <v>43473</v>
      </c>
      <c r="D20" s="185">
        <f t="shared" ref="D20:I20" si="3">SUM(D8:D19)</f>
        <v>576</v>
      </c>
      <c r="E20" s="185">
        <f t="shared" si="3"/>
        <v>0</v>
      </c>
      <c r="F20" s="185">
        <f t="shared" si="3"/>
        <v>576</v>
      </c>
      <c r="G20" s="185">
        <f t="shared" si="3"/>
        <v>0</v>
      </c>
      <c r="H20" s="185">
        <f t="shared" si="3"/>
        <v>42897</v>
      </c>
      <c r="I20" s="185">
        <f t="shared" si="3"/>
        <v>4320</v>
      </c>
      <c r="J20" s="185"/>
    </row>
    <row r="21" spans="1:10" x14ac:dyDescent="0.25">
      <c r="I21">
        <v>14270</v>
      </c>
    </row>
    <row r="22" spans="1:10" x14ac:dyDescent="0.25">
      <c r="I22" s="944">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76" bestFit="1" customWidth="1"/>
    <col min="2" max="2" width="43.125" style="376" customWidth="1"/>
    <col min="3" max="3" width="10.625" style="409" customWidth="1"/>
    <col min="4" max="8" width="10.625" style="376" customWidth="1"/>
    <col min="9" max="10" width="8.625" style="376" customWidth="1"/>
    <col min="11" max="16" width="10.625" style="376" customWidth="1"/>
    <col min="17" max="18" width="8.625" style="376" customWidth="1"/>
    <col min="19" max="24" width="10.625" style="376" customWidth="1"/>
    <col min="25" max="26" width="8.625" style="376" customWidth="1"/>
    <col min="27" max="32" width="10.625" style="376" customWidth="1"/>
    <col min="33" max="34" width="8.625" style="376" customWidth="1"/>
    <col min="35" max="40" width="10.625" style="376" customWidth="1"/>
    <col min="41" max="42" width="8.625" style="376" customWidth="1"/>
    <col min="43" max="48" width="10.625" style="376" customWidth="1"/>
    <col min="49" max="50" width="8.625" style="376" customWidth="1"/>
    <col min="51" max="56" width="10.625" style="376" customWidth="1"/>
    <col min="57" max="58" width="8.625" style="376" customWidth="1"/>
    <col min="59" max="64" width="10.625" style="376" customWidth="1"/>
    <col min="65" max="66" width="8.625" style="376" customWidth="1"/>
    <col min="67" max="72" width="10.625" style="376" customWidth="1"/>
    <col min="73" max="74" width="8.625" style="376" customWidth="1"/>
    <col min="75" max="80" width="10.625" style="376" customWidth="1"/>
    <col min="81" max="82" width="8.625" style="376" customWidth="1"/>
    <col min="83" max="88" width="10.625" style="376" customWidth="1"/>
    <col min="89" max="90" width="8.625" style="376" customWidth="1"/>
    <col min="91" max="96" width="10.625" style="376" customWidth="1"/>
    <col min="97" max="98" width="8.625" style="376" customWidth="1"/>
    <col min="99" max="104" width="10.625" style="376" customWidth="1"/>
    <col min="105" max="106" width="8.625" style="376" customWidth="1"/>
    <col min="107" max="16384" width="9" style="376"/>
  </cols>
  <sheetData>
    <row r="1" spans="1:106" ht="22.5" customHeight="1" x14ac:dyDescent="0.2">
      <c r="C1" s="377" t="s">
        <v>968</v>
      </c>
      <c r="D1" s="377"/>
      <c r="E1" s="377"/>
      <c r="F1" s="377"/>
      <c r="G1" s="378"/>
      <c r="H1" s="378"/>
      <c r="I1" s="378"/>
      <c r="J1" s="378"/>
      <c r="K1" s="377" t="s">
        <v>968</v>
      </c>
      <c r="L1" s="377"/>
      <c r="M1" s="379"/>
      <c r="N1" s="379"/>
      <c r="O1" s="379"/>
      <c r="P1" s="379"/>
      <c r="Q1" s="379"/>
      <c r="R1" s="379"/>
      <c r="S1" s="377" t="s">
        <v>968</v>
      </c>
      <c r="T1" s="377"/>
      <c r="U1" s="379"/>
      <c r="V1" s="379"/>
      <c r="W1" s="379"/>
      <c r="X1" s="379"/>
      <c r="Y1" s="379"/>
      <c r="Z1" s="379"/>
      <c r="AA1" s="377" t="s">
        <v>968</v>
      </c>
      <c r="AB1" s="378"/>
      <c r="AC1" s="378"/>
      <c r="AD1" s="378"/>
      <c r="AE1" s="378"/>
      <c r="AF1" s="378"/>
      <c r="AG1" s="378"/>
      <c r="AH1" s="378"/>
      <c r="AI1" s="377" t="s">
        <v>968</v>
      </c>
      <c r="AJ1" s="378"/>
      <c r="AK1" s="378"/>
      <c r="AL1" s="378"/>
      <c r="AM1" s="378"/>
      <c r="AN1" s="378"/>
      <c r="AO1" s="378"/>
      <c r="AP1" s="378"/>
      <c r="AQ1" s="377" t="s">
        <v>968</v>
      </c>
      <c r="AR1" s="378"/>
      <c r="AS1" s="378"/>
      <c r="AT1" s="378"/>
      <c r="AU1" s="378"/>
      <c r="AV1" s="378"/>
      <c r="AW1" s="378"/>
      <c r="AX1" s="378"/>
      <c r="AY1" s="377" t="s">
        <v>968</v>
      </c>
      <c r="AZ1" s="378"/>
      <c r="BA1" s="378"/>
      <c r="BB1" s="378"/>
      <c r="BC1" s="378"/>
      <c r="BD1" s="378"/>
      <c r="BE1" s="378"/>
      <c r="BF1" s="378"/>
      <c r="BG1" s="377" t="s">
        <v>968</v>
      </c>
      <c r="BH1" s="378"/>
      <c r="BI1" s="378"/>
      <c r="BJ1" s="378"/>
      <c r="BK1" s="378"/>
      <c r="BL1" s="378"/>
      <c r="BM1" s="378"/>
      <c r="BN1" s="378"/>
      <c r="BO1" s="377" t="s">
        <v>968</v>
      </c>
      <c r="BP1" s="378"/>
      <c r="BQ1" s="378"/>
      <c r="BR1" s="378"/>
      <c r="BS1" s="378"/>
      <c r="BT1" s="378"/>
      <c r="BU1" s="378"/>
      <c r="BV1" s="378"/>
      <c r="BW1" s="377" t="s">
        <v>968</v>
      </c>
      <c r="BX1" s="378"/>
      <c r="BY1" s="378"/>
      <c r="BZ1" s="378"/>
      <c r="CA1" s="378"/>
      <c r="CB1" s="378"/>
      <c r="CC1" s="378"/>
      <c r="CD1" s="378"/>
      <c r="CE1" s="377" t="s">
        <v>968</v>
      </c>
      <c r="CF1" s="378"/>
      <c r="CG1" s="378"/>
      <c r="CH1" s="378"/>
      <c r="CI1" s="378"/>
      <c r="CJ1" s="378"/>
      <c r="CK1" s="378"/>
      <c r="CL1" s="378"/>
      <c r="CM1" s="377" t="s">
        <v>968</v>
      </c>
      <c r="CN1" s="378"/>
      <c r="CO1" s="378"/>
      <c r="CP1" s="378"/>
      <c r="CQ1" s="378"/>
      <c r="CR1" s="378"/>
      <c r="CS1" s="378"/>
      <c r="CT1" s="378"/>
      <c r="CU1" s="377" t="s">
        <v>968</v>
      </c>
      <c r="CV1" s="378"/>
      <c r="CW1" s="378"/>
      <c r="CX1" s="378"/>
      <c r="CY1" s="378"/>
      <c r="CZ1" s="378"/>
      <c r="DA1" s="378"/>
      <c r="DB1" s="378"/>
    </row>
    <row r="2" spans="1:106" s="380" customFormat="1" ht="18" customHeight="1" thickBot="1" x14ac:dyDescent="0.25">
      <c r="B2" s="381"/>
      <c r="C2" s="382"/>
      <c r="D2" s="381"/>
      <c r="E2" s="381"/>
      <c r="F2" s="381"/>
      <c r="G2" s="381"/>
      <c r="H2" s="381"/>
      <c r="J2" s="383" t="s">
        <v>393</v>
      </c>
      <c r="Q2" s="383"/>
      <c r="R2" s="383" t="s">
        <v>393</v>
      </c>
      <c r="Y2" s="383"/>
      <c r="Z2" s="383" t="s">
        <v>393</v>
      </c>
      <c r="AG2" s="383"/>
      <c r="AH2" s="383" t="s">
        <v>393</v>
      </c>
      <c r="AO2" s="383"/>
      <c r="AP2" s="383" t="s">
        <v>393</v>
      </c>
      <c r="AW2" s="383"/>
      <c r="AX2" s="383" t="s">
        <v>393</v>
      </c>
      <c r="BE2" s="383"/>
      <c r="BF2" s="383" t="s">
        <v>393</v>
      </c>
      <c r="BM2" s="383"/>
      <c r="BN2" s="383" t="s">
        <v>393</v>
      </c>
      <c r="BU2" s="383"/>
      <c r="BV2" s="383" t="s">
        <v>393</v>
      </c>
      <c r="CC2" s="383"/>
      <c r="CD2" s="383" t="s">
        <v>393</v>
      </c>
      <c r="CK2" s="383"/>
      <c r="CL2" s="383" t="s">
        <v>393</v>
      </c>
      <c r="CS2" s="383"/>
      <c r="CT2" s="383" t="s">
        <v>393</v>
      </c>
      <c r="DB2" s="383" t="s">
        <v>393</v>
      </c>
    </row>
    <row r="3" spans="1:106" s="384" customFormat="1" ht="21" customHeight="1" x14ac:dyDescent="0.25">
      <c r="A3" s="1059" t="s">
        <v>396</v>
      </c>
      <c r="B3" s="1061" t="s">
        <v>219</v>
      </c>
      <c r="C3" s="1055" t="s">
        <v>397</v>
      </c>
      <c r="D3" s="1056"/>
      <c r="E3" s="1056"/>
      <c r="F3" s="1056"/>
      <c r="G3" s="1056"/>
      <c r="H3" s="1056"/>
      <c r="I3" s="1056"/>
      <c r="J3" s="1057"/>
      <c r="K3" s="1055" t="s">
        <v>433</v>
      </c>
      <c r="L3" s="1056"/>
      <c r="M3" s="1056"/>
      <c r="N3" s="1056"/>
      <c r="O3" s="1056"/>
      <c r="P3" s="1056"/>
      <c r="Q3" s="1056"/>
      <c r="R3" s="1057"/>
      <c r="S3" s="1055" t="s">
        <v>220</v>
      </c>
      <c r="T3" s="1056"/>
      <c r="U3" s="1056"/>
      <c r="V3" s="1056"/>
      <c r="W3" s="1056"/>
      <c r="X3" s="1056"/>
      <c r="Y3" s="1056"/>
      <c r="Z3" s="1057"/>
      <c r="AA3" s="1055" t="s">
        <v>435</v>
      </c>
      <c r="AB3" s="1056"/>
      <c r="AC3" s="1056"/>
      <c r="AD3" s="1056"/>
      <c r="AE3" s="1056"/>
      <c r="AF3" s="1056"/>
      <c r="AG3" s="1056"/>
      <c r="AH3" s="1057"/>
      <c r="AI3" s="1055" t="s">
        <v>436</v>
      </c>
      <c r="AJ3" s="1056"/>
      <c r="AK3" s="1056"/>
      <c r="AL3" s="1056"/>
      <c r="AM3" s="1056"/>
      <c r="AN3" s="1056"/>
      <c r="AO3" s="1056"/>
      <c r="AP3" s="1057"/>
      <c r="AQ3" s="1055" t="s">
        <v>221</v>
      </c>
      <c r="AR3" s="1056"/>
      <c r="AS3" s="1056"/>
      <c r="AT3" s="1056"/>
      <c r="AU3" s="1056"/>
      <c r="AV3" s="1056"/>
      <c r="AW3" s="1056"/>
      <c r="AX3" s="1057"/>
      <c r="AY3" s="1055" t="s">
        <v>222</v>
      </c>
      <c r="AZ3" s="1056"/>
      <c r="BA3" s="1056"/>
      <c r="BB3" s="1056"/>
      <c r="BC3" s="1056"/>
      <c r="BD3" s="1056"/>
      <c r="BE3" s="1056"/>
      <c r="BF3" s="1057"/>
      <c r="BG3" s="1055" t="s">
        <v>223</v>
      </c>
      <c r="BH3" s="1056"/>
      <c r="BI3" s="1056"/>
      <c r="BJ3" s="1056"/>
      <c r="BK3" s="1056"/>
      <c r="BL3" s="1056"/>
      <c r="BM3" s="1056"/>
      <c r="BN3" s="1057"/>
      <c r="BO3" s="1055" t="s">
        <v>440</v>
      </c>
      <c r="BP3" s="1056"/>
      <c r="BQ3" s="1056"/>
      <c r="BR3" s="1056"/>
      <c r="BS3" s="1056"/>
      <c r="BT3" s="1056"/>
      <c r="BU3" s="1056"/>
      <c r="BV3" s="1057"/>
      <c r="BW3" s="1055" t="s">
        <v>441</v>
      </c>
      <c r="BX3" s="1056"/>
      <c r="BY3" s="1056"/>
      <c r="BZ3" s="1056"/>
      <c r="CA3" s="1056"/>
      <c r="CB3" s="1056"/>
      <c r="CC3" s="1056"/>
      <c r="CD3" s="1057"/>
      <c r="CE3" s="1055" t="s">
        <v>442</v>
      </c>
      <c r="CF3" s="1056"/>
      <c r="CG3" s="1056"/>
      <c r="CH3" s="1056"/>
      <c r="CI3" s="1056"/>
      <c r="CJ3" s="1056"/>
      <c r="CK3" s="1056"/>
      <c r="CL3" s="1057"/>
      <c r="CM3" s="1055" t="s">
        <v>51</v>
      </c>
      <c r="CN3" s="1056"/>
      <c r="CO3" s="1056"/>
      <c r="CP3" s="1056"/>
      <c r="CQ3" s="1056"/>
      <c r="CR3" s="1056"/>
      <c r="CS3" s="1056"/>
      <c r="CT3" s="1057"/>
      <c r="CU3" s="1055" t="s">
        <v>443</v>
      </c>
      <c r="CV3" s="1056"/>
      <c r="CW3" s="1056"/>
      <c r="CX3" s="1056"/>
      <c r="CY3" s="1056"/>
      <c r="CZ3" s="1056"/>
      <c r="DA3" s="1056"/>
      <c r="DB3" s="1058"/>
    </row>
    <row r="4" spans="1:106" s="385" customFormat="1" ht="24.95" customHeight="1" x14ac:dyDescent="0.25">
      <c r="A4" s="1060"/>
      <c r="B4" s="1062"/>
      <c r="C4" s="1050" t="s">
        <v>837</v>
      </c>
      <c r="D4" s="1051"/>
      <c r="E4" s="1052"/>
      <c r="F4" s="1050" t="s">
        <v>969</v>
      </c>
      <c r="G4" s="1051"/>
      <c r="H4" s="1052"/>
      <c r="I4" s="1053" t="s">
        <v>974</v>
      </c>
      <c r="J4" s="1053" t="s">
        <v>975</v>
      </c>
      <c r="K4" s="1050" t="s">
        <v>837</v>
      </c>
      <c r="L4" s="1051"/>
      <c r="M4" s="1052"/>
      <c r="N4" s="1050" t="s">
        <v>969</v>
      </c>
      <c r="O4" s="1051"/>
      <c r="P4" s="1052"/>
      <c r="Q4" s="1053" t="s">
        <v>974</v>
      </c>
      <c r="R4" s="1053" t="s">
        <v>975</v>
      </c>
      <c r="S4" s="1050" t="s">
        <v>837</v>
      </c>
      <c r="T4" s="1051"/>
      <c r="U4" s="1052"/>
      <c r="V4" s="1050" t="s">
        <v>969</v>
      </c>
      <c r="W4" s="1051"/>
      <c r="X4" s="1052"/>
      <c r="Y4" s="1053" t="s">
        <v>974</v>
      </c>
      <c r="Z4" s="1053" t="s">
        <v>975</v>
      </c>
      <c r="AA4" s="1050" t="s">
        <v>837</v>
      </c>
      <c r="AB4" s="1051"/>
      <c r="AC4" s="1052"/>
      <c r="AD4" s="1050" t="s">
        <v>969</v>
      </c>
      <c r="AE4" s="1051"/>
      <c r="AF4" s="1052"/>
      <c r="AG4" s="1053" t="s">
        <v>974</v>
      </c>
      <c r="AH4" s="1053" t="s">
        <v>975</v>
      </c>
      <c r="AI4" s="1050" t="s">
        <v>837</v>
      </c>
      <c r="AJ4" s="1051"/>
      <c r="AK4" s="1052"/>
      <c r="AL4" s="1050" t="s">
        <v>969</v>
      </c>
      <c r="AM4" s="1051"/>
      <c r="AN4" s="1052"/>
      <c r="AO4" s="1053" t="s">
        <v>974</v>
      </c>
      <c r="AP4" s="1053" t="s">
        <v>975</v>
      </c>
      <c r="AQ4" s="1050" t="s">
        <v>837</v>
      </c>
      <c r="AR4" s="1051"/>
      <c r="AS4" s="1052"/>
      <c r="AT4" s="1050" t="s">
        <v>969</v>
      </c>
      <c r="AU4" s="1051"/>
      <c r="AV4" s="1052"/>
      <c r="AW4" s="1053" t="s">
        <v>974</v>
      </c>
      <c r="AX4" s="1053" t="s">
        <v>975</v>
      </c>
      <c r="AY4" s="1050" t="s">
        <v>837</v>
      </c>
      <c r="AZ4" s="1051"/>
      <c r="BA4" s="1052"/>
      <c r="BB4" s="1050" t="s">
        <v>969</v>
      </c>
      <c r="BC4" s="1051"/>
      <c r="BD4" s="1052"/>
      <c r="BE4" s="1053" t="s">
        <v>974</v>
      </c>
      <c r="BF4" s="1053" t="s">
        <v>975</v>
      </c>
      <c r="BG4" s="1050" t="s">
        <v>837</v>
      </c>
      <c r="BH4" s="1051"/>
      <c r="BI4" s="1052"/>
      <c r="BJ4" s="1050" t="s">
        <v>969</v>
      </c>
      <c r="BK4" s="1051"/>
      <c r="BL4" s="1052"/>
      <c r="BM4" s="1053" t="s">
        <v>974</v>
      </c>
      <c r="BN4" s="1053" t="s">
        <v>975</v>
      </c>
      <c r="BO4" s="1050" t="s">
        <v>837</v>
      </c>
      <c r="BP4" s="1051"/>
      <c r="BQ4" s="1052"/>
      <c r="BR4" s="1050" t="s">
        <v>969</v>
      </c>
      <c r="BS4" s="1051"/>
      <c r="BT4" s="1052"/>
      <c r="BU4" s="1053" t="s">
        <v>974</v>
      </c>
      <c r="BV4" s="1053" t="s">
        <v>975</v>
      </c>
      <c r="BW4" s="1050" t="s">
        <v>837</v>
      </c>
      <c r="BX4" s="1051"/>
      <c r="BY4" s="1052"/>
      <c r="BZ4" s="1050" t="s">
        <v>969</v>
      </c>
      <c r="CA4" s="1051"/>
      <c r="CB4" s="1052"/>
      <c r="CC4" s="1053" t="s">
        <v>974</v>
      </c>
      <c r="CD4" s="1053" t="s">
        <v>975</v>
      </c>
      <c r="CE4" s="1050" t="s">
        <v>837</v>
      </c>
      <c r="CF4" s="1051"/>
      <c r="CG4" s="1052"/>
      <c r="CH4" s="1050" t="s">
        <v>969</v>
      </c>
      <c r="CI4" s="1051"/>
      <c r="CJ4" s="1052"/>
      <c r="CK4" s="1053" t="s">
        <v>974</v>
      </c>
      <c r="CL4" s="1053" t="s">
        <v>975</v>
      </c>
      <c r="CM4" s="1050" t="s">
        <v>837</v>
      </c>
      <c r="CN4" s="1051"/>
      <c r="CO4" s="1052"/>
      <c r="CP4" s="1050" t="s">
        <v>969</v>
      </c>
      <c r="CQ4" s="1051"/>
      <c r="CR4" s="1052"/>
      <c r="CS4" s="1053" t="s">
        <v>974</v>
      </c>
      <c r="CT4" s="1053" t="s">
        <v>975</v>
      </c>
      <c r="CU4" s="1050" t="s">
        <v>837</v>
      </c>
      <c r="CV4" s="1051"/>
      <c r="CW4" s="1052"/>
      <c r="CX4" s="1050" t="s">
        <v>969</v>
      </c>
      <c r="CY4" s="1051"/>
      <c r="CZ4" s="1052"/>
      <c r="DA4" s="1053" t="s">
        <v>974</v>
      </c>
      <c r="DB4" s="1053" t="s">
        <v>975</v>
      </c>
    </row>
    <row r="5" spans="1:106" s="385" customFormat="1" ht="116.25" customHeight="1" x14ac:dyDescent="0.25">
      <c r="A5" s="1060"/>
      <c r="B5" s="1062"/>
      <c r="C5" s="386" t="s">
        <v>468</v>
      </c>
      <c r="D5" s="386" t="s">
        <v>970</v>
      </c>
      <c r="E5" s="386" t="s">
        <v>971</v>
      </c>
      <c r="F5" s="386" t="s">
        <v>469</v>
      </c>
      <c r="G5" s="386" t="s">
        <v>972</v>
      </c>
      <c r="H5" s="386" t="s">
        <v>973</v>
      </c>
      <c r="I5" s="1054"/>
      <c r="J5" s="1054"/>
      <c r="K5" s="386" t="s">
        <v>468</v>
      </c>
      <c r="L5" s="386" t="s">
        <v>970</v>
      </c>
      <c r="M5" s="386" t="s">
        <v>971</v>
      </c>
      <c r="N5" s="386" t="s">
        <v>469</v>
      </c>
      <c r="O5" s="386" t="s">
        <v>972</v>
      </c>
      <c r="P5" s="386" t="s">
        <v>973</v>
      </c>
      <c r="Q5" s="1054"/>
      <c r="R5" s="1054"/>
      <c r="S5" s="386" t="s">
        <v>468</v>
      </c>
      <c r="T5" s="386" t="s">
        <v>970</v>
      </c>
      <c r="U5" s="386" t="s">
        <v>971</v>
      </c>
      <c r="V5" s="386" t="s">
        <v>469</v>
      </c>
      <c r="W5" s="386" t="s">
        <v>972</v>
      </c>
      <c r="X5" s="386" t="s">
        <v>973</v>
      </c>
      <c r="Y5" s="1054"/>
      <c r="Z5" s="1054"/>
      <c r="AA5" s="386" t="s">
        <v>468</v>
      </c>
      <c r="AB5" s="386" t="s">
        <v>970</v>
      </c>
      <c r="AC5" s="386" t="s">
        <v>971</v>
      </c>
      <c r="AD5" s="386" t="s">
        <v>469</v>
      </c>
      <c r="AE5" s="386" t="s">
        <v>972</v>
      </c>
      <c r="AF5" s="386" t="s">
        <v>973</v>
      </c>
      <c r="AG5" s="1054"/>
      <c r="AH5" s="1054"/>
      <c r="AI5" s="386" t="s">
        <v>468</v>
      </c>
      <c r="AJ5" s="386" t="s">
        <v>970</v>
      </c>
      <c r="AK5" s="386" t="s">
        <v>971</v>
      </c>
      <c r="AL5" s="386" t="s">
        <v>469</v>
      </c>
      <c r="AM5" s="386" t="s">
        <v>972</v>
      </c>
      <c r="AN5" s="386" t="s">
        <v>973</v>
      </c>
      <c r="AO5" s="1054"/>
      <c r="AP5" s="1054"/>
      <c r="AQ5" s="386" t="s">
        <v>468</v>
      </c>
      <c r="AR5" s="386" t="s">
        <v>970</v>
      </c>
      <c r="AS5" s="386" t="s">
        <v>971</v>
      </c>
      <c r="AT5" s="386" t="s">
        <v>469</v>
      </c>
      <c r="AU5" s="386" t="s">
        <v>972</v>
      </c>
      <c r="AV5" s="386" t="s">
        <v>973</v>
      </c>
      <c r="AW5" s="1054"/>
      <c r="AX5" s="1054"/>
      <c r="AY5" s="386" t="s">
        <v>468</v>
      </c>
      <c r="AZ5" s="386" t="s">
        <v>970</v>
      </c>
      <c r="BA5" s="386" t="s">
        <v>971</v>
      </c>
      <c r="BB5" s="386" t="s">
        <v>469</v>
      </c>
      <c r="BC5" s="386" t="s">
        <v>972</v>
      </c>
      <c r="BD5" s="386" t="s">
        <v>973</v>
      </c>
      <c r="BE5" s="1054"/>
      <c r="BF5" s="1054"/>
      <c r="BG5" s="386" t="s">
        <v>468</v>
      </c>
      <c r="BH5" s="386" t="s">
        <v>970</v>
      </c>
      <c r="BI5" s="386" t="s">
        <v>971</v>
      </c>
      <c r="BJ5" s="386" t="s">
        <v>469</v>
      </c>
      <c r="BK5" s="386" t="s">
        <v>972</v>
      </c>
      <c r="BL5" s="386" t="s">
        <v>973</v>
      </c>
      <c r="BM5" s="1054"/>
      <c r="BN5" s="1054"/>
      <c r="BO5" s="386" t="s">
        <v>468</v>
      </c>
      <c r="BP5" s="386" t="s">
        <v>970</v>
      </c>
      <c r="BQ5" s="386" t="s">
        <v>971</v>
      </c>
      <c r="BR5" s="386" t="s">
        <v>469</v>
      </c>
      <c r="BS5" s="386" t="s">
        <v>972</v>
      </c>
      <c r="BT5" s="386" t="s">
        <v>973</v>
      </c>
      <c r="BU5" s="1054"/>
      <c r="BV5" s="1054"/>
      <c r="BW5" s="386" t="s">
        <v>468</v>
      </c>
      <c r="BX5" s="386" t="s">
        <v>970</v>
      </c>
      <c r="BY5" s="386" t="s">
        <v>971</v>
      </c>
      <c r="BZ5" s="386" t="s">
        <v>469</v>
      </c>
      <c r="CA5" s="386" t="s">
        <v>972</v>
      </c>
      <c r="CB5" s="386" t="s">
        <v>973</v>
      </c>
      <c r="CC5" s="1054"/>
      <c r="CD5" s="1054"/>
      <c r="CE5" s="386" t="s">
        <v>468</v>
      </c>
      <c r="CF5" s="386" t="s">
        <v>970</v>
      </c>
      <c r="CG5" s="386" t="s">
        <v>971</v>
      </c>
      <c r="CH5" s="386" t="s">
        <v>469</v>
      </c>
      <c r="CI5" s="386" t="s">
        <v>972</v>
      </c>
      <c r="CJ5" s="386" t="s">
        <v>973</v>
      </c>
      <c r="CK5" s="1054"/>
      <c r="CL5" s="1054"/>
      <c r="CM5" s="386" t="s">
        <v>468</v>
      </c>
      <c r="CN5" s="386" t="s">
        <v>970</v>
      </c>
      <c r="CO5" s="386" t="s">
        <v>971</v>
      </c>
      <c r="CP5" s="386" t="s">
        <v>469</v>
      </c>
      <c r="CQ5" s="386" t="s">
        <v>972</v>
      </c>
      <c r="CR5" s="386" t="s">
        <v>973</v>
      </c>
      <c r="CS5" s="1054"/>
      <c r="CT5" s="1054"/>
      <c r="CU5" s="386" t="s">
        <v>468</v>
      </c>
      <c r="CV5" s="386" t="s">
        <v>970</v>
      </c>
      <c r="CW5" s="386" t="s">
        <v>971</v>
      </c>
      <c r="CX5" s="386" t="s">
        <v>469</v>
      </c>
      <c r="CY5" s="386" t="s">
        <v>972</v>
      </c>
      <c r="CZ5" s="386" t="s">
        <v>973</v>
      </c>
      <c r="DA5" s="1054"/>
      <c r="DB5" s="1054"/>
    </row>
    <row r="6" spans="1:106" s="390" customFormat="1" x14ac:dyDescent="0.2">
      <c r="A6" s="387" t="s">
        <v>279</v>
      </c>
      <c r="B6" s="388" t="s">
        <v>295</v>
      </c>
      <c r="C6" s="389">
        <v>1</v>
      </c>
      <c r="D6" s="389">
        <f>C6+1</f>
        <v>2</v>
      </c>
      <c r="E6" s="389">
        <v>3</v>
      </c>
      <c r="F6" s="389">
        <v>4</v>
      </c>
      <c r="G6" s="389">
        <v>5</v>
      </c>
      <c r="H6" s="389">
        <v>6</v>
      </c>
      <c r="I6" s="388" t="s">
        <v>552</v>
      </c>
      <c r="J6" s="388" t="s">
        <v>553</v>
      </c>
      <c r="K6" s="389">
        <v>1</v>
      </c>
      <c r="L6" s="389">
        <f>K6+1</f>
        <v>2</v>
      </c>
      <c r="M6" s="389">
        <v>3</v>
      </c>
      <c r="N6" s="389">
        <v>4</v>
      </c>
      <c r="O6" s="389">
        <v>5</v>
      </c>
      <c r="P6" s="389">
        <v>6</v>
      </c>
      <c r="Q6" s="388" t="s">
        <v>552</v>
      </c>
      <c r="R6" s="388" t="s">
        <v>553</v>
      </c>
      <c r="S6" s="389">
        <v>1</v>
      </c>
      <c r="T6" s="389">
        <f>S6+1</f>
        <v>2</v>
      </c>
      <c r="U6" s="389">
        <v>3</v>
      </c>
      <c r="V6" s="389">
        <v>4</v>
      </c>
      <c r="W6" s="389">
        <v>5</v>
      </c>
      <c r="X6" s="389">
        <v>6</v>
      </c>
      <c r="Y6" s="388" t="s">
        <v>552</v>
      </c>
      <c r="Z6" s="388" t="s">
        <v>553</v>
      </c>
      <c r="AA6" s="389">
        <v>1</v>
      </c>
      <c r="AB6" s="389">
        <f>AA6+1</f>
        <v>2</v>
      </c>
      <c r="AC6" s="389">
        <v>3</v>
      </c>
      <c r="AD6" s="389">
        <v>4</v>
      </c>
      <c r="AE6" s="389">
        <v>5</v>
      </c>
      <c r="AF6" s="389">
        <v>6</v>
      </c>
      <c r="AG6" s="388" t="s">
        <v>552</v>
      </c>
      <c r="AH6" s="388" t="s">
        <v>553</v>
      </c>
      <c r="AI6" s="389">
        <v>1</v>
      </c>
      <c r="AJ6" s="389">
        <f>AI6+1</f>
        <v>2</v>
      </c>
      <c r="AK6" s="389">
        <v>3</v>
      </c>
      <c r="AL6" s="389">
        <v>4</v>
      </c>
      <c r="AM6" s="389">
        <v>5</v>
      </c>
      <c r="AN6" s="389">
        <v>6</v>
      </c>
      <c r="AO6" s="388" t="s">
        <v>552</v>
      </c>
      <c r="AP6" s="388" t="s">
        <v>553</v>
      </c>
      <c r="AQ6" s="389">
        <v>1</v>
      </c>
      <c r="AR6" s="389">
        <f>AQ6+1</f>
        <v>2</v>
      </c>
      <c r="AS6" s="389">
        <v>3</v>
      </c>
      <c r="AT6" s="389">
        <v>4</v>
      </c>
      <c r="AU6" s="389">
        <v>5</v>
      </c>
      <c r="AV6" s="389">
        <v>6</v>
      </c>
      <c r="AW6" s="388" t="s">
        <v>552</v>
      </c>
      <c r="AX6" s="388" t="s">
        <v>553</v>
      </c>
      <c r="AY6" s="389">
        <v>1</v>
      </c>
      <c r="AZ6" s="389">
        <f>AY6+1</f>
        <v>2</v>
      </c>
      <c r="BA6" s="389">
        <v>3</v>
      </c>
      <c r="BB6" s="389">
        <v>4</v>
      </c>
      <c r="BC6" s="389">
        <v>5</v>
      </c>
      <c r="BD6" s="389">
        <v>6</v>
      </c>
      <c r="BE6" s="388" t="s">
        <v>552</v>
      </c>
      <c r="BF6" s="388" t="s">
        <v>553</v>
      </c>
      <c r="BG6" s="389">
        <v>1</v>
      </c>
      <c r="BH6" s="389">
        <f>BG6+1</f>
        <v>2</v>
      </c>
      <c r="BI6" s="389">
        <v>3</v>
      </c>
      <c r="BJ6" s="389">
        <v>4</v>
      </c>
      <c r="BK6" s="389">
        <v>5</v>
      </c>
      <c r="BL6" s="389">
        <v>6</v>
      </c>
      <c r="BM6" s="388" t="s">
        <v>552</v>
      </c>
      <c r="BN6" s="388" t="s">
        <v>553</v>
      </c>
      <c r="BO6" s="389">
        <v>1</v>
      </c>
      <c r="BP6" s="389">
        <f>BO6+1</f>
        <v>2</v>
      </c>
      <c r="BQ6" s="389">
        <v>3</v>
      </c>
      <c r="BR6" s="389">
        <v>4</v>
      </c>
      <c r="BS6" s="389">
        <v>5</v>
      </c>
      <c r="BT6" s="389">
        <v>6</v>
      </c>
      <c r="BU6" s="388" t="s">
        <v>552</v>
      </c>
      <c r="BV6" s="388" t="s">
        <v>553</v>
      </c>
      <c r="BW6" s="389">
        <v>1</v>
      </c>
      <c r="BX6" s="389">
        <f>BW6+1</f>
        <v>2</v>
      </c>
      <c r="BY6" s="389">
        <v>3</v>
      </c>
      <c r="BZ6" s="389">
        <v>4</v>
      </c>
      <c r="CA6" s="389">
        <v>5</v>
      </c>
      <c r="CB6" s="389">
        <v>6</v>
      </c>
      <c r="CC6" s="388" t="s">
        <v>552</v>
      </c>
      <c r="CD6" s="388" t="s">
        <v>553</v>
      </c>
      <c r="CE6" s="389">
        <v>1</v>
      </c>
      <c r="CF6" s="389">
        <f>CE6+1</f>
        <v>2</v>
      </c>
      <c r="CG6" s="389">
        <v>3</v>
      </c>
      <c r="CH6" s="389">
        <v>4</v>
      </c>
      <c r="CI6" s="389">
        <v>5</v>
      </c>
      <c r="CJ6" s="389">
        <v>6</v>
      </c>
      <c r="CK6" s="388" t="s">
        <v>552</v>
      </c>
      <c r="CL6" s="388" t="s">
        <v>553</v>
      </c>
      <c r="CM6" s="389">
        <v>1</v>
      </c>
      <c r="CN6" s="389">
        <f>CM6+1</f>
        <v>2</v>
      </c>
      <c r="CO6" s="389">
        <v>3</v>
      </c>
      <c r="CP6" s="389">
        <v>4</v>
      </c>
      <c r="CQ6" s="389">
        <v>5</v>
      </c>
      <c r="CR6" s="389">
        <v>6</v>
      </c>
      <c r="CS6" s="388" t="s">
        <v>552</v>
      </c>
      <c r="CT6" s="388" t="s">
        <v>553</v>
      </c>
      <c r="CU6" s="389">
        <v>1</v>
      </c>
      <c r="CV6" s="389">
        <f>CU6+1</f>
        <v>2</v>
      </c>
      <c r="CW6" s="389">
        <v>3</v>
      </c>
      <c r="CX6" s="389">
        <v>4</v>
      </c>
      <c r="CY6" s="389">
        <v>5</v>
      </c>
      <c r="CZ6" s="389">
        <v>6</v>
      </c>
      <c r="DA6" s="388" t="s">
        <v>552</v>
      </c>
      <c r="DB6" s="388" t="s">
        <v>553</v>
      </c>
    </row>
    <row r="7" spans="1:106" s="393" customFormat="1" ht="18.95" customHeight="1" x14ac:dyDescent="0.2">
      <c r="A7" s="391" t="s">
        <v>281</v>
      </c>
      <c r="B7" s="392" t="s">
        <v>224</v>
      </c>
      <c r="C7" s="814">
        <f>SUM(C8,C9,C10,C11,C12,C15,C17,C19)</f>
        <v>5675726</v>
      </c>
      <c r="D7" s="814">
        <f>SUM(D8,D9,D11,D12,D15,D17,D19)</f>
        <v>0</v>
      </c>
      <c r="E7" s="814">
        <f>SUM(E8,E9,E10,E11,E12,E15,E17,E19)</f>
        <v>6063640</v>
      </c>
      <c r="F7" s="814">
        <f>SUM(F8,F9,F10,F11,F12,F15,F17,F18,F19)</f>
        <v>5908636</v>
      </c>
      <c r="G7" s="814">
        <f>SUM(G8,G9,G10,G11,G12,G15,G17,G18,G19)</f>
        <v>0</v>
      </c>
      <c r="H7" s="814">
        <f>SUM(H8,H9,H10,H11,H12,H15,H17,H18,H19)</f>
        <v>6096576</v>
      </c>
      <c r="I7" s="815">
        <f>F7-C7</f>
        <v>232910</v>
      </c>
      <c r="J7" s="816">
        <f>F7/C7%</f>
        <v>104.10361599555722</v>
      </c>
      <c r="K7" s="814">
        <f>SUM(K8,K9,K10,K11,K12,K15,K17,K19)</f>
        <v>432829</v>
      </c>
      <c r="L7" s="814">
        <f>SUM(L8,L9,L11,L12,L15,L17,L19)</f>
        <v>0</v>
      </c>
      <c r="M7" s="814">
        <f>SUM(M8,M9,M10,M11,M12,M15,M17,M19)</f>
        <v>450435</v>
      </c>
      <c r="N7" s="814">
        <f>SUM(N8,N9,N10,N11,N12,N15,N17,N18,N19)</f>
        <v>434309</v>
      </c>
      <c r="O7" s="814">
        <f>SUM(O8,O9,O10,O11,O12,O15,O17,O18,O19)</f>
        <v>0</v>
      </c>
      <c r="P7" s="814">
        <f>SUM(P8,P9,P10,P11,P12,P15,P17,P18,P19)</f>
        <v>451600</v>
      </c>
      <c r="Q7" s="815">
        <f>N7-K7</f>
        <v>1480</v>
      </c>
      <c r="R7" s="816">
        <f>N7/K7%</f>
        <v>100.34193642292915</v>
      </c>
      <c r="S7" s="814">
        <f>SUM(S8,S9,S10,S11,S12,S15,S17,S19)</f>
        <v>354364</v>
      </c>
      <c r="T7" s="814">
        <f>SUM(T8,T9,T11,T12,T15,T17,T19)</f>
        <v>0</v>
      </c>
      <c r="U7" s="814">
        <f>SUM(U8,U9,U10,U11,U12,U15,U17,U19)</f>
        <v>389764</v>
      </c>
      <c r="V7" s="814">
        <f>SUM(V8,V9,V10,V11,V12,V15,V17,V18,V19)</f>
        <v>355008</v>
      </c>
      <c r="W7" s="814">
        <f>SUM(W8,W9,W10,W11,W12,W15,W17,W18,W19)</f>
        <v>0</v>
      </c>
      <c r="X7" s="814">
        <f>SUM(X8,X9,X10,X11,X12,X15,X17,X18,X19)</f>
        <v>367217</v>
      </c>
      <c r="Y7" s="814">
        <f>SUM(Y8,Y9,Y11,Y12,Y15,Y17,Y19)</f>
        <v>644</v>
      </c>
      <c r="Z7" s="816">
        <f>V7/S7%</f>
        <v>100.18173403618879</v>
      </c>
      <c r="AA7" s="814">
        <f>SUM(AA8,AA9,AA10,AA11,AA12,AA15,AA17,AA19)</f>
        <v>385399</v>
      </c>
      <c r="AB7" s="814">
        <f>SUM(AB8,AB9,AB11,AB12,AB15,AB17,AB19)</f>
        <v>0</v>
      </c>
      <c r="AC7" s="814">
        <f>SUM(AC8,AC9,AC10,AC11,AC12,AC15,AC17,AC19)</f>
        <v>407794</v>
      </c>
      <c r="AD7" s="814">
        <f>SUM(AD8,AD9,AD10,AD11,AD12,AD15,AD17,AD18,AD19)</f>
        <v>387065</v>
      </c>
      <c r="AE7" s="814">
        <f>SUM(AE8,AE9,AE10,AE11,AE12,AE15,AE17,AE18,AE19)</f>
        <v>0</v>
      </c>
      <c r="AF7" s="814">
        <f>SUM(AF8,AF9,AF10,AF11,AF12,AF15,AF17,AF18,AF19)</f>
        <v>403536</v>
      </c>
      <c r="AG7" s="814">
        <f>SUM(AG8,AG9,AG11,AG12,AG15,AG17,AG19)</f>
        <v>1666</v>
      </c>
      <c r="AH7" s="816">
        <f>AD7/AA7%</f>
        <v>100.43227927420673</v>
      </c>
      <c r="AI7" s="814">
        <f>SUM(AI8,AI9,AI10,AI11,AI12,AI15,AI17,AI19)</f>
        <v>394999</v>
      </c>
      <c r="AJ7" s="814">
        <f>SUM(AJ8,AJ9,AJ11,AJ12,AJ15,AJ17,AJ19)</f>
        <v>0</v>
      </c>
      <c r="AK7" s="814">
        <f>SUM(AK8,AK9,AK10,AK11,AK12,AK15,AK17,AK19)</f>
        <v>401238</v>
      </c>
      <c r="AL7" s="814">
        <f>SUM(AL8,AL9,AL10,AL11,AL12,AL15,AL17,AL18,AL19)</f>
        <v>384992</v>
      </c>
      <c r="AM7" s="814">
        <f>SUM(AM8,AM9,AM10,AM11,AM12,AM15,AM17,AM18,AM19)</f>
        <v>0</v>
      </c>
      <c r="AN7" s="814">
        <f>SUM(AN8,AN9,AN10,AN11,AN12,AN15,AN17,AN18,AN19)</f>
        <v>408417</v>
      </c>
      <c r="AO7" s="814">
        <f>SUM(AO8,AO9,AO11,AO12,AO15,AO17,AO19)</f>
        <v>-10007</v>
      </c>
      <c r="AP7" s="816">
        <f>AL7/AI7%</f>
        <v>97.466575864749032</v>
      </c>
      <c r="AQ7" s="814">
        <f>SUM(AQ8,AQ9,AQ10,AQ11,AQ12,AQ15,AQ17,AQ19)</f>
        <v>479930</v>
      </c>
      <c r="AR7" s="814">
        <f>SUM(AR8,AR9,AR11,AR12,AR15,AR17,AR19)</f>
        <v>0</v>
      </c>
      <c r="AS7" s="814">
        <f>SUM(AS8,AS9,AS10,AS11,AS12,AS15,AS17,AS19)</f>
        <v>482544</v>
      </c>
      <c r="AT7" s="814">
        <f>SUM(AT8,AT9,AT10,AT11,AT12,AT15,AT17,AT18,AT19)</f>
        <v>491117</v>
      </c>
      <c r="AU7" s="814">
        <f>SUM(AU8,AU9,AU10,AU11,AU12,AU15,AU17,AU18,AU19)</f>
        <v>0</v>
      </c>
      <c r="AV7" s="814">
        <f>SUM(AV8,AV9,AV10,AV11,AV12,AV15,AV17,AV18,AV19)</f>
        <v>505581</v>
      </c>
      <c r="AW7" s="814">
        <f>SUM(AW8,AW9,AW11,AW12,AW15,AW17,AW19)</f>
        <v>11187</v>
      </c>
      <c r="AX7" s="816">
        <f>AT7/AQ7%</f>
        <v>102.33096493238597</v>
      </c>
      <c r="AY7" s="814">
        <f>SUM(AY8,AY9,AY10,AY11,AY12,AY15,AY17,AY19)</f>
        <v>681102</v>
      </c>
      <c r="AZ7" s="814">
        <f>SUM(AZ8,AZ9,AZ11,AZ12,AZ15,AZ17,AZ19)</f>
        <v>0</v>
      </c>
      <c r="BA7" s="814">
        <f>SUM(BA8,BA9,BA10,BA11,BA12,BA15,BA17,BA19)</f>
        <v>834192</v>
      </c>
      <c r="BB7" s="814">
        <f>SUM(BB8,BB9,BB10,BB11,BB12,BB15,BB17,BB18,BB19)</f>
        <v>841267</v>
      </c>
      <c r="BC7" s="814">
        <f>SUM(BC8,BC9,BC10,BC11,BC12,BC15,BC17,BC18,BC19)</f>
        <v>0</v>
      </c>
      <c r="BD7" s="814">
        <f>SUM(BD8,BD9,BD10,BD11,BD12,BD15,BD17,BD18,BD19)</f>
        <v>833710</v>
      </c>
      <c r="BE7" s="814">
        <f>SUM(BE8,BE9,BE11,BE12,BE15,BE17,BE19)</f>
        <v>160165</v>
      </c>
      <c r="BF7" s="816">
        <f>BB7/AY7%</f>
        <v>123.51556741868325</v>
      </c>
      <c r="BG7" s="814">
        <f>SUM(BG8,BG9,BG10,BG11,BG12,BG15,BG17,BG19)</f>
        <v>613643</v>
      </c>
      <c r="BH7" s="814">
        <f>SUM(BH8,BH9,BH11,BH12,BH15,BH17,BH19)</f>
        <v>0</v>
      </c>
      <c r="BI7" s="814">
        <f>SUM(BI8,BI9,BI10,BI11,BI12,BI15,BI17,BI19)</f>
        <v>626533</v>
      </c>
      <c r="BJ7" s="814">
        <f>SUM(BJ8,BJ9,BJ10,BJ11,BJ12,BJ15,BJ17,BJ18,BJ19)</f>
        <v>614177</v>
      </c>
      <c r="BK7" s="814">
        <f>SUM(BK8,BK9,BK10,BK11,BK12,BK15,BK17,BK18,BK19)</f>
        <v>0</v>
      </c>
      <c r="BL7" s="814">
        <f>SUM(BL8,BL9,BL10,BL11,BL12,BL15,BL17,BL18,BL19)</f>
        <v>644011</v>
      </c>
      <c r="BM7" s="814">
        <f>SUM(BM8,BM9,BM11,BM12,BM15,BM17,BM19)</f>
        <v>534</v>
      </c>
      <c r="BN7" s="816">
        <f>BJ7/BG7%</f>
        <v>100.08702128110318</v>
      </c>
      <c r="BO7" s="814">
        <f>SUM(BO8,BO9,BO10,BO11,BO12,BO15,BO17,BO19)</f>
        <v>537610</v>
      </c>
      <c r="BP7" s="814">
        <f>SUM(BP8,BP9,BP11,BP12,BP15,BP17,BP19)</f>
        <v>0</v>
      </c>
      <c r="BQ7" s="814">
        <f>SUM(BQ8,BQ9,BQ10,BQ11,BQ12,BQ15,BQ17,BQ19)</f>
        <v>543769</v>
      </c>
      <c r="BR7" s="814">
        <f>SUM(BR8,BR9,BR10,BR11,BR12,BR15,BR17,BR18,BR19)</f>
        <v>560541</v>
      </c>
      <c r="BS7" s="814">
        <f>SUM(BS8,BS9,BS10,BS11,BS12,BS15,BS17,BS18,BS19)</f>
        <v>0</v>
      </c>
      <c r="BT7" s="814">
        <f>SUM(BT8,BT9,BT10,BT11,BT12,BT15,BT17,BT18,BT19)</f>
        <v>572951</v>
      </c>
      <c r="BU7" s="814">
        <f>SUM(BU8,BU9,BU11,BU12,BU15,BU17,BU19)</f>
        <v>22931</v>
      </c>
      <c r="BV7" s="816">
        <f>BR7/BO7%</f>
        <v>104.26535964732798</v>
      </c>
      <c r="BW7" s="814">
        <f>SUM(BW8,BW9,BW10,BW11,BW12,BW15,BW17,BW19)</f>
        <v>492575</v>
      </c>
      <c r="BX7" s="814">
        <f>SUM(BX8,BX9,BX11,BX12,BX15,BX17,BX19)</f>
        <v>0</v>
      </c>
      <c r="BY7" s="814">
        <f>SUM(BY8,BY9,BY10,BY11,BY12,BY15,BY17,BY19)</f>
        <v>527952</v>
      </c>
      <c r="BZ7" s="814">
        <f>SUM(BZ8,BZ9,BZ10,BZ11,BZ12,BZ15,BZ17,BZ18,BZ19)</f>
        <v>531043</v>
      </c>
      <c r="CA7" s="814">
        <f>SUM(CA8,CA9,CA10,CA11,CA12,CA15,CA17,CA18,CA19)</f>
        <v>0</v>
      </c>
      <c r="CB7" s="814">
        <f>SUM(CB8,CB9,CB10,CB11,CB12,CB15,CB17,CB18,CB19)</f>
        <v>519594</v>
      </c>
      <c r="CC7" s="814">
        <f>SUM(CC8,CC9,CC11,CC12,CC15,CC17,CC19)</f>
        <v>38468</v>
      </c>
      <c r="CD7" s="816">
        <f>BZ7/BW7%</f>
        <v>107.80957214637365</v>
      </c>
      <c r="CE7" s="814">
        <f>SUM(CE8,CE9,CE10,CE11,CE12,CE15,CE17,CE19)</f>
        <v>446275</v>
      </c>
      <c r="CF7" s="814">
        <f>SUM(CF8,CF9,CF11,CF12,CF15,CF17,CF19)</f>
        <v>0</v>
      </c>
      <c r="CG7" s="814">
        <f>SUM(CG8,CG9,CG10,CG11,CG12,CG15,CG17,CG19)</f>
        <v>446945</v>
      </c>
      <c r="CH7" s="814">
        <f>SUM(CH8,CH9,CH10,CH11,CH12,CH15,CH17,CH18,CH19)</f>
        <v>445761</v>
      </c>
      <c r="CI7" s="814">
        <f>SUM(CI8,CI9,CI10,CI11,CI12,CI15,CI17,CI18,CI19)</f>
        <v>0</v>
      </c>
      <c r="CJ7" s="814">
        <f>SUM(CJ8,CJ9,CJ10,CJ11,CJ12,CJ15,CJ17,CJ18,CJ19)</f>
        <v>462013</v>
      </c>
      <c r="CK7" s="814">
        <f>SUM(CK8,CK9,CK11,CK12,CK15,CK17,CK19)</f>
        <v>-514</v>
      </c>
      <c r="CL7" s="816">
        <f>CH7/CE7%</f>
        <v>99.884824379586576</v>
      </c>
      <c r="CM7" s="814">
        <f>SUM(CM8,CM9,CM10,CM11,CM12,CM15,CM17,CM19)</f>
        <v>447970</v>
      </c>
      <c r="CN7" s="814">
        <f>SUM(CN8,CN9,CN11,CN12,CN15,CN17,CN19)</f>
        <v>0</v>
      </c>
      <c r="CO7" s="814">
        <f>SUM(CO8,CO9,CO10,CO11,CO12,CO15,CO17,CO19)</f>
        <v>542930</v>
      </c>
      <c r="CP7" s="814">
        <f>SUM(CP8,CP9,CP10,CP11,CP12,CP15,CP17,CP18,CP19)</f>
        <v>444060</v>
      </c>
      <c r="CQ7" s="814">
        <f>SUM(CQ8,CQ9,CQ10,CQ11,CQ12,CQ15,CQ17,CQ18,CQ19)</f>
        <v>0</v>
      </c>
      <c r="CR7" s="814">
        <f>SUM(CR8,CR9,CR10,CR11,CR12,CR15,CR17,CR18,CR19)</f>
        <v>494945</v>
      </c>
      <c r="CS7" s="814">
        <f>SUM(CS8,CS9,CS11,CS12,CS15,CS17,CS19)</f>
        <v>-3910</v>
      </c>
      <c r="CT7" s="816">
        <f>CP7/CM7%</f>
        <v>99.127173694667064</v>
      </c>
      <c r="CU7" s="814">
        <f>SUM(CU8,CU9,CU10,CU11,CU12,CU15,CU17,CU19)</f>
        <v>409030</v>
      </c>
      <c r="CV7" s="814">
        <f>SUM(CV8,CV9,CV11,CV12,CV15,CV17,CV19)</f>
        <v>0</v>
      </c>
      <c r="CW7" s="814">
        <f>SUM(CW8,CW9,CW10,CW11,CW12,CW15,CW17,CW19)</f>
        <v>409544</v>
      </c>
      <c r="CX7" s="814">
        <f>SUM(CX8,CX9,CX10,CX11,CX12,CX15,CX17,CX18,CX19)</f>
        <v>419296</v>
      </c>
      <c r="CY7" s="814">
        <f>SUM(CY8,CY9,CY10,CY11,CY12,CY15,CY17,CY18,CY19)</f>
        <v>0</v>
      </c>
      <c r="CZ7" s="814">
        <f>SUM(CZ8,CZ9,CZ10,CZ11,CZ12,CZ15,CZ17,CZ18,CZ19)</f>
        <v>433001</v>
      </c>
      <c r="DA7" s="814">
        <f>SUM(DA8,DA9,DA11,DA12,DA15,DA17,DA19)</f>
        <v>10266</v>
      </c>
      <c r="DB7" s="816">
        <f>CX7/CU7%</f>
        <v>102.50984035400826</v>
      </c>
    </row>
    <row r="8" spans="1:106" s="396" customFormat="1" ht="18.95" customHeight="1" x14ac:dyDescent="0.2">
      <c r="A8" s="394">
        <v>1</v>
      </c>
      <c r="B8" s="395" t="s">
        <v>150</v>
      </c>
      <c r="C8" s="817">
        <f t="shared" ref="C8:C19" si="0">+K8+S8+AA8+AI8+AQ8+AY8+BG8+BO8+BW8+CE8+CM8+CU8</f>
        <v>1704160</v>
      </c>
      <c r="D8" s="817"/>
      <c r="E8" s="817">
        <f t="shared" ref="E8:E19" si="1">+M8+U8+AC8+AK8+AS8+BA8+BI8+BQ8+BY8+CG8+CO8+CW8</f>
        <v>2123276</v>
      </c>
      <c r="F8" s="817">
        <f>SUM(N8,V8,AD8,AL8,AT8,BB8,BJ8,BR8,BZ8,CH8,CP8,CX8)</f>
        <v>1817390</v>
      </c>
      <c r="G8" s="817">
        <f>SUM(O8,W8,AE8,AM8,AU8,BC8,BK8,BS8,CA8,CI8,CQ8,CY8)</f>
        <v>0</v>
      </c>
      <c r="H8" s="817">
        <f>SUM(P8,X8,AF8,AN8,AV8,BD8,BL8,BT8,CB8,CJ8,CR8,CZ8)</f>
        <v>1817390</v>
      </c>
      <c r="I8" s="818">
        <f>F8-C8</f>
        <v>113230</v>
      </c>
      <c r="J8" s="817">
        <f>F8/C8%</f>
        <v>106.64432917096987</v>
      </c>
      <c r="K8" s="817">
        <f>'Thu NSH'!P8</f>
        <v>43800</v>
      </c>
      <c r="L8" s="817"/>
      <c r="M8" s="817">
        <f>'Thu NSH'!T8</f>
        <v>61406</v>
      </c>
      <c r="N8" s="817">
        <f>'Thu NSH'!V8</f>
        <v>55200</v>
      </c>
      <c r="O8" s="817"/>
      <c r="P8" s="817">
        <f>N8</f>
        <v>55200</v>
      </c>
      <c r="Q8" s="818">
        <f>N8-K8</f>
        <v>11400</v>
      </c>
      <c r="R8" s="817">
        <f>N8/K8%</f>
        <v>126.02739726027397</v>
      </c>
      <c r="S8" s="817">
        <f>'Thu NSH'!AB8</f>
        <v>141650</v>
      </c>
      <c r="T8" s="817"/>
      <c r="U8" s="817">
        <f>'Thu NSH'!AF8</f>
        <v>177050</v>
      </c>
      <c r="V8" s="817">
        <f>'Thu NSH'!AH8</f>
        <v>148580</v>
      </c>
      <c r="W8" s="817"/>
      <c r="X8" s="817">
        <f>V8</f>
        <v>148580</v>
      </c>
      <c r="Y8" s="818">
        <f>V8-S8</f>
        <v>6930</v>
      </c>
      <c r="Z8" s="817">
        <f>V8/S8%</f>
        <v>104.8923402753265</v>
      </c>
      <c r="AA8" s="817">
        <f>'Thu NSH'!AN8</f>
        <v>36320</v>
      </c>
      <c r="AB8" s="817"/>
      <c r="AC8" s="817">
        <f>'Thu NSH'!AR8</f>
        <v>58715</v>
      </c>
      <c r="AD8" s="817">
        <f>'Thu NSH'!AT8</f>
        <v>41060</v>
      </c>
      <c r="AE8" s="817"/>
      <c r="AF8" s="817">
        <f>AD8</f>
        <v>41060</v>
      </c>
      <c r="AG8" s="818">
        <f>AD8-AA8</f>
        <v>4740</v>
      </c>
      <c r="AH8" s="817">
        <f>AD8/AA8%</f>
        <v>113.05066079295155</v>
      </c>
      <c r="AI8" s="817">
        <f>'Thu NSH'!AZ8</f>
        <v>71170</v>
      </c>
      <c r="AJ8" s="817"/>
      <c r="AK8" s="817">
        <f>'Thu NSH'!BD8</f>
        <v>79770</v>
      </c>
      <c r="AL8" s="817">
        <f>'Thu NSH'!BF8</f>
        <v>69800</v>
      </c>
      <c r="AM8" s="817"/>
      <c r="AN8" s="817">
        <f>AL8</f>
        <v>69800</v>
      </c>
      <c r="AO8" s="818">
        <f>AL8-AI8</f>
        <v>-1370</v>
      </c>
      <c r="AP8" s="817">
        <f>AL8/AI8%</f>
        <v>98.075031614444285</v>
      </c>
      <c r="AQ8" s="817">
        <f>'Thu NSH'!BL8</f>
        <v>89980</v>
      </c>
      <c r="AR8" s="817"/>
      <c r="AS8" s="817">
        <f>'Thu NSH'!BP8</f>
        <v>103452</v>
      </c>
      <c r="AT8" s="817">
        <f>'Thu NSH'!BR8</f>
        <v>99130</v>
      </c>
      <c r="AU8" s="817"/>
      <c r="AV8" s="817">
        <f>AT8</f>
        <v>99130</v>
      </c>
      <c r="AW8" s="818">
        <f>AT8-AQ8</f>
        <v>9150</v>
      </c>
      <c r="AX8" s="817">
        <f>AT8/AQ8%</f>
        <v>110.16892642809513</v>
      </c>
      <c r="AY8" s="817">
        <f>'Thu NSH'!BX8</f>
        <v>543600</v>
      </c>
      <c r="AZ8" s="817"/>
      <c r="BA8" s="817">
        <f>'Thu NSH'!CB8</f>
        <v>696690</v>
      </c>
      <c r="BB8" s="817">
        <f>'Thu NSH'!CD8</f>
        <v>577950</v>
      </c>
      <c r="BC8" s="817"/>
      <c r="BD8" s="817">
        <f>BB8</f>
        <v>577950</v>
      </c>
      <c r="BE8" s="818">
        <f>BB8-AY8</f>
        <v>34350</v>
      </c>
      <c r="BF8" s="817">
        <f>BB8/AY8%</f>
        <v>106.31898454746137</v>
      </c>
      <c r="BG8" s="817">
        <f>'Thu NSH'!CJ8</f>
        <v>121700</v>
      </c>
      <c r="BH8" s="817"/>
      <c r="BI8" s="817">
        <f>'Thu NSH'!CN8</f>
        <v>134590</v>
      </c>
      <c r="BJ8" s="817">
        <f>'Thu NSH'!CP8</f>
        <v>129950</v>
      </c>
      <c r="BK8" s="817"/>
      <c r="BL8" s="817">
        <f>BJ8</f>
        <v>129950</v>
      </c>
      <c r="BM8" s="818">
        <f>BJ8-BG8</f>
        <v>8250</v>
      </c>
      <c r="BN8" s="817">
        <f>BJ8/BG8%</f>
        <v>106.77896466721447</v>
      </c>
      <c r="BO8" s="817">
        <f>'Thu NSH'!CV8</f>
        <v>101730</v>
      </c>
      <c r="BP8" s="817"/>
      <c r="BQ8" s="817">
        <f>'Thu NSH'!CZ8</f>
        <v>111340</v>
      </c>
      <c r="BR8" s="817">
        <f>'Thu NSH'!DB8</f>
        <v>124760</v>
      </c>
      <c r="BS8" s="817"/>
      <c r="BT8" s="817">
        <f>BR8</f>
        <v>124760</v>
      </c>
      <c r="BU8" s="818">
        <f>BR8-BO8</f>
        <v>23030</v>
      </c>
      <c r="BV8" s="817">
        <f>BR8/BO8%</f>
        <v>122.63835643369704</v>
      </c>
      <c r="BW8" s="817">
        <f>'Thu NSH'!DH8</f>
        <v>113250</v>
      </c>
      <c r="BX8" s="817"/>
      <c r="BY8" s="817">
        <f>'Thu NSH'!DL8</f>
        <v>152933</v>
      </c>
      <c r="BZ8" s="817">
        <f>'Thu NSH'!DN8</f>
        <v>133600</v>
      </c>
      <c r="CA8" s="817"/>
      <c r="CB8" s="817">
        <f>BZ8</f>
        <v>133600</v>
      </c>
      <c r="CC8" s="818">
        <f>BZ8-BW8</f>
        <v>20350</v>
      </c>
      <c r="CD8" s="817">
        <f>BZ8/BW8%</f>
        <v>117.96909492273731</v>
      </c>
      <c r="CE8" s="817">
        <f>'Thu NSH'!DT8</f>
        <v>86780</v>
      </c>
      <c r="CF8" s="817"/>
      <c r="CG8" s="817">
        <f>'Thu NSH'!DX8</f>
        <v>87450</v>
      </c>
      <c r="CH8" s="817">
        <f>'Thu NSH'!DZ8</f>
        <v>88150</v>
      </c>
      <c r="CI8" s="817"/>
      <c r="CJ8" s="817">
        <f>CH8</f>
        <v>88150</v>
      </c>
      <c r="CK8" s="818">
        <f>CH8-CE8</f>
        <v>1370</v>
      </c>
      <c r="CL8" s="817">
        <f>CH8/CE8%</f>
        <v>101.5787047706845</v>
      </c>
      <c r="CM8" s="817">
        <f>'Thu NSH'!EF8</f>
        <v>275170</v>
      </c>
      <c r="CN8" s="817"/>
      <c r="CO8" s="817">
        <f>'Thu NSH'!EJ8</f>
        <v>372110</v>
      </c>
      <c r="CP8" s="817">
        <f>'Thu NSH'!EL8</f>
        <v>264860</v>
      </c>
      <c r="CQ8" s="817"/>
      <c r="CR8" s="817">
        <f>CP8</f>
        <v>264860</v>
      </c>
      <c r="CS8" s="818">
        <f>CP8-CM8</f>
        <v>-10310</v>
      </c>
      <c r="CT8" s="817">
        <f>CP8/CM8%</f>
        <v>96.253225278918492</v>
      </c>
      <c r="CU8" s="817">
        <f>'Thu NSH'!ER8</f>
        <v>79010</v>
      </c>
      <c r="CV8" s="817"/>
      <c r="CW8" s="817">
        <f>'Thu NSH'!EV8</f>
        <v>87770</v>
      </c>
      <c r="CX8" s="817">
        <f>'Thu NSH'!EX8</f>
        <v>84350</v>
      </c>
      <c r="CY8" s="817"/>
      <c r="CZ8" s="817">
        <f>CX8</f>
        <v>84350</v>
      </c>
      <c r="DA8" s="818">
        <f>CX8-CU8</f>
        <v>5340</v>
      </c>
      <c r="DB8" s="817">
        <f>CX8/CU8%</f>
        <v>106.75863814706999</v>
      </c>
    </row>
    <row r="9" spans="1:106" s="396" customFormat="1" ht="18.95" customHeight="1" x14ac:dyDescent="0.2">
      <c r="A9" s="394">
        <v>2</v>
      </c>
      <c r="B9" s="397" t="s">
        <v>565</v>
      </c>
      <c r="C9" s="817">
        <f t="shared" si="0"/>
        <v>3464851</v>
      </c>
      <c r="D9" s="817"/>
      <c r="E9" s="817">
        <f t="shared" si="1"/>
        <v>3464851</v>
      </c>
      <c r="F9" s="817">
        <f t="shared" ref="F9:H19" si="2">SUM(N9,V9,AD9,AL9,AT9,BB9,BJ9,BR9,BZ9,CH9,CP9,CX9)</f>
        <v>3464851</v>
      </c>
      <c r="G9" s="817">
        <f t="shared" si="2"/>
        <v>0</v>
      </c>
      <c r="H9" s="817">
        <f t="shared" si="2"/>
        <v>3464851</v>
      </c>
      <c r="I9" s="818">
        <f>F9-C9</f>
        <v>0</v>
      </c>
      <c r="J9" s="817">
        <f>F9/C9%</f>
        <v>100</v>
      </c>
      <c r="K9" s="817">
        <v>344881</v>
      </c>
      <c r="L9" s="817"/>
      <c r="M9" s="817">
        <f>K9</f>
        <v>344881</v>
      </c>
      <c r="N9" s="817">
        <f>K9</f>
        <v>344881</v>
      </c>
      <c r="O9" s="817"/>
      <c r="P9" s="817">
        <f>N9</f>
        <v>344881</v>
      </c>
      <c r="Q9" s="818">
        <f>N9-K9</f>
        <v>0</v>
      </c>
      <c r="R9" s="817">
        <f>N9/K9%</f>
        <v>100</v>
      </c>
      <c r="S9" s="817">
        <v>191415</v>
      </c>
      <c r="T9" s="817"/>
      <c r="U9" s="817">
        <f>S9</f>
        <v>191415</v>
      </c>
      <c r="V9" s="817">
        <f>S9</f>
        <v>191415</v>
      </c>
      <c r="W9" s="817"/>
      <c r="X9" s="817">
        <f>V9</f>
        <v>191415</v>
      </c>
      <c r="Y9" s="818">
        <f>V9-S9</f>
        <v>0</v>
      </c>
      <c r="Z9" s="817">
        <f>V9/S9%</f>
        <v>100</v>
      </c>
      <c r="AA9" s="817">
        <v>305519</v>
      </c>
      <c r="AB9" s="817"/>
      <c r="AC9" s="817">
        <f>AA9</f>
        <v>305519</v>
      </c>
      <c r="AD9" s="817">
        <f>AA9</f>
        <v>305519</v>
      </c>
      <c r="AE9" s="817"/>
      <c r="AF9" s="817">
        <f>AD9</f>
        <v>305519</v>
      </c>
      <c r="AG9" s="818">
        <f>AD9-AA9</f>
        <v>0</v>
      </c>
      <c r="AH9" s="817">
        <f>AD9/AA9%</f>
        <v>100</v>
      </c>
      <c r="AI9" s="817">
        <v>260487</v>
      </c>
      <c r="AJ9" s="817"/>
      <c r="AK9" s="817">
        <f>AI9</f>
        <v>260487</v>
      </c>
      <c r="AL9" s="817">
        <f>AI9</f>
        <v>260487</v>
      </c>
      <c r="AM9" s="817"/>
      <c r="AN9" s="817">
        <f>AL9</f>
        <v>260487</v>
      </c>
      <c r="AO9" s="818">
        <f t="shared" ref="AO9:AO19" si="3">AL9-AI9</f>
        <v>0</v>
      </c>
      <c r="AP9" s="817">
        <f>AL9/AI9%</f>
        <v>100</v>
      </c>
      <c r="AQ9" s="817">
        <v>334903</v>
      </c>
      <c r="AR9" s="817"/>
      <c r="AS9" s="817">
        <f>AQ9</f>
        <v>334903</v>
      </c>
      <c r="AT9" s="817">
        <f>AQ9</f>
        <v>334903</v>
      </c>
      <c r="AU9" s="817"/>
      <c r="AV9" s="817">
        <f>AT9</f>
        <v>334903</v>
      </c>
      <c r="AW9" s="818">
        <f>AT9-AQ9</f>
        <v>0</v>
      </c>
      <c r="AX9" s="817">
        <f>AT9/AQ9%</f>
        <v>100</v>
      </c>
      <c r="AY9" s="817">
        <v>116197</v>
      </c>
      <c r="AZ9" s="817"/>
      <c r="BA9" s="817">
        <f>AY9</f>
        <v>116197</v>
      </c>
      <c r="BB9" s="817">
        <f>AY9</f>
        <v>116197</v>
      </c>
      <c r="BC9" s="817"/>
      <c r="BD9" s="817">
        <f>BB9</f>
        <v>116197</v>
      </c>
      <c r="BE9" s="818">
        <f>BB9-AY9</f>
        <v>0</v>
      </c>
      <c r="BF9" s="817">
        <f>BB9/AY9%</f>
        <v>100</v>
      </c>
      <c r="BG9" s="817">
        <v>425722</v>
      </c>
      <c r="BH9" s="817"/>
      <c r="BI9" s="817">
        <f>BG9</f>
        <v>425722</v>
      </c>
      <c r="BJ9" s="817">
        <f>BG9</f>
        <v>425722</v>
      </c>
      <c r="BK9" s="817"/>
      <c r="BL9" s="817">
        <f>BJ9</f>
        <v>425722</v>
      </c>
      <c r="BM9" s="818">
        <f>BJ9-BG9</f>
        <v>0</v>
      </c>
      <c r="BN9" s="817">
        <f>BJ9/BG9%</f>
        <v>100</v>
      </c>
      <c r="BO9" s="817">
        <v>363769</v>
      </c>
      <c r="BP9" s="817"/>
      <c r="BQ9" s="817">
        <f>BO9</f>
        <v>363769</v>
      </c>
      <c r="BR9" s="817">
        <f>BO9</f>
        <v>363769</v>
      </c>
      <c r="BS9" s="817"/>
      <c r="BT9" s="817">
        <f>BR9</f>
        <v>363769</v>
      </c>
      <c r="BU9" s="818">
        <f>BR9-BO9</f>
        <v>0</v>
      </c>
      <c r="BV9" s="817">
        <f>BR9/BO9%</f>
        <v>100</v>
      </c>
      <c r="BW9" s="817">
        <v>343539</v>
      </c>
      <c r="BX9" s="817"/>
      <c r="BY9" s="817">
        <f>BW9</f>
        <v>343539</v>
      </c>
      <c r="BZ9" s="817">
        <f>BW9</f>
        <v>343539</v>
      </c>
      <c r="CA9" s="817"/>
      <c r="CB9" s="817">
        <f>BZ9</f>
        <v>343539</v>
      </c>
      <c r="CC9" s="818">
        <f>BZ9-BW9</f>
        <v>0</v>
      </c>
      <c r="CD9" s="817">
        <f>BZ9/BW9%</f>
        <v>100</v>
      </c>
      <c r="CE9" s="817">
        <v>323859</v>
      </c>
      <c r="CF9" s="817"/>
      <c r="CG9" s="817">
        <f>CE9</f>
        <v>323859</v>
      </c>
      <c r="CH9" s="817">
        <f>CE9</f>
        <v>323859</v>
      </c>
      <c r="CI9" s="817"/>
      <c r="CJ9" s="817">
        <f>CH9</f>
        <v>323859</v>
      </c>
      <c r="CK9" s="818">
        <f>CH9-CE9</f>
        <v>0</v>
      </c>
      <c r="CL9" s="817">
        <f>CH9/CE9%</f>
        <v>100</v>
      </c>
      <c r="CM9" s="817">
        <v>159099</v>
      </c>
      <c r="CN9" s="817"/>
      <c r="CO9" s="817">
        <f>CM9</f>
        <v>159099</v>
      </c>
      <c r="CP9" s="817">
        <f>CM9</f>
        <v>159099</v>
      </c>
      <c r="CQ9" s="817"/>
      <c r="CR9" s="817">
        <f>CP9</f>
        <v>159099</v>
      </c>
      <c r="CS9" s="818">
        <f>CP9-CM9</f>
        <v>0</v>
      </c>
      <c r="CT9" s="817">
        <f>CP9/CM9%</f>
        <v>100</v>
      </c>
      <c r="CU9" s="817">
        <v>295461</v>
      </c>
      <c r="CV9" s="817"/>
      <c r="CW9" s="817">
        <f>CU9</f>
        <v>295461</v>
      </c>
      <c r="CX9" s="817">
        <f>CU9</f>
        <v>295461</v>
      </c>
      <c r="CY9" s="817"/>
      <c r="CZ9" s="817">
        <f>CX9</f>
        <v>295461</v>
      </c>
      <c r="DA9" s="818">
        <f>CX9-CU9</f>
        <v>0</v>
      </c>
      <c r="DB9" s="817">
        <f>CX9/CU9%</f>
        <v>100</v>
      </c>
    </row>
    <row r="10" spans="1:106" s="396" customFormat="1" ht="18.95" customHeight="1" x14ac:dyDescent="0.2">
      <c r="A10" s="394">
        <v>3</v>
      </c>
      <c r="B10" s="397" t="s">
        <v>1047</v>
      </c>
      <c r="C10" s="817">
        <f t="shared" si="0"/>
        <v>0</v>
      </c>
      <c r="D10" s="817"/>
      <c r="E10" s="817">
        <f t="shared" si="1"/>
        <v>0</v>
      </c>
      <c r="F10" s="817">
        <f t="shared" si="2"/>
        <v>0</v>
      </c>
      <c r="G10" s="817"/>
      <c r="H10" s="817">
        <f t="shared" si="2"/>
        <v>33750</v>
      </c>
      <c r="I10" s="818"/>
      <c r="J10" s="817"/>
      <c r="K10" s="817"/>
      <c r="L10" s="817"/>
      <c r="M10" s="817"/>
      <c r="N10" s="817"/>
      <c r="O10" s="817"/>
      <c r="P10" s="817"/>
      <c r="Q10" s="818"/>
      <c r="R10" s="817"/>
      <c r="S10" s="817"/>
      <c r="T10" s="817"/>
      <c r="U10" s="817"/>
      <c r="V10" s="817"/>
      <c r="W10" s="817"/>
      <c r="X10" s="817"/>
      <c r="Y10" s="818"/>
      <c r="Z10" s="817"/>
      <c r="AA10" s="817"/>
      <c r="AB10" s="817"/>
      <c r="AC10" s="817"/>
      <c r="AD10" s="817"/>
      <c r="AE10" s="817"/>
      <c r="AF10" s="817"/>
      <c r="AG10" s="818"/>
      <c r="AH10" s="817"/>
      <c r="AI10" s="817"/>
      <c r="AJ10" s="817"/>
      <c r="AK10" s="817"/>
      <c r="AL10" s="817"/>
      <c r="AM10" s="817"/>
      <c r="AN10" s="817"/>
      <c r="AO10" s="818"/>
      <c r="AP10" s="817"/>
      <c r="AQ10" s="817"/>
      <c r="AR10" s="817"/>
      <c r="AS10" s="817"/>
      <c r="AT10" s="817"/>
      <c r="AU10" s="817"/>
      <c r="AV10" s="817"/>
      <c r="AW10" s="818"/>
      <c r="AX10" s="817"/>
      <c r="AY10" s="817"/>
      <c r="AZ10" s="817"/>
      <c r="BA10" s="817"/>
      <c r="BB10" s="817"/>
      <c r="BC10" s="817"/>
      <c r="BD10" s="817"/>
      <c r="BE10" s="818"/>
      <c r="BF10" s="817"/>
      <c r="BG10" s="817"/>
      <c r="BH10" s="817"/>
      <c r="BI10" s="817"/>
      <c r="BJ10" s="817"/>
      <c r="BK10" s="817"/>
      <c r="BL10" s="817"/>
      <c r="BM10" s="818"/>
      <c r="BN10" s="817"/>
      <c r="BO10" s="817"/>
      <c r="BP10" s="817"/>
      <c r="BQ10" s="817"/>
      <c r="BR10" s="817"/>
      <c r="BS10" s="817"/>
      <c r="BT10" s="817"/>
      <c r="BU10" s="818"/>
      <c r="BV10" s="817"/>
      <c r="BW10" s="817"/>
      <c r="BX10" s="817"/>
      <c r="BY10" s="817"/>
      <c r="BZ10" s="817"/>
      <c r="CA10" s="817"/>
      <c r="CB10" s="817"/>
      <c r="CC10" s="818"/>
      <c r="CD10" s="817"/>
      <c r="CE10" s="817"/>
      <c r="CF10" s="817"/>
      <c r="CG10" s="817"/>
      <c r="CH10" s="817"/>
      <c r="CI10" s="817"/>
      <c r="CJ10" s="817"/>
      <c r="CK10" s="818"/>
      <c r="CL10" s="817"/>
      <c r="CM10" s="817"/>
      <c r="CN10" s="817"/>
      <c r="CO10" s="817"/>
      <c r="CP10" s="817">
        <v>0</v>
      </c>
      <c r="CQ10" s="817"/>
      <c r="CR10" s="817">
        <f>'Phụ lục số 8'!E27</f>
        <v>33750</v>
      </c>
      <c r="CS10" s="818"/>
      <c r="CT10" s="817"/>
      <c r="CU10" s="817"/>
      <c r="CV10" s="817"/>
      <c r="CW10" s="817"/>
      <c r="CX10" s="817"/>
      <c r="CY10" s="817"/>
      <c r="CZ10" s="817"/>
      <c r="DA10" s="818"/>
      <c r="DB10" s="817"/>
    </row>
    <row r="11" spans="1:106" s="396" customFormat="1" ht="18.95" customHeight="1" x14ac:dyDescent="0.2">
      <c r="A11" s="394">
        <v>4</v>
      </c>
      <c r="B11" s="397" t="s">
        <v>566</v>
      </c>
      <c r="C11" s="817">
        <f t="shared" si="0"/>
        <v>317798</v>
      </c>
      <c r="D11" s="817"/>
      <c r="E11" s="817">
        <f t="shared" si="1"/>
        <v>317798</v>
      </c>
      <c r="F11" s="817">
        <f t="shared" si="2"/>
        <v>317798</v>
      </c>
      <c r="G11" s="817">
        <f t="shared" si="2"/>
        <v>0</v>
      </c>
      <c r="H11" s="817">
        <f t="shared" si="2"/>
        <v>317798</v>
      </c>
      <c r="I11" s="818">
        <f>F11-C11</f>
        <v>0</v>
      </c>
      <c r="J11" s="817">
        <f>F11/C11%</f>
        <v>100</v>
      </c>
      <c r="K11" s="817">
        <v>18800</v>
      </c>
      <c r="L11" s="817"/>
      <c r="M11" s="817">
        <f>K11</f>
        <v>18800</v>
      </c>
      <c r="N11" s="817">
        <f>K11</f>
        <v>18800</v>
      </c>
      <c r="O11" s="817"/>
      <c r="P11" s="817">
        <f>N11</f>
        <v>18800</v>
      </c>
      <c r="Q11" s="818">
        <f>N11-K11</f>
        <v>0</v>
      </c>
      <c r="R11" s="817">
        <f>N11/K11%</f>
        <v>100</v>
      </c>
      <c r="S11" s="817">
        <v>13300</v>
      </c>
      <c r="T11" s="817"/>
      <c r="U11" s="817">
        <f>S11</f>
        <v>13300</v>
      </c>
      <c r="V11" s="817">
        <f>S11</f>
        <v>13300</v>
      </c>
      <c r="W11" s="817"/>
      <c r="X11" s="817">
        <f>V11</f>
        <v>13300</v>
      </c>
      <c r="Y11" s="818">
        <f>V11-S11</f>
        <v>0</v>
      </c>
      <c r="Z11" s="817">
        <f>V11/S11%</f>
        <v>100</v>
      </c>
      <c r="AA11" s="817">
        <v>34100</v>
      </c>
      <c r="AB11" s="817"/>
      <c r="AC11" s="817">
        <f>AA11</f>
        <v>34100</v>
      </c>
      <c r="AD11" s="817">
        <f>AA11</f>
        <v>34100</v>
      </c>
      <c r="AE11" s="817"/>
      <c r="AF11" s="817">
        <f>AD11</f>
        <v>34100</v>
      </c>
      <c r="AG11" s="818">
        <f>AD11-AA11</f>
        <v>0</v>
      </c>
      <c r="AH11" s="817">
        <f>AD11/AA11%</f>
        <v>100</v>
      </c>
      <c r="AI11" s="817">
        <v>45900</v>
      </c>
      <c r="AJ11" s="817"/>
      <c r="AK11" s="817">
        <f>AI11</f>
        <v>45900</v>
      </c>
      <c r="AL11" s="817">
        <f>AI11</f>
        <v>45900</v>
      </c>
      <c r="AM11" s="817"/>
      <c r="AN11" s="817">
        <f>AL11</f>
        <v>45900</v>
      </c>
      <c r="AO11" s="818">
        <f t="shared" si="3"/>
        <v>0</v>
      </c>
      <c r="AP11" s="817">
        <f>AL11/AI11%</f>
        <v>100</v>
      </c>
      <c r="AQ11" s="817">
        <v>32298</v>
      </c>
      <c r="AR11" s="817"/>
      <c r="AS11" s="817">
        <f>AQ11</f>
        <v>32298</v>
      </c>
      <c r="AT11" s="817">
        <f>AQ11</f>
        <v>32298</v>
      </c>
      <c r="AU11" s="817"/>
      <c r="AV11" s="817">
        <f>AT11</f>
        <v>32298</v>
      </c>
      <c r="AW11" s="818">
        <f>AT11-AQ11</f>
        <v>0</v>
      </c>
      <c r="AX11" s="817">
        <f>AT11/AQ11%</f>
        <v>100</v>
      </c>
      <c r="AY11" s="817">
        <v>8000</v>
      </c>
      <c r="AZ11" s="817"/>
      <c r="BA11" s="817">
        <f>AY11</f>
        <v>8000</v>
      </c>
      <c r="BB11" s="817">
        <f>AY11</f>
        <v>8000</v>
      </c>
      <c r="BC11" s="817"/>
      <c r="BD11" s="817">
        <f>BB11</f>
        <v>8000</v>
      </c>
      <c r="BE11" s="818">
        <f>BB11-AY11</f>
        <v>0</v>
      </c>
      <c r="BF11" s="817">
        <f>BB11/AY11%</f>
        <v>100</v>
      </c>
      <c r="BG11" s="817">
        <v>47400</v>
      </c>
      <c r="BH11" s="817"/>
      <c r="BI11" s="817">
        <f>BG11</f>
        <v>47400</v>
      </c>
      <c r="BJ11" s="817">
        <f>BG11</f>
        <v>47400</v>
      </c>
      <c r="BK11" s="817"/>
      <c r="BL11" s="817">
        <f>BJ11</f>
        <v>47400</v>
      </c>
      <c r="BM11" s="818">
        <f>BJ11-BG11</f>
        <v>0</v>
      </c>
      <c r="BN11" s="817">
        <f>BJ11/BG11%</f>
        <v>100</v>
      </c>
      <c r="BO11" s="817">
        <v>61600</v>
      </c>
      <c r="BP11" s="817"/>
      <c r="BQ11" s="817">
        <f>BO11</f>
        <v>61600</v>
      </c>
      <c r="BR11" s="817">
        <f>BO11</f>
        <v>61600</v>
      </c>
      <c r="BS11" s="817"/>
      <c r="BT11" s="817">
        <f>BR11</f>
        <v>61600</v>
      </c>
      <c r="BU11" s="818">
        <f>BR11-BO11</f>
        <v>0</v>
      </c>
      <c r="BV11" s="817">
        <f>BR11/BO11%</f>
        <v>100</v>
      </c>
      <c r="BW11" s="817">
        <v>15900</v>
      </c>
      <c r="BX11" s="817"/>
      <c r="BY11" s="817">
        <f>BW11</f>
        <v>15900</v>
      </c>
      <c r="BZ11" s="817">
        <f>BW11</f>
        <v>15900</v>
      </c>
      <c r="CA11" s="817"/>
      <c r="CB11" s="817">
        <f>BZ11</f>
        <v>15900</v>
      </c>
      <c r="CC11" s="818">
        <f>BZ11-BW11</f>
        <v>0</v>
      </c>
      <c r="CD11" s="817">
        <f>BZ11/BW11%</f>
        <v>100</v>
      </c>
      <c r="CE11" s="817">
        <v>18300</v>
      </c>
      <c r="CF11" s="817"/>
      <c r="CG11" s="817">
        <f>CE11</f>
        <v>18300</v>
      </c>
      <c r="CH11" s="817">
        <f>CE11</f>
        <v>18300</v>
      </c>
      <c r="CI11" s="817"/>
      <c r="CJ11" s="817">
        <f>CH11</f>
        <v>18300</v>
      </c>
      <c r="CK11" s="818">
        <f>CH11-CE11</f>
        <v>0</v>
      </c>
      <c r="CL11" s="817">
        <f>CH11/CE11%</f>
        <v>100</v>
      </c>
      <c r="CM11" s="817">
        <v>4500</v>
      </c>
      <c r="CN11" s="817"/>
      <c r="CO11" s="817">
        <f>CM11</f>
        <v>4500</v>
      </c>
      <c r="CP11" s="817">
        <f>CM11</f>
        <v>4500</v>
      </c>
      <c r="CQ11" s="817"/>
      <c r="CR11" s="817">
        <f>CP11</f>
        <v>4500</v>
      </c>
      <c r="CS11" s="818">
        <f>CP11-CM11</f>
        <v>0</v>
      </c>
      <c r="CT11" s="817">
        <f>CP11/CM11%</f>
        <v>100</v>
      </c>
      <c r="CU11" s="817">
        <v>17700</v>
      </c>
      <c r="CV11" s="817"/>
      <c r="CW11" s="817">
        <f>CU11</f>
        <v>17700</v>
      </c>
      <c r="CX11" s="817">
        <f>CU11</f>
        <v>17700</v>
      </c>
      <c r="CY11" s="817"/>
      <c r="CZ11" s="817">
        <f>CX11</f>
        <v>17700</v>
      </c>
      <c r="DA11" s="818">
        <f>CX11-CU11</f>
        <v>0</v>
      </c>
      <c r="DB11" s="817">
        <f>CX11/CU11%</f>
        <v>100</v>
      </c>
    </row>
    <row r="12" spans="1:106" s="396" customFormat="1" ht="18.95" customHeight="1" x14ac:dyDescent="0.2">
      <c r="A12" s="394">
        <v>5</v>
      </c>
      <c r="B12" s="397" t="s">
        <v>976</v>
      </c>
      <c r="C12" s="817">
        <f t="shared" si="0"/>
        <v>36974</v>
      </c>
      <c r="D12" s="817"/>
      <c r="E12" s="817">
        <f t="shared" si="1"/>
        <v>8537</v>
      </c>
      <c r="F12" s="817">
        <f t="shared" ref="F12:H15" si="4">SUM(N12,V12,AD12,AL12,AT12,BB12,BJ12,BR12,BZ12,CH12,CP12,CX12)</f>
        <v>32668</v>
      </c>
      <c r="G12" s="817">
        <f t="shared" si="4"/>
        <v>0</v>
      </c>
      <c r="H12" s="817">
        <f t="shared" si="4"/>
        <v>195366</v>
      </c>
      <c r="I12" s="818"/>
      <c r="J12" s="817"/>
      <c r="K12" s="817">
        <f t="shared" ref="K12:P12" si="5">SUM(K13:K14)</f>
        <v>5311</v>
      </c>
      <c r="L12" s="817">
        <f t="shared" si="5"/>
        <v>0</v>
      </c>
      <c r="M12" s="817">
        <f t="shared" si="5"/>
        <v>5311</v>
      </c>
      <c r="N12" s="817">
        <f t="shared" si="5"/>
        <v>5311</v>
      </c>
      <c r="O12" s="817">
        <f t="shared" si="5"/>
        <v>0</v>
      </c>
      <c r="P12" s="817">
        <f t="shared" si="5"/>
        <v>21590</v>
      </c>
      <c r="Q12" s="818">
        <f>N12-K12</f>
        <v>0</v>
      </c>
      <c r="R12" s="817"/>
      <c r="S12" s="817">
        <f t="shared" ref="S12:X12" si="6">SUM(S13:S14)</f>
        <v>0</v>
      </c>
      <c r="T12" s="817">
        <f t="shared" si="6"/>
        <v>0</v>
      </c>
      <c r="U12" s="817">
        <f t="shared" si="6"/>
        <v>0</v>
      </c>
      <c r="V12" s="817">
        <f t="shared" si="6"/>
        <v>0</v>
      </c>
      <c r="W12" s="817">
        <f t="shared" si="6"/>
        <v>0</v>
      </c>
      <c r="X12" s="817">
        <f t="shared" si="6"/>
        <v>11581</v>
      </c>
      <c r="Y12" s="818">
        <f>V12-S12</f>
        <v>0</v>
      </c>
      <c r="Z12" s="817"/>
      <c r="AA12" s="817">
        <f t="shared" ref="AA12:AF12" si="7">SUM(AA13:AA14)</f>
        <v>3226</v>
      </c>
      <c r="AB12" s="817">
        <f t="shared" si="7"/>
        <v>0</v>
      </c>
      <c r="AC12" s="817">
        <f t="shared" si="7"/>
        <v>3226</v>
      </c>
      <c r="AD12" s="817">
        <f t="shared" si="7"/>
        <v>3226</v>
      </c>
      <c r="AE12" s="817">
        <f t="shared" si="7"/>
        <v>0</v>
      </c>
      <c r="AF12" s="817">
        <f t="shared" si="7"/>
        <v>18891</v>
      </c>
      <c r="AG12" s="818">
        <f>AD12-AA12</f>
        <v>0</v>
      </c>
      <c r="AH12" s="817"/>
      <c r="AI12" s="817">
        <f t="shared" ref="AI12:AN12" si="8">SUM(AI13:AI14)</f>
        <v>1576</v>
      </c>
      <c r="AJ12" s="817">
        <f t="shared" si="8"/>
        <v>0</v>
      </c>
      <c r="AK12" s="817">
        <f t="shared" si="8"/>
        <v>0</v>
      </c>
      <c r="AL12" s="817">
        <f t="shared" si="8"/>
        <v>1576</v>
      </c>
      <c r="AM12" s="817">
        <f t="shared" si="8"/>
        <v>0</v>
      </c>
      <c r="AN12" s="817">
        <f t="shared" si="8"/>
        <v>23905</v>
      </c>
      <c r="AO12" s="818">
        <f t="shared" si="3"/>
        <v>0</v>
      </c>
      <c r="AP12" s="817"/>
      <c r="AQ12" s="817">
        <f t="shared" ref="AQ12:AV12" si="9">SUM(AQ13:AQ14)</f>
        <v>10858</v>
      </c>
      <c r="AR12" s="817">
        <f t="shared" si="9"/>
        <v>0</v>
      </c>
      <c r="AS12" s="817">
        <f t="shared" si="9"/>
        <v>0</v>
      </c>
      <c r="AT12" s="817">
        <f t="shared" si="9"/>
        <v>10858</v>
      </c>
      <c r="AU12" s="817">
        <f t="shared" si="9"/>
        <v>0</v>
      </c>
      <c r="AV12" s="817">
        <f t="shared" si="9"/>
        <v>24148</v>
      </c>
      <c r="AW12" s="818">
        <f>AT12-AQ12</f>
        <v>0</v>
      </c>
      <c r="AX12" s="817"/>
      <c r="AY12" s="817">
        <f t="shared" ref="AY12:BD12" si="10">SUM(AY13:AY14)</f>
        <v>0</v>
      </c>
      <c r="AZ12" s="817">
        <f t="shared" si="10"/>
        <v>0</v>
      </c>
      <c r="BA12" s="817">
        <f t="shared" si="10"/>
        <v>0</v>
      </c>
      <c r="BB12" s="817">
        <f t="shared" si="10"/>
        <v>0</v>
      </c>
      <c r="BC12" s="817">
        <f t="shared" si="10"/>
        <v>0</v>
      </c>
      <c r="BD12" s="817">
        <f t="shared" si="10"/>
        <v>0</v>
      </c>
      <c r="BE12" s="818">
        <f>BB12-AY12</f>
        <v>0</v>
      </c>
      <c r="BF12" s="817"/>
      <c r="BG12" s="817">
        <f t="shared" ref="BG12:BL12" si="11">SUM(BG13:BG14)</f>
        <v>0</v>
      </c>
      <c r="BH12" s="817">
        <f t="shared" si="11"/>
        <v>0</v>
      </c>
      <c r="BI12" s="817">
        <f t="shared" si="11"/>
        <v>0</v>
      </c>
      <c r="BJ12" s="817">
        <f t="shared" si="11"/>
        <v>0</v>
      </c>
      <c r="BK12" s="817">
        <f t="shared" si="11"/>
        <v>0</v>
      </c>
      <c r="BL12" s="817">
        <f t="shared" si="11"/>
        <v>28190</v>
      </c>
      <c r="BM12" s="818">
        <f>BJ12-BG12</f>
        <v>0</v>
      </c>
      <c r="BN12" s="817"/>
      <c r="BO12" s="817">
        <f t="shared" ref="BO12:BT12" si="12">SUM(BO13:BO14)</f>
        <v>3451</v>
      </c>
      <c r="BP12" s="817">
        <f t="shared" si="12"/>
        <v>0</v>
      </c>
      <c r="BQ12" s="817">
        <f t="shared" si="12"/>
        <v>0</v>
      </c>
      <c r="BR12" s="817">
        <f t="shared" si="12"/>
        <v>3451</v>
      </c>
      <c r="BS12" s="817">
        <f t="shared" si="12"/>
        <v>0</v>
      </c>
      <c r="BT12" s="817">
        <f t="shared" si="12"/>
        <v>14701</v>
      </c>
      <c r="BU12" s="818">
        <f>BR12-BO12</f>
        <v>0</v>
      </c>
      <c r="BV12" s="817"/>
      <c r="BW12" s="817">
        <f t="shared" ref="BW12:CB12" si="13">SUM(BW13:BW14)</f>
        <v>4306</v>
      </c>
      <c r="BX12" s="817">
        <f t="shared" si="13"/>
        <v>0</v>
      </c>
      <c r="BY12" s="817">
        <f t="shared" si="13"/>
        <v>0</v>
      </c>
      <c r="BZ12" s="817">
        <f t="shared" si="13"/>
        <v>0</v>
      </c>
      <c r="CA12" s="817">
        <f t="shared" si="13"/>
        <v>0</v>
      </c>
      <c r="CB12" s="817">
        <f t="shared" si="13"/>
        <v>0</v>
      </c>
      <c r="CC12" s="818">
        <f>BZ12-BW12</f>
        <v>-4306</v>
      </c>
      <c r="CD12" s="817"/>
      <c r="CE12" s="817">
        <f t="shared" ref="CE12:CJ12" si="14">SUM(CE13:CE14)</f>
        <v>0</v>
      </c>
      <c r="CF12" s="817">
        <f t="shared" si="14"/>
        <v>0</v>
      </c>
      <c r="CG12" s="817">
        <f t="shared" si="14"/>
        <v>0</v>
      </c>
      <c r="CH12" s="817">
        <f t="shared" si="14"/>
        <v>0</v>
      </c>
      <c r="CI12" s="817">
        <f t="shared" si="14"/>
        <v>0</v>
      </c>
      <c r="CJ12" s="817">
        <f t="shared" si="14"/>
        <v>15164</v>
      </c>
      <c r="CK12" s="818">
        <f>CH12-CE12</f>
        <v>0</v>
      </c>
      <c r="CL12" s="817"/>
      <c r="CM12" s="817">
        <f t="shared" ref="CM12:CR12" si="15">SUM(CM13:CM14)</f>
        <v>0</v>
      </c>
      <c r="CN12" s="817">
        <f t="shared" si="15"/>
        <v>0</v>
      </c>
      <c r="CO12" s="817">
        <f t="shared" si="15"/>
        <v>0</v>
      </c>
      <c r="CP12" s="817">
        <f t="shared" si="15"/>
        <v>0</v>
      </c>
      <c r="CQ12" s="817">
        <f t="shared" si="15"/>
        <v>0</v>
      </c>
      <c r="CR12" s="817">
        <f t="shared" si="15"/>
        <v>16341</v>
      </c>
      <c r="CS12" s="818">
        <f>CP12-CM12</f>
        <v>0</v>
      </c>
      <c r="CT12" s="817"/>
      <c r="CU12" s="817">
        <f t="shared" ref="CU12:CZ12" si="16">SUM(CU13:CU14)</f>
        <v>8246</v>
      </c>
      <c r="CV12" s="817">
        <f t="shared" si="16"/>
        <v>0</v>
      </c>
      <c r="CW12" s="817">
        <f t="shared" si="16"/>
        <v>0</v>
      </c>
      <c r="CX12" s="817">
        <f t="shared" si="16"/>
        <v>8246</v>
      </c>
      <c r="CY12" s="817">
        <f t="shared" si="16"/>
        <v>0</v>
      </c>
      <c r="CZ12" s="817">
        <f t="shared" si="16"/>
        <v>20855</v>
      </c>
      <c r="DA12" s="818">
        <f>CX12-CU12</f>
        <v>0</v>
      </c>
      <c r="DB12" s="817"/>
    </row>
    <row r="13" spans="1:106" s="863" customFormat="1" ht="18.95" customHeight="1" x14ac:dyDescent="0.25">
      <c r="A13" s="403" t="s">
        <v>307</v>
      </c>
      <c r="B13" s="859" t="s">
        <v>977</v>
      </c>
      <c r="C13" s="860">
        <f t="shared" si="0"/>
        <v>36974</v>
      </c>
      <c r="D13" s="860"/>
      <c r="E13" s="860">
        <f t="shared" si="1"/>
        <v>8537</v>
      </c>
      <c r="F13" s="860">
        <f t="shared" si="4"/>
        <v>32668</v>
      </c>
      <c r="G13" s="860">
        <f>SUM(O13,W13,AE13,AM13,AU13,BC13,BK13,BS13,CA13,CI13,CQ13,CY13)</f>
        <v>0</v>
      </c>
      <c r="H13" s="860">
        <f>SUM(P13,X13,AF13,AN13,AV13,BD13,BL13,BT13,CB13,CJ13,CR13,CZ13)</f>
        <v>32668</v>
      </c>
      <c r="I13" s="818">
        <f t="shared" ref="I13:I19" si="17">F13-C13</f>
        <v>-4306</v>
      </c>
      <c r="J13" s="860"/>
      <c r="K13" s="860">
        <v>5311</v>
      </c>
      <c r="L13" s="860"/>
      <c r="M13" s="860">
        <f>K13</f>
        <v>5311</v>
      </c>
      <c r="N13" s="860">
        <f>P13</f>
        <v>5311</v>
      </c>
      <c r="O13" s="860"/>
      <c r="P13" s="860">
        <f>IF('TLTT nam 2018- 2019'!E25&lt;0,'TLTT nam 2018- 2019'!E18,0)</f>
        <v>5311</v>
      </c>
      <c r="Q13" s="862"/>
      <c r="R13" s="860"/>
      <c r="S13" s="860">
        <v>0</v>
      </c>
      <c r="T13" s="860"/>
      <c r="U13" s="860">
        <f>S13</f>
        <v>0</v>
      </c>
      <c r="V13" s="860">
        <f>X13</f>
        <v>0</v>
      </c>
      <c r="W13" s="860"/>
      <c r="X13" s="860">
        <f>IF('TLTT nam 2018- 2019'!F25&lt;0,'TLTT nam 2018- 2019'!F18,0)</f>
        <v>0</v>
      </c>
      <c r="Y13" s="861"/>
      <c r="Z13" s="860"/>
      <c r="AA13" s="860">
        <v>3226</v>
      </c>
      <c r="AB13" s="860"/>
      <c r="AC13" s="860">
        <f>AA13</f>
        <v>3226</v>
      </c>
      <c r="AD13" s="860">
        <f>AF13</f>
        <v>3226</v>
      </c>
      <c r="AE13" s="860"/>
      <c r="AF13" s="860">
        <f>IF('TLTT nam 2018- 2019'!G26&lt;0,'TLTT nam 2018- 2019'!G18,0)</f>
        <v>3226</v>
      </c>
      <c r="AG13" s="861"/>
      <c r="AH13" s="860"/>
      <c r="AI13" s="860">
        <v>1576</v>
      </c>
      <c r="AJ13" s="860"/>
      <c r="AK13" s="860"/>
      <c r="AL13" s="860">
        <f>AN13</f>
        <v>1576</v>
      </c>
      <c r="AM13" s="860"/>
      <c r="AN13" s="860">
        <f>IF('TLTT nam 2018- 2019'!H25&lt;0,'TLTT nam 2018- 2019'!H18,0)</f>
        <v>1576</v>
      </c>
      <c r="AO13" s="818">
        <f t="shared" si="3"/>
        <v>0</v>
      </c>
      <c r="AP13" s="860"/>
      <c r="AQ13" s="860">
        <v>10858</v>
      </c>
      <c r="AR13" s="860"/>
      <c r="AS13" s="860"/>
      <c r="AT13" s="860">
        <f>AV13</f>
        <v>10858</v>
      </c>
      <c r="AU13" s="860"/>
      <c r="AV13" s="860">
        <f>IF('TLTT nam 2018- 2019'!I25&lt;0,'TLTT nam 2018- 2019'!I18,0)</f>
        <v>10858</v>
      </c>
      <c r="AW13" s="861"/>
      <c r="AX13" s="860"/>
      <c r="AY13" s="860"/>
      <c r="AZ13" s="860"/>
      <c r="BA13" s="860"/>
      <c r="BB13" s="860">
        <f>BD13</f>
        <v>0</v>
      </c>
      <c r="BC13" s="860"/>
      <c r="BD13" s="860"/>
      <c r="BE13" s="861">
        <f>IF('TLTT nam 2018- 2019'!J25&lt;0,'TLTT nam 2018- 2019'!J18,0)</f>
        <v>0</v>
      </c>
      <c r="BF13" s="860"/>
      <c r="BG13" s="860">
        <v>0</v>
      </c>
      <c r="BH13" s="860"/>
      <c r="BI13" s="860"/>
      <c r="BJ13" s="860">
        <f>BL13</f>
        <v>0</v>
      </c>
      <c r="BK13" s="860"/>
      <c r="BL13" s="860">
        <f>IF('TLTT nam 2018- 2019'!K25&lt;0,'TLTT nam 2018- 2019'!K18,0)</f>
        <v>0</v>
      </c>
      <c r="BM13" s="861"/>
      <c r="BN13" s="860"/>
      <c r="BO13" s="860">
        <v>3451</v>
      </c>
      <c r="BP13" s="860"/>
      <c r="BQ13" s="860"/>
      <c r="BR13" s="860">
        <f>BT13</f>
        <v>3451</v>
      </c>
      <c r="BS13" s="860"/>
      <c r="BT13" s="860">
        <f>IF('TLTT nam 2018- 2019'!L25&lt;0,'TLTT nam 2018- 2019'!L18,0)</f>
        <v>3451</v>
      </c>
      <c r="BU13" s="861"/>
      <c r="BV13" s="860"/>
      <c r="BW13" s="860">
        <v>4306</v>
      </c>
      <c r="BX13" s="860"/>
      <c r="BY13" s="860"/>
      <c r="BZ13" s="860">
        <f>CB13</f>
        <v>0</v>
      </c>
      <c r="CA13" s="860"/>
      <c r="CB13" s="860">
        <f>IF('TLTT nam 2018- 2019'!M25&lt;0,'TLTT nam 2018- 2019'!M18,0)</f>
        <v>0</v>
      </c>
      <c r="CC13" s="861"/>
      <c r="CD13" s="860"/>
      <c r="CE13" s="860">
        <v>0</v>
      </c>
      <c r="CF13" s="860"/>
      <c r="CG13" s="860"/>
      <c r="CH13" s="860">
        <f>CJ13</f>
        <v>0</v>
      </c>
      <c r="CI13" s="860"/>
      <c r="CJ13" s="860">
        <f>IF('TLTT nam 2018- 2019'!N25&lt;0,'TLTT nam 2018- 2019'!N18,0)</f>
        <v>0</v>
      </c>
      <c r="CK13" s="861"/>
      <c r="CL13" s="860"/>
      <c r="CM13" s="860">
        <v>0</v>
      </c>
      <c r="CN13" s="860"/>
      <c r="CO13" s="860"/>
      <c r="CP13" s="860">
        <f>CR13</f>
        <v>0</v>
      </c>
      <c r="CQ13" s="860"/>
      <c r="CR13" s="860">
        <f>IF('TLTT nam 2018- 2019'!O25&lt;0,'TLTT nam 2018- 2019'!O18,0)</f>
        <v>0</v>
      </c>
      <c r="CS13" s="861"/>
      <c r="CT13" s="860"/>
      <c r="CU13" s="860">
        <v>8246</v>
      </c>
      <c r="CV13" s="860"/>
      <c r="CW13" s="860"/>
      <c r="CX13" s="860">
        <f>CZ13</f>
        <v>8246</v>
      </c>
      <c r="CY13" s="860"/>
      <c r="CZ13" s="860">
        <f>IF('TLTT nam 2018- 2019'!P25&lt;0,'TLTT nam 2018- 2019'!P18,0)</f>
        <v>8246</v>
      </c>
      <c r="DA13" s="861"/>
      <c r="DB13" s="860"/>
    </row>
    <row r="14" spans="1:106" s="863" customFormat="1" ht="18.95" customHeight="1" x14ac:dyDescent="0.25">
      <c r="A14" s="403" t="s">
        <v>308</v>
      </c>
      <c r="B14" s="859" t="s">
        <v>978</v>
      </c>
      <c r="C14" s="860">
        <f t="shared" si="0"/>
        <v>0</v>
      </c>
      <c r="D14" s="860"/>
      <c r="E14" s="860">
        <f t="shared" si="1"/>
        <v>0</v>
      </c>
      <c r="F14" s="860">
        <f t="shared" si="4"/>
        <v>0</v>
      </c>
      <c r="G14" s="860">
        <f>SUM(O14,W14,AE14,AM14,AU14,BC14,BK14,BS14,CA14,CI14,CQ14,CY14)</f>
        <v>0</v>
      </c>
      <c r="H14" s="860">
        <f>SUM(P14,X14,AF14,AN14,AV14,BD14,BL14,BT14,CB14,CJ14,CR14,CZ14)</f>
        <v>162698</v>
      </c>
      <c r="I14" s="818">
        <f t="shared" si="17"/>
        <v>0</v>
      </c>
      <c r="J14" s="860"/>
      <c r="K14" s="860">
        <v>0</v>
      </c>
      <c r="L14" s="860"/>
      <c r="M14" s="860"/>
      <c r="N14" s="860"/>
      <c r="O14" s="860"/>
      <c r="P14" s="860">
        <f>INT(IF('TLTT nam 2018- 2019'!E25&lt;0,-'TLTT nam 2018- 2019'!E25))</f>
        <v>16279</v>
      </c>
      <c r="Q14" s="862"/>
      <c r="R14" s="860"/>
      <c r="S14" s="860"/>
      <c r="T14" s="860"/>
      <c r="U14" s="860"/>
      <c r="V14" s="860"/>
      <c r="W14" s="860"/>
      <c r="X14" s="860">
        <f>INT(IF('TLTT nam 2018- 2019'!F25&lt;0,-'TLTT nam 2018- 2019'!F25,0))</f>
        <v>11581</v>
      </c>
      <c r="Y14" s="861"/>
      <c r="Z14" s="860"/>
      <c r="AA14" s="860">
        <v>0</v>
      </c>
      <c r="AB14" s="860"/>
      <c r="AC14" s="860"/>
      <c r="AD14" s="860"/>
      <c r="AE14" s="860"/>
      <c r="AF14" s="860">
        <f>INT(IF('TLTT nam 2018- 2019'!G25&lt;0,-'TLTT nam 2018- 2019'!G25,0))</f>
        <v>15665</v>
      </c>
      <c r="AG14" s="861"/>
      <c r="AH14" s="860"/>
      <c r="AI14" s="860">
        <v>0</v>
      </c>
      <c r="AJ14" s="860"/>
      <c r="AK14" s="860"/>
      <c r="AL14" s="860"/>
      <c r="AM14" s="860"/>
      <c r="AN14" s="860">
        <f>INT(IF('TLTT nam 2018- 2019'!H25&lt;0,-'TLTT nam 2018- 2019'!H25,0))</f>
        <v>22329</v>
      </c>
      <c r="AO14" s="818">
        <f t="shared" si="3"/>
        <v>0</v>
      </c>
      <c r="AP14" s="860"/>
      <c r="AQ14" s="860">
        <v>0</v>
      </c>
      <c r="AR14" s="860"/>
      <c r="AS14" s="860"/>
      <c r="AT14" s="860"/>
      <c r="AU14" s="860"/>
      <c r="AV14" s="860">
        <f>INT(IF('TLTT nam 2018- 2019'!I25&lt;0,-'TLTT nam 2018- 2019'!I25,0))</f>
        <v>13290</v>
      </c>
      <c r="AW14" s="861"/>
      <c r="AX14" s="860"/>
      <c r="AY14" s="860"/>
      <c r="AZ14" s="860"/>
      <c r="BA14" s="860"/>
      <c r="BB14" s="860"/>
      <c r="BC14" s="860"/>
      <c r="BD14" s="860"/>
      <c r="BE14" s="861">
        <f>IF('TLTT nam 2018- 2019'!J25&lt;0,-'TLTT nam 2018- 2019'!J25,0)</f>
        <v>0</v>
      </c>
      <c r="BF14" s="860"/>
      <c r="BG14" s="860">
        <v>0</v>
      </c>
      <c r="BH14" s="860"/>
      <c r="BI14" s="860"/>
      <c r="BJ14" s="860"/>
      <c r="BK14" s="860"/>
      <c r="BL14" s="860">
        <f>INT(IF('TLTT nam 2018- 2019'!K25&lt;0,-'TLTT nam 2018- 2019'!K25,0))</f>
        <v>28190</v>
      </c>
      <c r="BM14" s="861"/>
      <c r="BN14" s="860"/>
      <c r="BO14" s="860">
        <v>0</v>
      </c>
      <c r="BP14" s="860"/>
      <c r="BQ14" s="860"/>
      <c r="BR14" s="860"/>
      <c r="BS14" s="860"/>
      <c r="BT14" s="860">
        <f>INT(IF('TLTT nam 2018- 2019'!L25&lt;0,-'TLTT nam 2018- 2019'!L25,0))</f>
        <v>11250</v>
      </c>
      <c r="BU14" s="861"/>
      <c r="BV14" s="860"/>
      <c r="BW14" s="860">
        <v>0</v>
      </c>
      <c r="BX14" s="860"/>
      <c r="BY14" s="860"/>
      <c r="BZ14" s="860"/>
      <c r="CA14" s="860"/>
      <c r="CB14" s="860">
        <f>IF('TLTT nam 2018- 2019'!M25&lt;0,-'TLTT nam 2018- 2019'!M25,0)</f>
        <v>0</v>
      </c>
      <c r="CC14" s="861"/>
      <c r="CD14" s="860"/>
      <c r="CE14" s="860">
        <v>0</v>
      </c>
      <c r="CF14" s="860"/>
      <c r="CG14" s="860"/>
      <c r="CH14" s="860"/>
      <c r="CI14" s="860"/>
      <c r="CJ14" s="860">
        <f>INT(IF('TLTT nam 2018- 2019'!N25&lt;0,-'TLTT nam 2018- 2019'!N25,0))</f>
        <v>15164</v>
      </c>
      <c r="CK14" s="861"/>
      <c r="CL14" s="860"/>
      <c r="CM14" s="860">
        <v>0</v>
      </c>
      <c r="CN14" s="860"/>
      <c r="CO14" s="860"/>
      <c r="CP14" s="860"/>
      <c r="CQ14" s="860"/>
      <c r="CR14" s="860">
        <f>INT(IF('TLTT nam 2018- 2019'!O25&lt;0,-'TLTT nam 2018- 2019'!O25,0))</f>
        <v>16341</v>
      </c>
      <c r="CS14" s="861"/>
      <c r="CT14" s="860"/>
      <c r="CU14" s="860">
        <v>0</v>
      </c>
      <c r="CV14" s="860"/>
      <c r="CW14" s="860"/>
      <c r="CX14" s="860"/>
      <c r="CY14" s="860"/>
      <c r="CZ14" s="860">
        <f>INT(IF('TLTT nam 2018- 2019'!P25&lt;0,-'TLTT nam 2018- 2019'!P25,0))</f>
        <v>12609</v>
      </c>
      <c r="DA14" s="861"/>
      <c r="DB14" s="860"/>
    </row>
    <row r="15" spans="1:106" s="396" customFormat="1" ht="18.95" customHeight="1" x14ac:dyDescent="0.2">
      <c r="A15" s="394">
        <v>6</v>
      </c>
      <c r="B15" s="397" t="s">
        <v>238</v>
      </c>
      <c r="C15" s="817">
        <f t="shared" si="0"/>
        <v>94470</v>
      </c>
      <c r="D15" s="817"/>
      <c r="E15" s="817">
        <f t="shared" si="1"/>
        <v>94470</v>
      </c>
      <c r="F15" s="817">
        <f t="shared" si="4"/>
        <v>110263</v>
      </c>
      <c r="G15" s="817">
        <f t="shared" si="4"/>
        <v>0</v>
      </c>
      <c r="H15" s="817">
        <f t="shared" si="4"/>
        <v>91257</v>
      </c>
      <c r="I15" s="818">
        <f t="shared" si="17"/>
        <v>15793</v>
      </c>
      <c r="J15" s="817"/>
      <c r="K15" s="817">
        <v>12460</v>
      </c>
      <c r="L15" s="817"/>
      <c r="M15" s="817">
        <f>K15</f>
        <v>12460</v>
      </c>
      <c r="N15" s="817">
        <f>P15</f>
        <v>10117</v>
      </c>
      <c r="O15" s="817"/>
      <c r="P15" s="817">
        <f>'Chính sách chế độ 2017-2019'!AG18</f>
        <v>10117</v>
      </c>
      <c r="Q15" s="818">
        <f>N15-K15</f>
        <v>-2343</v>
      </c>
      <c r="R15" s="817"/>
      <c r="S15" s="817">
        <v>187</v>
      </c>
      <c r="T15" s="817"/>
      <c r="U15" s="817">
        <f>S15</f>
        <v>187</v>
      </c>
      <c r="V15" s="817">
        <f>X15</f>
        <v>1713</v>
      </c>
      <c r="W15" s="817"/>
      <c r="X15" s="817">
        <f>'Chính sách chế độ 2017-2019'!AW18</f>
        <v>1713</v>
      </c>
      <c r="Y15" s="818">
        <f>V15-S15</f>
        <v>1526</v>
      </c>
      <c r="Z15" s="817"/>
      <c r="AA15" s="817">
        <v>3371</v>
      </c>
      <c r="AB15" s="817"/>
      <c r="AC15" s="817">
        <f>AA15</f>
        <v>3371</v>
      </c>
      <c r="AD15" s="860">
        <f>AF15</f>
        <v>3160</v>
      </c>
      <c r="AE15" s="817"/>
      <c r="AF15" s="817">
        <f>'Chính sách chế độ 2017-2019'!BM18</f>
        <v>3160</v>
      </c>
      <c r="AG15" s="818">
        <f>AD15-AA15</f>
        <v>-211</v>
      </c>
      <c r="AH15" s="817"/>
      <c r="AI15" s="817">
        <v>8338</v>
      </c>
      <c r="AJ15" s="817"/>
      <c r="AK15" s="817">
        <f>AI15</f>
        <v>8338</v>
      </c>
      <c r="AL15" s="860">
        <f>AN15</f>
        <v>6544</v>
      </c>
      <c r="AM15" s="817"/>
      <c r="AN15" s="817">
        <f>'Chính sách chế độ 2017-2019'!CC18</f>
        <v>6544</v>
      </c>
      <c r="AO15" s="818">
        <f t="shared" si="3"/>
        <v>-1794</v>
      </c>
      <c r="AP15" s="817"/>
      <c r="AQ15" s="817">
        <v>11891</v>
      </c>
      <c r="AR15" s="817"/>
      <c r="AS15" s="817">
        <f>AQ15</f>
        <v>11891</v>
      </c>
      <c r="AT15" s="860">
        <f>AV15</f>
        <v>13928</v>
      </c>
      <c r="AU15" s="817"/>
      <c r="AV15" s="817">
        <f>'Chính sách chế độ 2017-2019'!CS18</f>
        <v>13928</v>
      </c>
      <c r="AW15" s="818">
        <f>AT15-AQ15</f>
        <v>2037</v>
      </c>
      <c r="AX15" s="817"/>
      <c r="AY15" s="817">
        <v>5650</v>
      </c>
      <c r="AZ15" s="817"/>
      <c r="BA15" s="817">
        <f>AY15</f>
        <v>5650</v>
      </c>
      <c r="BB15" s="860">
        <f>'Chính sách chế độ 2017-2019'!DI18</f>
        <v>7557</v>
      </c>
      <c r="BC15" s="817"/>
      <c r="BD15" s="817"/>
      <c r="BE15" s="818">
        <f>BB15-AY15</f>
        <v>1907</v>
      </c>
      <c r="BF15" s="817"/>
      <c r="BG15" s="817">
        <v>9625</v>
      </c>
      <c r="BH15" s="817"/>
      <c r="BI15" s="817">
        <f>BG15</f>
        <v>9625</v>
      </c>
      <c r="BJ15" s="860">
        <f>BL15</f>
        <v>11105</v>
      </c>
      <c r="BK15" s="817"/>
      <c r="BL15" s="817">
        <f>'Chính sách chế độ 2017-2019'!DY18</f>
        <v>11105</v>
      </c>
      <c r="BM15" s="818">
        <f>BJ15-BG15</f>
        <v>1480</v>
      </c>
      <c r="BN15" s="817"/>
      <c r="BO15" s="817">
        <v>4170</v>
      </c>
      <c r="BP15" s="817"/>
      <c r="BQ15" s="817">
        <f>BO15</f>
        <v>4170</v>
      </c>
      <c r="BR15" s="860">
        <f>BT15</f>
        <v>6961</v>
      </c>
      <c r="BS15" s="817"/>
      <c r="BT15" s="817">
        <f>'Chính sách chế độ 2017-2019'!EO18</f>
        <v>6961</v>
      </c>
      <c r="BU15" s="818">
        <f>BR15-BO15</f>
        <v>2791</v>
      </c>
      <c r="BV15" s="817"/>
      <c r="BW15" s="817">
        <v>12144</v>
      </c>
      <c r="BX15" s="817"/>
      <c r="BY15" s="817">
        <f>BW15</f>
        <v>12144</v>
      </c>
      <c r="BZ15" s="860">
        <f>'Chính sách chế độ 2017-2019'!FE18</f>
        <v>11449</v>
      </c>
      <c r="CA15" s="817"/>
      <c r="CB15" s="817"/>
      <c r="CC15" s="818">
        <f>BZ15-BW15</f>
        <v>-695</v>
      </c>
      <c r="CD15" s="817"/>
      <c r="CE15" s="817">
        <v>10800</v>
      </c>
      <c r="CF15" s="817"/>
      <c r="CG15" s="817">
        <f>CE15</f>
        <v>10800</v>
      </c>
      <c r="CH15" s="860">
        <f>CJ15</f>
        <v>13744</v>
      </c>
      <c r="CI15" s="817"/>
      <c r="CJ15" s="817">
        <f>'Chính sách chế độ 2017-2019'!FU18</f>
        <v>13744</v>
      </c>
      <c r="CK15" s="818">
        <f>CH15-CE15</f>
        <v>2944</v>
      </c>
      <c r="CL15" s="817"/>
      <c r="CM15" s="817">
        <v>7221</v>
      </c>
      <c r="CN15" s="817"/>
      <c r="CO15" s="817">
        <f>CM15</f>
        <v>7221</v>
      </c>
      <c r="CP15" s="860">
        <f>CR15</f>
        <v>10446</v>
      </c>
      <c r="CQ15" s="817"/>
      <c r="CR15" s="817">
        <f>'Chính sách chế độ 2017-2019'!GK18</f>
        <v>10446</v>
      </c>
      <c r="CS15" s="818">
        <f>CP15-CM15</f>
        <v>3225</v>
      </c>
      <c r="CT15" s="817"/>
      <c r="CU15" s="817">
        <v>8613</v>
      </c>
      <c r="CV15" s="817"/>
      <c r="CW15" s="817">
        <f>CU15</f>
        <v>8613</v>
      </c>
      <c r="CX15" s="860">
        <f>CZ15</f>
        <v>13539</v>
      </c>
      <c r="CY15" s="817"/>
      <c r="CZ15" s="817">
        <f>'Chính sách chế độ 2017-2019'!HA18</f>
        <v>13539</v>
      </c>
      <c r="DA15" s="818">
        <f>CX15-CU15</f>
        <v>4926</v>
      </c>
      <c r="DB15" s="817"/>
    </row>
    <row r="16" spans="1:106" s="396" customFormat="1" ht="18.95" hidden="1" customHeight="1" x14ac:dyDescent="0.2">
      <c r="A16" s="394">
        <v>6</v>
      </c>
      <c r="B16" s="397" t="s">
        <v>611</v>
      </c>
      <c r="C16" s="817">
        <f t="shared" si="0"/>
        <v>0</v>
      </c>
      <c r="D16" s="817"/>
      <c r="E16" s="817">
        <f t="shared" si="1"/>
        <v>0</v>
      </c>
      <c r="F16" s="817">
        <f t="shared" si="2"/>
        <v>0</v>
      </c>
      <c r="G16" s="817"/>
      <c r="H16" s="817">
        <f t="shared" si="2"/>
        <v>0</v>
      </c>
      <c r="I16" s="818">
        <f t="shared" si="17"/>
        <v>0</v>
      </c>
      <c r="J16" s="817"/>
      <c r="K16" s="817"/>
      <c r="L16" s="817"/>
      <c r="M16" s="817"/>
      <c r="N16" s="817"/>
      <c r="O16" s="817"/>
      <c r="P16" s="817"/>
      <c r="Q16" s="818">
        <f>N16-K16</f>
        <v>0</v>
      </c>
      <c r="R16" s="817"/>
      <c r="S16" s="817"/>
      <c r="T16" s="817"/>
      <c r="U16" s="817"/>
      <c r="V16" s="817"/>
      <c r="W16" s="817"/>
      <c r="X16" s="817"/>
      <c r="Y16" s="818">
        <f>V16-S16</f>
        <v>0</v>
      </c>
      <c r="Z16" s="817"/>
      <c r="AA16" s="817"/>
      <c r="AB16" s="817"/>
      <c r="AC16" s="817"/>
      <c r="AD16" s="860">
        <f>AF16</f>
        <v>0</v>
      </c>
      <c r="AE16" s="817"/>
      <c r="AF16" s="817"/>
      <c r="AG16" s="818">
        <f>AD16-AA16</f>
        <v>0</v>
      </c>
      <c r="AH16" s="817"/>
      <c r="AI16" s="817"/>
      <c r="AJ16" s="817"/>
      <c r="AK16" s="817"/>
      <c r="AL16" s="860">
        <f>AN16</f>
        <v>0</v>
      </c>
      <c r="AM16" s="817"/>
      <c r="AN16" s="817"/>
      <c r="AO16" s="818">
        <f t="shared" si="3"/>
        <v>0</v>
      </c>
      <c r="AP16" s="817"/>
      <c r="AQ16" s="817"/>
      <c r="AR16" s="817"/>
      <c r="AS16" s="817"/>
      <c r="AT16" s="860">
        <f>AV16</f>
        <v>0</v>
      </c>
      <c r="AU16" s="817"/>
      <c r="AV16" s="817"/>
      <c r="AW16" s="818">
        <f>AT16-AQ16</f>
        <v>0</v>
      </c>
      <c r="AX16" s="817"/>
      <c r="AY16" s="817"/>
      <c r="AZ16" s="817"/>
      <c r="BA16" s="817"/>
      <c r="BB16" s="860">
        <f>BD16</f>
        <v>0</v>
      </c>
      <c r="BC16" s="817"/>
      <c r="BD16" s="817"/>
      <c r="BE16" s="818">
        <f>BB16-AY16</f>
        <v>0</v>
      </c>
      <c r="BF16" s="817"/>
      <c r="BG16" s="817"/>
      <c r="BH16" s="817"/>
      <c r="BI16" s="817"/>
      <c r="BJ16" s="860">
        <f>BL16</f>
        <v>0</v>
      </c>
      <c r="BK16" s="817"/>
      <c r="BL16" s="817"/>
      <c r="BM16" s="818">
        <f>BJ16-BG16</f>
        <v>0</v>
      </c>
      <c r="BN16" s="817"/>
      <c r="BO16" s="817"/>
      <c r="BP16" s="817"/>
      <c r="BQ16" s="817"/>
      <c r="BR16" s="860">
        <f>BT16</f>
        <v>0</v>
      </c>
      <c r="BS16" s="817"/>
      <c r="BT16" s="817"/>
      <c r="BU16" s="818">
        <f>BR16-BO16</f>
        <v>0</v>
      </c>
      <c r="BV16" s="817"/>
      <c r="BW16" s="817"/>
      <c r="BX16" s="817"/>
      <c r="BY16" s="817"/>
      <c r="BZ16" s="860">
        <f>CB16</f>
        <v>0</v>
      </c>
      <c r="CA16" s="817"/>
      <c r="CB16" s="817"/>
      <c r="CC16" s="818">
        <f>BZ16-BW16</f>
        <v>0</v>
      </c>
      <c r="CD16" s="817"/>
      <c r="CE16" s="817"/>
      <c r="CF16" s="817"/>
      <c r="CG16" s="817"/>
      <c r="CH16" s="860">
        <f>CJ16</f>
        <v>0</v>
      </c>
      <c r="CI16" s="817"/>
      <c r="CJ16" s="817"/>
      <c r="CK16" s="818">
        <f>CH16-CE16</f>
        <v>0</v>
      </c>
      <c r="CL16" s="817"/>
      <c r="CM16" s="817"/>
      <c r="CN16" s="817"/>
      <c r="CO16" s="817"/>
      <c r="CP16" s="860">
        <f>CR16</f>
        <v>0</v>
      </c>
      <c r="CQ16" s="817"/>
      <c r="CR16" s="817"/>
      <c r="CS16" s="818">
        <f>CP16-CM16</f>
        <v>0</v>
      </c>
      <c r="CT16" s="817"/>
      <c r="CU16" s="817"/>
      <c r="CV16" s="817"/>
      <c r="CW16" s="817"/>
      <c r="CX16" s="860">
        <f>CZ16</f>
        <v>0</v>
      </c>
      <c r="CY16" s="817"/>
      <c r="CZ16" s="817"/>
      <c r="DA16" s="818">
        <f>CX16-CU16</f>
        <v>0</v>
      </c>
      <c r="DB16" s="817"/>
    </row>
    <row r="17" spans="1:106" s="396" customFormat="1" ht="18.95" customHeight="1" x14ac:dyDescent="0.2">
      <c r="A17" s="394">
        <v>7</v>
      </c>
      <c r="B17" s="397" t="s">
        <v>567</v>
      </c>
      <c r="C17" s="817">
        <f t="shared" si="0"/>
        <v>4065</v>
      </c>
      <c r="D17" s="817"/>
      <c r="E17" s="817">
        <f t="shared" si="1"/>
        <v>1300</v>
      </c>
      <c r="F17" s="817">
        <f t="shared" si="2"/>
        <v>5840</v>
      </c>
      <c r="G17" s="817">
        <f t="shared" si="2"/>
        <v>0</v>
      </c>
      <c r="H17" s="817">
        <f t="shared" si="2"/>
        <v>5840</v>
      </c>
      <c r="I17" s="818">
        <f t="shared" si="17"/>
        <v>1775</v>
      </c>
      <c r="J17" s="817"/>
      <c r="K17" s="817">
        <v>1600</v>
      </c>
      <c r="L17" s="817"/>
      <c r="M17" s="817">
        <f>K17</f>
        <v>1600</v>
      </c>
      <c r="N17" s="817">
        <f>P17</f>
        <v>0</v>
      </c>
      <c r="O17" s="817"/>
      <c r="P17" s="865"/>
      <c r="Q17" s="818">
        <f>N17-K17</f>
        <v>-1600</v>
      </c>
      <c r="R17" s="817"/>
      <c r="S17" s="817">
        <v>0</v>
      </c>
      <c r="T17" s="817"/>
      <c r="U17" s="817"/>
      <c r="V17" s="817">
        <f>X17</f>
        <v>0</v>
      </c>
      <c r="W17" s="817"/>
      <c r="X17" s="817">
        <f>IF('Thu NSH'!AH43&gt;0,0,-'Thu NSH'!AH43)</f>
        <v>0</v>
      </c>
      <c r="Y17" s="818">
        <f>V17-S17</f>
        <v>0</v>
      </c>
      <c r="Z17" s="817"/>
      <c r="AA17" s="817">
        <v>0</v>
      </c>
      <c r="AB17" s="817"/>
      <c r="AC17" s="817"/>
      <c r="AD17" s="860">
        <f>AF17</f>
        <v>0</v>
      </c>
      <c r="AE17" s="817"/>
      <c r="AF17" s="817">
        <f>IF('Thu NSH'!AT43&gt;0,0,-'Thu NSH'!AT43)</f>
        <v>0</v>
      </c>
      <c r="AG17" s="818">
        <f>AD17-AA17</f>
        <v>0</v>
      </c>
      <c r="AH17" s="817"/>
      <c r="AI17" s="817">
        <v>485</v>
      </c>
      <c r="AJ17" s="817"/>
      <c r="AK17" s="817">
        <f>-'Thu NSH'!BD41</f>
        <v>-300</v>
      </c>
      <c r="AL17" s="860">
        <f>AN17</f>
        <v>685</v>
      </c>
      <c r="AM17" s="817"/>
      <c r="AN17" s="817">
        <f>IF('Thu NSH'!BF43&gt;0,0,-'Thu NSH'!BF43)</f>
        <v>685</v>
      </c>
      <c r="AO17" s="818">
        <f t="shared" si="3"/>
        <v>200</v>
      </c>
      <c r="AP17" s="817"/>
      <c r="AQ17" s="817">
        <v>0</v>
      </c>
      <c r="AR17" s="817"/>
      <c r="AS17" s="817"/>
      <c r="AT17" s="860">
        <f>AV17</f>
        <v>0</v>
      </c>
      <c r="AU17" s="817"/>
      <c r="AV17" s="817">
        <f>IF('Thu NSH'!BR43&gt;0,0,-'Thu NSH'!BR43)</f>
        <v>0</v>
      </c>
      <c r="AW17" s="818">
        <f>AT17-AQ17</f>
        <v>0</v>
      </c>
      <c r="AX17" s="817"/>
      <c r="AY17" s="817">
        <v>0</v>
      </c>
      <c r="AZ17" s="817"/>
      <c r="BA17" s="817"/>
      <c r="BB17" s="860">
        <f>BD17</f>
        <v>0</v>
      </c>
      <c r="BC17" s="817"/>
      <c r="BD17" s="817">
        <f>IF('Thu NSH'!CD43&gt;0,0,-'Thu NSH'!CD43)</f>
        <v>0</v>
      </c>
      <c r="BE17" s="818">
        <f>BB17-AY17</f>
        <v>0</v>
      </c>
      <c r="BF17" s="817"/>
      <c r="BG17" s="817">
        <v>0</v>
      </c>
      <c r="BH17" s="817"/>
      <c r="BI17" s="817"/>
      <c r="BJ17" s="860">
        <f>BL17</f>
        <v>0</v>
      </c>
      <c r="BK17" s="817"/>
      <c r="BL17" s="817">
        <f>IF('Thu NSH'!CP43&gt;0,0,-'Thu NSH'!CP43)</f>
        <v>0</v>
      </c>
      <c r="BM17" s="818">
        <f>BJ17-BG17</f>
        <v>0</v>
      </c>
      <c r="BN17" s="817"/>
      <c r="BO17" s="817">
        <v>0</v>
      </c>
      <c r="BP17" s="817"/>
      <c r="BQ17" s="817"/>
      <c r="BR17" s="860">
        <f>BT17</f>
        <v>0</v>
      </c>
      <c r="BS17" s="817"/>
      <c r="BT17" s="817">
        <f>IF('Thu NSH'!DB43&gt;0,0,-'Thu NSH'!DB43)</f>
        <v>0</v>
      </c>
      <c r="BU17" s="818">
        <f>BR17-BO17</f>
        <v>0</v>
      </c>
      <c r="BV17" s="817"/>
      <c r="BW17" s="817">
        <v>0</v>
      </c>
      <c r="BX17" s="817"/>
      <c r="BY17" s="817"/>
      <c r="BZ17" s="860">
        <f>CB17</f>
        <v>0</v>
      </c>
      <c r="CA17" s="817"/>
      <c r="CB17" s="817">
        <f>IF('Thu NSH'!DN43&gt;0,0,-'Thu NSH'!DN43)</f>
        <v>0</v>
      </c>
      <c r="CC17" s="818">
        <f>BZ17-BW17</f>
        <v>0</v>
      </c>
      <c r="CD17" s="817"/>
      <c r="CE17" s="817">
        <v>0</v>
      </c>
      <c r="CF17" s="817"/>
      <c r="CG17" s="817"/>
      <c r="CH17" s="860">
        <f>CJ17</f>
        <v>0</v>
      </c>
      <c r="CI17" s="817"/>
      <c r="CJ17" s="817">
        <f>IF('Thu NSH'!DZ43&gt;0,0,-'Thu NSH'!DZ43)</f>
        <v>0</v>
      </c>
      <c r="CK17" s="818">
        <f>CH17-CE17</f>
        <v>0</v>
      </c>
      <c r="CL17" s="817"/>
      <c r="CM17" s="817">
        <v>1980</v>
      </c>
      <c r="CN17" s="817"/>
      <c r="CO17" s="817"/>
      <c r="CP17" s="860">
        <f>CR17</f>
        <v>5155</v>
      </c>
      <c r="CQ17" s="817"/>
      <c r="CR17" s="817">
        <f>IF('Thu NSH'!EL43&gt;0,0,-'Thu NSH'!EL43)</f>
        <v>5155</v>
      </c>
      <c r="CS17" s="818">
        <f>CP17-CM17</f>
        <v>3175</v>
      </c>
      <c r="CT17" s="817"/>
      <c r="CU17" s="817">
        <v>0</v>
      </c>
      <c r="CV17" s="817"/>
      <c r="CW17" s="817"/>
      <c r="CX17" s="860">
        <f>CZ17</f>
        <v>0</v>
      </c>
      <c r="CY17" s="817"/>
      <c r="CZ17" s="817">
        <f>IF('Thu NSH'!EX43&gt;0,0,-'Thu NSH'!EX43)</f>
        <v>0</v>
      </c>
      <c r="DA17" s="818">
        <f>CX17-CU17</f>
        <v>0</v>
      </c>
      <c r="DB17" s="817"/>
    </row>
    <row r="18" spans="1:106" s="396" customFormat="1" ht="18.95" customHeight="1" x14ac:dyDescent="0.2">
      <c r="A18" s="394">
        <v>8</v>
      </c>
      <c r="B18" s="397" t="s">
        <v>1051</v>
      </c>
      <c r="C18" s="817">
        <f t="shared" si="0"/>
        <v>0</v>
      </c>
      <c r="D18" s="817"/>
      <c r="E18" s="817">
        <f t="shared" si="1"/>
        <v>0</v>
      </c>
      <c r="F18" s="817">
        <f t="shared" si="2"/>
        <v>0</v>
      </c>
      <c r="G18" s="817"/>
      <c r="H18" s="817">
        <f t="shared" si="2"/>
        <v>10498</v>
      </c>
      <c r="I18" s="818"/>
      <c r="J18" s="817"/>
      <c r="K18" s="817"/>
      <c r="L18" s="817"/>
      <c r="M18" s="817"/>
      <c r="N18" s="817"/>
      <c r="O18" s="817"/>
      <c r="P18" s="865">
        <f>'[6]Hồng Ngự'!$J$8</f>
        <v>1012</v>
      </c>
      <c r="Q18" s="818"/>
      <c r="R18" s="817"/>
      <c r="S18" s="817"/>
      <c r="T18" s="817"/>
      <c r="U18" s="817"/>
      <c r="V18" s="817"/>
      <c r="W18" s="817"/>
      <c r="X18" s="817">
        <f>'[6]Thị xã Hồng Ngự'!$J$8</f>
        <v>628</v>
      </c>
      <c r="Y18" s="818"/>
      <c r="Z18" s="817"/>
      <c r="AA18" s="817"/>
      <c r="AB18" s="817"/>
      <c r="AC18" s="817"/>
      <c r="AD18" s="860"/>
      <c r="AE18" s="817"/>
      <c r="AF18" s="817">
        <f>'[6]Tân Hồng'!$J$8</f>
        <v>806</v>
      </c>
      <c r="AG18" s="818"/>
      <c r="AH18" s="817"/>
      <c r="AI18" s="817"/>
      <c r="AJ18" s="817"/>
      <c r="AK18" s="817"/>
      <c r="AL18" s="860"/>
      <c r="AM18" s="817"/>
      <c r="AN18" s="817">
        <f>'[6]Tam Nông'!$J$8</f>
        <v>1096</v>
      </c>
      <c r="AO18" s="818"/>
      <c r="AP18" s="817"/>
      <c r="AQ18" s="817"/>
      <c r="AR18" s="817"/>
      <c r="AS18" s="817"/>
      <c r="AT18" s="860"/>
      <c r="AU18" s="817"/>
      <c r="AV18" s="817">
        <f>'[6]Thanh Bình'!$J$8</f>
        <v>1174</v>
      </c>
      <c r="AW18" s="818"/>
      <c r="AX18" s="817"/>
      <c r="AY18" s="817"/>
      <c r="AZ18" s="817"/>
      <c r="BA18" s="817"/>
      <c r="BB18" s="860"/>
      <c r="BC18" s="817"/>
      <c r="BD18" s="817"/>
      <c r="BE18" s="818"/>
      <c r="BF18" s="817"/>
      <c r="BG18" s="817"/>
      <c r="BH18" s="817"/>
      <c r="BI18" s="817"/>
      <c r="BJ18" s="860"/>
      <c r="BK18" s="817"/>
      <c r="BL18" s="817">
        <f>'[6]Huyện Cao Lãnh'!$J$8</f>
        <v>1644</v>
      </c>
      <c r="BM18" s="818"/>
      <c r="BN18" s="817"/>
      <c r="BO18" s="817"/>
      <c r="BP18" s="817"/>
      <c r="BQ18" s="817"/>
      <c r="BR18" s="860"/>
      <c r="BS18" s="817"/>
      <c r="BT18" s="817">
        <f>'[6]Tháp Mười'!$J$8</f>
        <v>1160</v>
      </c>
      <c r="BU18" s="818"/>
      <c r="BV18" s="817"/>
      <c r="BW18" s="817"/>
      <c r="BX18" s="817"/>
      <c r="BY18" s="817"/>
      <c r="BZ18" s="860"/>
      <c r="CA18" s="817"/>
      <c r="CB18" s="817"/>
      <c r="CC18" s="818"/>
      <c r="CD18" s="817"/>
      <c r="CE18" s="817"/>
      <c r="CF18" s="817"/>
      <c r="CG18" s="817"/>
      <c r="CH18" s="860"/>
      <c r="CI18" s="817"/>
      <c r="CJ18" s="817">
        <f>'[6]Lai Vung'!$J$8</f>
        <v>1088</v>
      </c>
      <c r="CK18" s="818"/>
      <c r="CL18" s="817"/>
      <c r="CM18" s="817"/>
      <c r="CN18" s="817"/>
      <c r="CO18" s="817"/>
      <c r="CP18" s="860"/>
      <c r="CQ18" s="817"/>
      <c r="CR18" s="817">
        <f>'[6]Thành phố Sa Đéc'!$J$8</f>
        <v>794</v>
      </c>
      <c r="CS18" s="818"/>
      <c r="CT18" s="817"/>
      <c r="CU18" s="817"/>
      <c r="CV18" s="817"/>
      <c r="CW18" s="817"/>
      <c r="CX18" s="860"/>
      <c r="CY18" s="817"/>
      <c r="CZ18" s="817">
        <f>'[6]Châu Thành'!$J$8</f>
        <v>1096</v>
      </c>
      <c r="DA18" s="818"/>
      <c r="DB18" s="817"/>
    </row>
    <row r="19" spans="1:106" s="396" customFormat="1" ht="18.95" customHeight="1" x14ac:dyDescent="0.2">
      <c r="A19" s="394">
        <v>9</v>
      </c>
      <c r="B19" s="397" t="s">
        <v>484</v>
      </c>
      <c r="C19" s="817">
        <f t="shared" si="0"/>
        <v>53408</v>
      </c>
      <c r="D19" s="817"/>
      <c r="E19" s="817">
        <f t="shared" si="1"/>
        <v>53408</v>
      </c>
      <c r="F19" s="817">
        <f t="shared" si="2"/>
        <v>159826</v>
      </c>
      <c r="G19" s="817">
        <f t="shared" si="2"/>
        <v>0</v>
      </c>
      <c r="H19" s="817">
        <f t="shared" si="2"/>
        <v>159826</v>
      </c>
      <c r="I19" s="818">
        <f t="shared" si="17"/>
        <v>106418</v>
      </c>
      <c r="J19" s="817"/>
      <c r="K19" s="817">
        <v>5977</v>
      </c>
      <c r="L19" s="817"/>
      <c r="M19" s="817">
        <f>K19</f>
        <v>5977</v>
      </c>
      <c r="N19" s="817">
        <f>P19</f>
        <v>0</v>
      </c>
      <c r="O19" s="817"/>
      <c r="P19" s="817">
        <f>'TLTT nam 2018- 2019'!E9</f>
        <v>0</v>
      </c>
      <c r="Q19" s="818">
        <f>N19-K19</f>
        <v>-5977</v>
      </c>
      <c r="R19" s="817"/>
      <c r="S19" s="817">
        <v>7812</v>
      </c>
      <c r="T19" s="817"/>
      <c r="U19" s="817">
        <f>S19</f>
        <v>7812</v>
      </c>
      <c r="V19" s="817">
        <f>X19</f>
        <v>0</v>
      </c>
      <c r="W19" s="817"/>
      <c r="X19" s="817">
        <f>'TLTT nam 2018- 2019'!F9</f>
        <v>0</v>
      </c>
      <c r="Y19" s="818">
        <f>V19-S19</f>
        <v>-7812</v>
      </c>
      <c r="Z19" s="817"/>
      <c r="AA19" s="817">
        <v>2863</v>
      </c>
      <c r="AB19" s="817"/>
      <c r="AC19" s="817">
        <f>AA19</f>
        <v>2863</v>
      </c>
      <c r="AD19" s="860">
        <f>AF19</f>
        <v>0</v>
      </c>
      <c r="AE19" s="817"/>
      <c r="AF19" s="817">
        <f>'TLTT nam 2018- 2019'!G9</f>
        <v>0</v>
      </c>
      <c r="AG19" s="818">
        <f>AD19-AA19</f>
        <v>-2863</v>
      </c>
      <c r="AH19" s="817"/>
      <c r="AI19" s="817">
        <v>7043</v>
      </c>
      <c r="AJ19" s="817"/>
      <c r="AK19" s="817">
        <f>AI19</f>
        <v>7043</v>
      </c>
      <c r="AL19" s="860">
        <f>AN19</f>
        <v>0</v>
      </c>
      <c r="AM19" s="817"/>
      <c r="AN19" s="817">
        <f>'TLTT nam 2018- 2019'!H9</f>
        <v>0</v>
      </c>
      <c r="AO19" s="818">
        <f t="shared" si="3"/>
        <v>-7043</v>
      </c>
      <c r="AP19" s="817"/>
      <c r="AQ19" s="817">
        <v>0</v>
      </c>
      <c r="AR19" s="817"/>
      <c r="AS19" s="817">
        <f>AQ19</f>
        <v>0</v>
      </c>
      <c r="AT19" s="860">
        <f>AV19</f>
        <v>0</v>
      </c>
      <c r="AU19" s="817"/>
      <c r="AV19" s="817">
        <f>'TLTT nam 2018- 2019'!I9</f>
        <v>0</v>
      </c>
      <c r="AW19" s="818">
        <f>AT19-AQ19</f>
        <v>0</v>
      </c>
      <c r="AX19" s="817"/>
      <c r="AY19" s="817">
        <v>7655</v>
      </c>
      <c r="AZ19" s="817"/>
      <c r="BA19" s="817">
        <f>AY19</f>
        <v>7655</v>
      </c>
      <c r="BB19" s="860">
        <f>BD19</f>
        <v>131563</v>
      </c>
      <c r="BC19" s="817"/>
      <c r="BD19" s="817">
        <f>'TLTT nam 2018- 2019'!J9</f>
        <v>131563</v>
      </c>
      <c r="BE19" s="818">
        <f>BB19-AY19</f>
        <v>123908</v>
      </c>
      <c r="BF19" s="817"/>
      <c r="BG19" s="817">
        <v>9196</v>
      </c>
      <c r="BH19" s="817"/>
      <c r="BI19" s="817">
        <f>BG19</f>
        <v>9196</v>
      </c>
      <c r="BJ19" s="860">
        <f>BL19</f>
        <v>0</v>
      </c>
      <c r="BK19" s="817"/>
      <c r="BL19" s="817">
        <f>'TLTT nam 2018- 2019'!K9</f>
        <v>0</v>
      </c>
      <c r="BM19" s="818">
        <f>BJ19-BG19</f>
        <v>-9196</v>
      </c>
      <c r="BN19" s="817"/>
      <c r="BO19" s="817">
        <v>2890</v>
      </c>
      <c r="BP19" s="817"/>
      <c r="BQ19" s="817">
        <f>BO19</f>
        <v>2890</v>
      </c>
      <c r="BR19" s="860">
        <f>BT19</f>
        <v>0</v>
      </c>
      <c r="BS19" s="817"/>
      <c r="BT19" s="817">
        <f>'TLTT nam 2018- 2019'!L9</f>
        <v>0</v>
      </c>
      <c r="BU19" s="818">
        <f>BR19-BO19</f>
        <v>-2890</v>
      </c>
      <c r="BV19" s="817"/>
      <c r="BW19" s="817">
        <v>3436</v>
      </c>
      <c r="BX19" s="817"/>
      <c r="BY19" s="817">
        <f>BW19</f>
        <v>3436</v>
      </c>
      <c r="BZ19" s="860">
        <f>CB19</f>
        <v>26555</v>
      </c>
      <c r="CA19" s="817"/>
      <c r="CB19" s="817">
        <f>'TLTT nam 2018- 2019'!M9</f>
        <v>26555</v>
      </c>
      <c r="CC19" s="818">
        <f>BZ19-BW19</f>
        <v>23119</v>
      </c>
      <c r="CD19" s="817"/>
      <c r="CE19" s="817">
        <v>6536</v>
      </c>
      <c r="CF19" s="817"/>
      <c r="CG19" s="817">
        <f>CE19</f>
        <v>6536</v>
      </c>
      <c r="CH19" s="860">
        <f>CJ19</f>
        <v>1708</v>
      </c>
      <c r="CI19" s="817"/>
      <c r="CJ19" s="817">
        <f>'TLTT nam 2018- 2019'!N9</f>
        <v>1708</v>
      </c>
      <c r="CK19" s="818">
        <f>CH19-CE19</f>
        <v>-4828</v>
      </c>
      <c r="CL19" s="817"/>
      <c r="CM19" s="817">
        <v>0</v>
      </c>
      <c r="CN19" s="817"/>
      <c r="CO19" s="817">
        <f>CM19</f>
        <v>0</v>
      </c>
      <c r="CP19" s="860">
        <f>CR19</f>
        <v>0</v>
      </c>
      <c r="CQ19" s="817"/>
      <c r="CR19" s="817">
        <f>'TLTT nam 2018- 2019'!O9</f>
        <v>0</v>
      </c>
      <c r="CS19" s="818">
        <f>CP19-CM19</f>
        <v>0</v>
      </c>
      <c r="CT19" s="817"/>
      <c r="CU19" s="817">
        <v>0</v>
      </c>
      <c r="CV19" s="817"/>
      <c r="CW19" s="817">
        <f>CU19</f>
        <v>0</v>
      </c>
      <c r="CX19" s="860">
        <f>CZ19</f>
        <v>0</v>
      </c>
      <c r="CY19" s="817"/>
      <c r="CZ19" s="817">
        <f>'TLTT nam 2018- 2019'!P9</f>
        <v>0</v>
      </c>
      <c r="DA19" s="818">
        <f>CX19-CU19</f>
        <v>0</v>
      </c>
      <c r="DB19" s="817"/>
    </row>
    <row r="20" spans="1:106" s="400" customFormat="1" ht="18.95" customHeight="1" x14ac:dyDescent="0.2">
      <c r="A20" s="398" t="s">
        <v>294</v>
      </c>
      <c r="B20" s="399" t="s">
        <v>225</v>
      </c>
      <c r="C20" s="816">
        <f>SUM(C21,C24,C28,C29)</f>
        <v>5675726</v>
      </c>
      <c r="D20" s="816">
        <f>D24</f>
        <v>0</v>
      </c>
      <c r="E20" s="816">
        <f>SUM(E21,E24,E28,E29)</f>
        <v>6063640</v>
      </c>
      <c r="F20" s="816">
        <f>SUM(F21,F24,F28,F29)</f>
        <v>5908636</v>
      </c>
      <c r="G20" s="816">
        <f>G24</f>
        <v>192751</v>
      </c>
      <c r="H20" s="816">
        <f>SUM(H21,H24,H28,H29)</f>
        <v>6096576</v>
      </c>
      <c r="I20" s="815">
        <f>F20-C20</f>
        <v>232910</v>
      </c>
      <c r="J20" s="816">
        <f t="shared" ref="J20:J28" si="18">F20/C20%</f>
        <v>104.10361599555722</v>
      </c>
      <c r="K20" s="816">
        <f>SUM(K21,K24,K28,K29)</f>
        <v>432829</v>
      </c>
      <c r="L20" s="816"/>
      <c r="M20" s="816">
        <f>SUM(M21,M24,M28,M29)</f>
        <v>450435</v>
      </c>
      <c r="N20" s="816">
        <f>SUM(N21,N24,N28,N29)</f>
        <v>434309</v>
      </c>
      <c r="O20" s="816"/>
      <c r="P20" s="816">
        <f>SUM(P21,P24,P28,P29)</f>
        <v>451600</v>
      </c>
      <c r="Q20" s="815">
        <f>N20-K20</f>
        <v>1480</v>
      </c>
      <c r="R20" s="816">
        <f t="shared" ref="R20:R28" si="19">N20/K20%</f>
        <v>100.34193642292915</v>
      </c>
      <c r="S20" s="816">
        <f>SUM(S21,S24,S28,S29)</f>
        <v>354364</v>
      </c>
      <c r="T20" s="816">
        <f>SUM(T24)</f>
        <v>0</v>
      </c>
      <c r="U20" s="816">
        <f>SUM(U21,U24,U28,U29)</f>
        <v>389764</v>
      </c>
      <c r="V20" s="816">
        <f>SUM(V21,V24,V28,V29)</f>
        <v>355008</v>
      </c>
      <c r="W20" s="816"/>
      <c r="X20" s="816">
        <f>SUM(X21,X24,X28,X29)</f>
        <v>367217</v>
      </c>
      <c r="Y20" s="815">
        <f>V20-S20</f>
        <v>644</v>
      </c>
      <c r="Z20" s="816">
        <f t="shared" ref="Z20:Z28" si="20">V20/S20%</f>
        <v>100.18173403618879</v>
      </c>
      <c r="AA20" s="816">
        <f>SUM(AA21,AA24,AA28,AA29)</f>
        <v>385399</v>
      </c>
      <c r="AB20" s="816"/>
      <c r="AC20" s="816">
        <f>SUM(AC21,AC24,AC28,AC29)</f>
        <v>407794</v>
      </c>
      <c r="AD20" s="816">
        <f>SUM(AD21,AD24,AD28,AD29)</f>
        <v>387065</v>
      </c>
      <c r="AE20" s="816"/>
      <c r="AF20" s="816">
        <f>SUM(AF21,AF24,AF28,AF29)</f>
        <v>403536</v>
      </c>
      <c r="AG20" s="815">
        <f>AD20-AA20</f>
        <v>1666</v>
      </c>
      <c r="AH20" s="816">
        <f t="shared" ref="AH20:AH28" si="21">AD20/AA20%</f>
        <v>100.43227927420673</v>
      </c>
      <c r="AI20" s="816">
        <f>SUM(AI21,AI24,AI28,AI29)</f>
        <v>394999</v>
      </c>
      <c r="AJ20" s="816">
        <f>SUM(AJ24)</f>
        <v>0</v>
      </c>
      <c r="AK20" s="816">
        <f>SUM(AK21,AK24,AK28,AK29)</f>
        <v>401238</v>
      </c>
      <c r="AL20" s="816">
        <f>SUM(AL21,AL24,AL28,AL29)</f>
        <v>384992</v>
      </c>
      <c r="AM20" s="816"/>
      <c r="AN20" s="816">
        <f>SUM(AN21,AN24,AN28,AN29)</f>
        <v>408417</v>
      </c>
      <c r="AO20" s="815">
        <f>AL20-AI20</f>
        <v>-10007</v>
      </c>
      <c r="AP20" s="816">
        <f t="shared" ref="AP20:AP28" si="22">AL20/AI20%</f>
        <v>97.466575864749032</v>
      </c>
      <c r="AQ20" s="816">
        <f>SUM(AQ21,AQ24,AQ28,AQ29)</f>
        <v>479930</v>
      </c>
      <c r="AR20" s="816">
        <f>SUM(AR24)</f>
        <v>0</v>
      </c>
      <c r="AS20" s="816">
        <f>SUM(AS21,AS24,AS28,AS29)</f>
        <v>482544</v>
      </c>
      <c r="AT20" s="816">
        <f>SUM(AT21,AT24,AT28,AT29)</f>
        <v>491117</v>
      </c>
      <c r="AU20" s="816"/>
      <c r="AV20" s="816">
        <f>SUM(AV21,AV24,AV28,AV29)</f>
        <v>505581</v>
      </c>
      <c r="AW20" s="815">
        <f>AT20-AQ20</f>
        <v>11187</v>
      </c>
      <c r="AX20" s="816">
        <f t="shared" ref="AX20:AX28" si="23">AT20/AQ20%</f>
        <v>102.33096493238597</v>
      </c>
      <c r="AY20" s="816">
        <f>SUM(AY21,AY24,AY28,AY29)</f>
        <v>681102</v>
      </c>
      <c r="AZ20" s="816"/>
      <c r="BA20" s="816">
        <f>SUM(BA21,BA24,BA28,BA29)</f>
        <v>834192</v>
      </c>
      <c r="BB20" s="816">
        <f>SUM(BB21,BB24,BB28,BB29)</f>
        <v>841267</v>
      </c>
      <c r="BC20" s="816"/>
      <c r="BD20" s="816">
        <f>SUM(BD21,BD24,BD28,BD29)</f>
        <v>833710</v>
      </c>
      <c r="BE20" s="815">
        <f>BB20-AY20</f>
        <v>160165</v>
      </c>
      <c r="BF20" s="816">
        <f t="shared" ref="BF20:BF28" si="24">BB20/AY20%</f>
        <v>123.51556741868325</v>
      </c>
      <c r="BG20" s="816">
        <f>SUM(BG21,BG24,BG28,BG29)</f>
        <v>613643</v>
      </c>
      <c r="BH20" s="816">
        <f>SUM(BH24)</f>
        <v>0</v>
      </c>
      <c r="BI20" s="816">
        <f>SUM(BI21,BI24,BI28,BI29)</f>
        <v>626533</v>
      </c>
      <c r="BJ20" s="816">
        <f>SUM(BJ21,BJ24,BJ28,BJ29)</f>
        <v>614177</v>
      </c>
      <c r="BK20" s="816"/>
      <c r="BL20" s="816">
        <f>SUM(BL21,BL24,BL28,BL29)</f>
        <v>644011</v>
      </c>
      <c r="BM20" s="815">
        <f>BJ20-BG20</f>
        <v>534</v>
      </c>
      <c r="BN20" s="816">
        <f t="shared" ref="BN20:BN28" si="25">BJ20/BG20%</f>
        <v>100.08702128110318</v>
      </c>
      <c r="BO20" s="816">
        <f>SUM(BO21,BO24,BO28,BO29)</f>
        <v>537610</v>
      </c>
      <c r="BP20" s="816">
        <f>SUM(BP24)</f>
        <v>0</v>
      </c>
      <c r="BQ20" s="816">
        <f>SUM(BQ21,BQ24,BQ28,BQ29)</f>
        <v>543769</v>
      </c>
      <c r="BR20" s="816">
        <f>SUM(BR21,BR24,BR28,BR29)</f>
        <v>560541</v>
      </c>
      <c r="BS20" s="816"/>
      <c r="BT20" s="816">
        <f>SUM(BT21,BT24,BT28,BT29)</f>
        <v>572951</v>
      </c>
      <c r="BU20" s="815">
        <f>BR20-BO20</f>
        <v>22931</v>
      </c>
      <c r="BV20" s="816">
        <f t="shared" ref="BV20:BV28" si="26">BR20/BO20%</f>
        <v>104.26535964732798</v>
      </c>
      <c r="BW20" s="816">
        <f>SUM(BW21,BW24,BW28,BW29)</f>
        <v>492575</v>
      </c>
      <c r="BX20" s="816"/>
      <c r="BY20" s="816">
        <f>SUM(BY21,BY24,BY28,BY29)</f>
        <v>527952</v>
      </c>
      <c r="BZ20" s="816">
        <f>SUM(BZ21,BZ24,BZ28,BZ29)</f>
        <v>531043</v>
      </c>
      <c r="CA20" s="816"/>
      <c r="CB20" s="816">
        <f>SUM(CB21,CB24,CB28,CB29)</f>
        <v>519594</v>
      </c>
      <c r="CC20" s="815">
        <f>BZ20-BW20</f>
        <v>38468</v>
      </c>
      <c r="CD20" s="816">
        <f t="shared" ref="CD20:CD28" si="27">BZ20/BW20%</f>
        <v>107.80957214637365</v>
      </c>
      <c r="CE20" s="816">
        <f>SUM(CE21,CE24,CE28,CE29)</f>
        <v>446275</v>
      </c>
      <c r="CF20" s="816">
        <f>SUM(CF24)</f>
        <v>0</v>
      </c>
      <c r="CG20" s="816">
        <f>SUM(CG21,CG24,CG28,CG29)</f>
        <v>446945</v>
      </c>
      <c r="CH20" s="816">
        <f>SUM(CH21,CH24,CH28,CH29)</f>
        <v>445761</v>
      </c>
      <c r="CI20" s="816"/>
      <c r="CJ20" s="816">
        <f>SUM(CJ21,CJ24,CJ28,CJ29)</f>
        <v>462013</v>
      </c>
      <c r="CK20" s="815">
        <f>CH20-CE20</f>
        <v>-514</v>
      </c>
      <c r="CL20" s="816">
        <f t="shared" ref="CL20:CL28" si="28">CH20/CE20%</f>
        <v>99.884824379586576</v>
      </c>
      <c r="CM20" s="816">
        <f>SUM(CM21,CM24,CM28,CM29)</f>
        <v>447970</v>
      </c>
      <c r="CN20" s="816">
        <f>SUM(CN24)</f>
        <v>0</v>
      </c>
      <c r="CO20" s="816">
        <f>SUM(CO21,CO24,CO28,CO29)</f>
        <v>542930</v>
      </c>
      <c r="CP20" s="816">
        <f>SUM(CP21,CP24,CP28,CP29)</f>
        <v>444060</v>
      </c>
      <c r="CQ20" s="816"/>
      <c r="CR20" s="816">
        <f>SUM(CR21,CR24,CR28,CR29)</f>
        <v>494945</v>
      </c>
      <c r="CS20" s="815">
        <f>CP20-CM20</f>
        <v>-3910</v>
      </c>
      <c r="CT20" s="816">
        <f t="shared" ref="CT20:CT29" si="29">CP20/CM20%</f>
        <v>99.127173694667064</v>
      </c>
      <c r="CU20" s="816">
        <f>SUM(CU21,CU24,CU28,CU29)</f>
        <v>409030</v>
      </c>
      <c r="CV20" s="816">
        <f>SUM(CV24)</f>
        <v>0</v>
      </c>
      <c r="CW20" s="816">
        <f>SUM(CW21,CW24,CW28,CW29)</f>
        <v>409544</v>
      </c>
      <c r="CX20" s="816">
        <f>SUM(CX21,CX24,CX28,CX29)</f>
        <v>419296</v>
      </c>
      <c r="CY20" s="816"/>
      <c r="CZ20" s="816">
        <f>SUM(CZ21,CZ24,CZ28,CZ29)</f>
        <v>433001</v>
      </c>
      <c r="DA20" s="815">
        <f>CX20-CU20</f>
        <v>10266</v>
      </c>
      <c r="DB20" s="816">
        <f t="shared" ref="DB20:DB28" si="30">CX20/CU20%</f>
        <v>102.50984035400826</v>
      </c>
    </row>
    <row r="21" spans="1:106" s="400" customFormat="1" ht="18.95" customHeight="1" x14ac:dyDescent="0.2">
      <c r="A21" s="398">
        <v>1</v>
      </c>
      <c r="B21" s="399" t="s">
        <v>68</v>
      </c>
      <c r="C21" s="816">
        <f>+C22+C23</f>
        <v>876697</v>
      </c>
      <c r="D21" s="816"/>
      <c r="E21" s="816">
        <f>SUM(E22:E23)</f>
        <v>1111697</v>
      </c>
      <c r="F21" s="816">
        <f>SUM(F22:F23)</f>
        <v>856697</v>
      </c>
      <c r="G21" s="816"/>
      <c r="H21" s="816">
        <f>+H22+H23</f>
        <v>856697</v>
      </c>
      <c r="I21" s="815">
        <f t="shared" ref="I21:I26" si="31">F21-C21</f>
        <v>-20000</v>
      </c>
      <c r="J21" s="816">
        <f t="shared" si="18"/>
        <v>97.718710113072135</v>
      </c>
      <c r="K21" s="816">
        <f>+K22+K23</f>
        <v>37500</v>
      </c>
      <c r="L21" s="816"/>
      <c r="M21" s="816">
        <f>+M22+M23</f>
        <v>48500</v>
      </c>
      <c r="N21" s="816">
        <f>+N22+N23</f>
        <v>37500</v>
      </c>
      <c r="O21" s="816"/>
      <c r="P21" s="816">
        <f>SUM(P22:P23)</f>
        <v>37500</v>
      </c>
      <c r="Q21" s="815">
        <f t="shared" ref="Q21:Q26" si="32">N21-K21</f>
        <v>0</v>
      </c>
      <c r="R21" s="816">
        <f t="shared" si="19"/>
        <v>100</v>
      </c>
      <c r="S21" s="816">
        <f>+S22+S23</f>
        <v>116400</v>
      </c>
      <c r="T21" s="816"/>
      <c r="U21" s="816">
        <f>+U22+U23</f>
        <v>126400</v>
      </c>
      <c r="V21" s="816">
        <f>+V22+V23</f>
        <v>116400</v>
      </c>
      <c r="W21" s="816"/>
      <c r="X21" s="816">
        <f>SUM(X22:X23)</f>
        <v>116400</v>
      </c>
      <c r="Y21" s="815">
        <f t="shared" ref="Y21:Y26" si="33">V21-S21</f>
        <v>0</v>
      </c>
      <c r="Z21" s="816">
        <f t="shared" si="20"/>
        <v>100</v>
      </c>
      <c r="AA21" s="816">
        <f>+AA22+AA23</f>
        <v>36400</v>
      </c>
      <c r="AB21" s="816"/>
      <c r="AC21" s="816">
        <f>+AC22+AC23</f>
        <v>56400</v>
      </c>
      <c r="AD21" s="816">
        <f>+AD22+AD23</f>
        <v>36400</v>
      </c>
      <c r="AE21" s="816"/>
      <c r="AF21" s="816">
        <f>SUM(AF22:AF23)</f>
        <v>36400</v>
      </c>
      <c r="AG21" s="815">
        <f t="shared" ref="AG21:AG26" si="34">AD21-AA21</f>
        <v>0</v>
      </c>
      <c r="AH21" s="816">
        <f t="shared" si="21"/>
        <v>100</v>
      </c>
      <c r="AI21" s="816">
        <f>+AI22+AI23</f>
        <v>48600</v>
      </c>
      <c r="AJ21" s="816"/>
      <c r="AK21" s="816">
        <f>+AK22+AK23</f>
        <v>56600</v>
      </c>
      <c r="AL21" s="816">
        <f>+AL22+AL23</f>
        <v>48600</v>
      </c>
      <c r="AM21" s="816"/>
      <c r="AN21" s="816">
        <f>SUM(AN22:AN23)</f>
        <v>48600</v>
      </c>
      <c r="AO21" s="815">
        <f t="shared" ref="AO21:AO26" si="35">AL21-AI21</f>
        <v>0</v>
      </c>
      <c r="AP21" s="816">
        <f t="shared" si="22"/>
        <v>100</v>
      </c>
      <c r="AQ21" s="816">
        <f>+AQ22+AQ23</f>
        <v>54100</v>
      </c>
      <c r="AR21" s="816"/>
      <c r="AS21" s="816">
        <f>+AS22+AS23</f>
        <v>54100</v>
      </c>
      <c r="AT21" s="816">
        <f>+AT22+AT23</f>
        <v>54100</v>
      </c>
      <c r="AU21" s="816"/>
      <c r="AV21" s="816">
        <f>SUM(AV22:AV23)</f>
        <v>54100</v>
      </c>
      <c r="AW21" s="815">
        <f t="shared" ref="AW21:AW26" si="36">AT21-AQ21</f>
        <v>0</v>
      </c>
      <c r="AX21" s="816">
        <f t="shared" si="23"/>
        <v>100</v>
      </c>
      <c r="AY21" s="816">
        <f>+AY22+AY23</f>
        <v>176465</v>
      </c>
      <c r="AZ21" s="816"/>
      <c r="BA21" s="816">
        <f>+BA22+BA23</f>
        <v>286465</v>
      </c>
      <c r="BB21" s="816">
        <f>+BB22+BB23</f>
        <v>156465</v>
      </c>
      <c r="BC21" s="816"/>
      <c r="BD21" s="816">
        <f>SUM(BD22:BD23)</f>
        <v>156465</v>
      </c>
      <c r="BE21" s="815">
        <f t="shared" ref="BE21:BE26" si="37">BB21-AY21</f>
        <v>-20000</v>
      </c>
      <c r="BF21" s="816">
        <f t="shared" si="24"/>
        <v>88.666307766412601</v>
      </c>
      <c r="BG21" s="816">
        <f>+BG22+BG23</f>
        <v>73380</v>
      </c>
      <c r="BH21" s="816"/>
      <c r="BI21" s="816">
        <f>+BI22+BI23</f>
        <v>73380</v>
      </c>
      <c r="BJ21" s="816">
        <f>+BJ22+BJ23</f>
        <v>73380</v>
      </c>
      <c r="BK21" s="816"/>
      <c r="BL21" s="816">
        <f>SUM(BL22:BL23)</f>
        <v>73380</v>
      </c>
      <c r="BM21" s="815">
        <f t="shared" ref="BM21:BM26" si="38">BJ21-BG21</f>
        <v>0</v>
      </c>
      <c r="BN21" s="816">
        <f t="shared" si="25"/>
        <v>100</v>
      </c>
      <c r="BO21" s="816">
        <f>+BO22+BO23</f>
        <v>75255</v>
      </c>
      <c r="BP21" s="816"/>
      <c r="BQ21" s="816">
        <f>+BQ22+BQ23</f>
        <v>80255</v>
      </c>
      <c r="BR21" s="816">
        <f>+BR22+BR23</f>
        <v>75255</v>
      </c>
      <c r="BS21" s="816"/>
      <c r="BT21" s="816">
        <f>SUM(BT22:BT23)</f>
        <v>75255</v>
      </c>
      <c r="BU21" s="815">
        <f t="shared" ref="BU21:BU26" si="39">BR21-BO21</f>
        <v>0</v>
      </c>
      <c r="BV21" s="816">
        <f t="shared" si="26"/>
        <v>100</v>
      </c>
      <c r="BW21" s="816">
        <f>+BW22+BW23</f>
        <v>46807</v>
      </c>
      <c r="BX21" s="816"/>
      <c r="BY21" s="816">
        <f>+BY22+BY23</f>
        <v>59807</v>
      </c>
      <c r="BZ21" s="816">
        <f>+BZ22+BZ23</f>
        <v>46807</v>
      </c>
      <c r="CA21" s="816"/>
      <c r="CB21" s="816">
        <f>SUM(CB22:CB23)</f>
        <v>46807</v>
      </c>
      <c r="CC21" s="815">
        <f t="shared" ref="CC21:CC26" si="40">BZ21-BW21</f>
        <v>0</v>
      </c>
      <c r="CD21" s="816">
        <f t="shared" si="27"/>
        <v>100</v>
      </c>
      <c r="CE21" s="816">
        <f>+CE22+CE23</f>
        <v>42690</v>
      </c>
      <c r="CF21" s="816"/>
      <c r="CG21" s="816">
        <f>+CG22+CG23</f>
        <v>42690</v>
      </c>
      <c r="CH21" s="816">
        <f>+CH22+CH23</f>
        <v>42690</v>
      </c>
      <c r="CI21" s="816"/>
      <c r="CJ21" s="816">
        <f>SUM(CJ22:CJ23)</f>
        <v>42690</v>
      </c>
      <c r="CK21" s="815">
        <f t="shared" ref="CK21:CK26" si="41">CH21-CE21</f>
        <v>0</v>
      </c>
      <c r="CL21" s="816">
        <f t="shared" si="28"/>
        <v>100</v>
      </c>
      <c r="CM21" s="816">
        <f>+CM22+CM23</f>
        <v>123800</v>
      </c>
      <c r="CN21" s="816"/>
      <c r="CO21" s="816">
        <f>+CO22+CO23</f>
        <v>173800</v>
      </c>
      <c r="CP21" s="816">
        <f>+CP22+CP23</f>
        <v>123800</v>
      </c>
      <c r="CQ21" s="816"/>
      <c r="CR21" s="816">
        <f>SUM(CR22:CR23)</f>
        <v>123800</v>
      </c>
      <c r="CS21" s="815">
        <f t="shared" ref="CS21:CS26" si="42">CP21-CM21</f>
        <v>0</v>
      </c>
      <c r="CT21" s="816">
        <f t="shared" si="29"/>
        <v>100</v>
      </c>
      <c r="CU21" s="816">
        <f>+CU22+CU23</f>
        <v>45300</v>
      </c>
      <c r="CV21" s="816"/>
      <c r="CW21" s="816">
        <f>+CW22+CW23</f>
        <v>53300</v>
      </c>
      <c r="CX21" s="816">
        <f>+CX22+CX23</f>
        <v>45300</v>
      </c>
      <c r="CY21" s="816"/>
      <c r="CZ21" s="816">
        <f>SUM(CZ22:CZ23)</f>
        <v>45300</v>
      </c>
      <c r="DA21" s="815">
        <f t="shared" ref="DA21:DA26" si="43">CX21-CU21</f>
        <v>0</v>
      </c>
      <c r="DB21" s="816">
        <f t="shared" si="30"/>
        <v>100</v>
      </c>
    </row>
    <row r="22" spans="1:106" s="380" customFormat="1" ht="18.95" customHeight="1" x14ac:dyDescent="0.2">
      <c r="A22" s="401" t="s">
        <v>449</v>
      </c>
      <c r="B22" s="402" t="s">
        <v>612</v>
      </c>
      <c r="C22" s="817">
        <f>+K22+S22+AA22+AI22+AQ22+AY22+BG22+BO22+BW22+CE22+CM22+CU22</f>
        <v>476697</v>
      </c>
      <c r="D22" s="817"/>
      <c r="E22" s="817">
        <f>+M22+U22+AC22+AK22+AS22+BA22+BI22+BQ22+BY22+CG22+CO22+CW22</f>
        <v>476697</v>
      </c>
      <c r="F22" s="817">
        <f t="shared" ref="F22:H29" si="44">SUM(N22,V22,AD22,AL22,AT22,BB22,BJ22,BR22,BZ22,CH22,CP22,CX22)</f>
        <v>476697</v>
      </c>
      <c r="G22" s="817"/>
      <c r="H22" s="817">
        <f t="shared" si="44"/>
        <v>476697</v>
      </c>
      <c r="I22" s="818">
        <f t="shared" si="31"/>
        <v>0</v>
      </c>
      <c r="J22" s="817">
        <f t="shared" si="18"/>
        <v>100</v>
      </c>
      <c r="K22" s="817">
        <v>27500</v>
      </c>
      <c r="L22" s="817"/>
      <c r="M22" s="817">
        <f>K22</f>
        <v>27500</v>
      </c>
      <c r="N22" s="817">
        <f>M22</f>
        <v>27500</v>
      </c>
      <c r="O22" s="817"/>
      <c r="P22" s="817">
        <f>N22</f>
        <v>27500</v>
      </c>
      <c r="Q22" s="818">
        <f t="shared" si="32"/>
        <v>0</v>
      </c>
      <c r="R22" s="817">
        <f t="shared" si="19"/>
        <v>100</v>
      </c>
      <c r="S22" s="817">
        <v>26400</v>
      </c>
      <c r="T22" s="817"/>
      <c r="U22" s="817">
        <f>S22</f>
        <v>26400</v>
      </c>
      <c r="V22" s="817">
        <f>S22</f>
        <v>26400</v>
      </c>
      <c r="W22" s="817"/>
      <c r="X22" s="817">
        <f>V22</f>
        <v>26400</v>
      </c>
      <c r="Y22" s="818">
        <f t="shared" si="33"/>
        <v>0</v>
      </c>
      <c r="Z22" s="817">
        <f t="shared" si="20"/>
        <v>100</v>
      </c>
      <c r="AA22" s="817">
        <v>26400</v>
      </c>
      <c r="AB22" s="817"/>
      <c r="AC22" s="817">
        <f>AA22</f>
        <v>26400</v>
      </c>
      <c r="AD22" s="817">
        <f>AA22</f>
        <v>26400</v>
      </c>
      <c r="AE22" s="817"/>
      <c r="AF22" s="817">
        <f>AD22</f>
        <v>26400</v>
      </c>
      <c r="AG22" s="818">
        <f t="shared" si="34"/>
        <v>0</v>
      </c>
      <c r="AH22" s="817">
        <f t="shared" si="21"/>
        <v>100</v>
      </c>
      <c r="AI22" s="817">
        <v>28600</v>
      </c>
      <c r="AJ22" s="817"/>
      <c r="AK22" s="817">
        <f>AI22</f>
        <v>28600</v>
      </c>
      <c r="AL22" s="817">
        <f>AI22</f>
        <v>28600</v>
      </c>
      <c r="AM22" s="817"/>
      <c r="AN22" s="817">
        <f>AL22</f>
        <v>28600</v>
      </c>
      <c r="AO22" s="818">
        <f t="shared" si="35"/>
        <v>0</v>
      </c>
      <c r="AP22" s="817">
        <f t="shared" si="22"/>
        <v>100</v>
      </c>
      <c r="AQ22" s="817">
        <v>34100</v>
      </c>
      <c r="AR22" s="817"/>
      <c r="AS22" s="817">
        <f>AQ22</f>
        <v>34100</v>
      </c>
      <c r="AT22" s="817">
        <f>AQ22</f>
        <v>34100</v>
      </c>
      <c r="AU22" s="817"/>
      <c r="AV22" s="817">
        <f>AT22</f>
        <v>34100</v>
      </c>
      <c r="AW22" s="818">
        <f t="shared" si="36"/>
        <v>0</v>
      </c>
      <c r="AX22" s="817">
        <f t="shared" si="23"/>
        <v>100</v>
      </c>
      <c r="AY22" s="817">
        <v>106465</v>
      </c>
      <c r="AZ22" s="817"/>
      <c r="BA22" s="817">
        <f>AY22</f>
        <v>106465</v>
      </c>
      <c r="BB22" s="817">
        <f>AY22</f>
        <v>106465</v>
      </c>
      <c r="BC22" s="817"/>
      <c r="BD22" s="817">
        <f>BB22</f>
        <v>106465</v>
      </c>
      <c r="BE22" s="818">
        <f t="shared" si="37"/>
        <v>0</v>
      </c>
      <c r="BF22" s="817">
        <f t="shared" si="24"/>
        <v>99.999999999999986</v>
      </c>
      <c r="BG22" s="817">
        <v>38380</v>
      </c>
      <c r="BH22" s="817"/>
      <c r="BI22" s="817">
        <f>BG22</f>
        <v>38380</v>
      </c>
      <c r="BJ22" s="817">
        <f>BG22</f>
        <v>38380</v>
      </c>
      <c r="BK22" s="817"/>
      <c r="BL22" s="817">
        <f>BJ22</f>
        <v>38380</v>
      </c>
      <c r="BM22" s="818">
        <f t="shared" si="38"/>
        <v>0</v>
      </c>
      <c r="BN22" s="817">
        <f t="shared" si="25"/>
        <v>100</v>
      </c>
      <c r="BO22" s="817">
        <v>35255</v>
      </c>
      <c r="BP22" s="817"/>
      <c r="BQ22" s="817">
        <f>BO22</f>
        <v>35255</v>
      </c>
      <c r="BR22" s="817">
        <f>BO22</f>
        <v>35255</v>
      </c>
      <c r="BS22" s="817"/>
      <c r="BT22" s="817">
        <f>+BR22</f>
        <v>35255</v>
      </c>
      <c r="BU22" s="818">
        <f t="shared" si="39"/>
        <v>0</v>
      </c>
      <c r="BV22" s="817">
        <f t="shared" si="26"/>
        <v>100</v>
      </c>
      <c r="BW22" s="817">
        <v>31807</v>
      </c>
      <c r="BX22" s="817"/>
      <c r="BY22" s="817">
        <f>BW22</f>
        <v>31807</v>
      </c>
      <c r="BZ22" s="817">
        <f>BW22</f>
        <v>31807</v>
      </c>
      <c r="CA22" s="817"/>
      <c r="CB22" s="817">
        <f>BZ22</f>
        <v>31807</v>
      </c>
      <c r="CC22" s="818">
        <f t="shared" si="40"/>
        <v>0</v>
      </c>
      <c r="CD22" s="817">
        <f t="shared" si="27"/>
        <v>100</v>
      </c>
      <c r="CE22" s="817">
        <v>32690</v>
      </c>
      <c r="CF22" s="817"/>
      <c r="CG22" s="817">
        <f>CE22</f>
        <v>32690</v>
      </c>
      <c r="CH22" s="817">
        <f>CE22</f>
        <v>32690</v>
      </c>
      <c r="CI22" s="817"/>
      <c r="CJ22" s="817">
        <f>CH22</f>
        <v>32690</v>
      </c>
      <c r="CK22" s="818">
        <f t="shared" si="41"/>
        <v>0</v>
      </c>
      <c r="CL22" s="817">
        <f t="shared" si="28"/>
        <v>100</v>
      </c>
      <c r="CM22" s="817">
        <v>63800</v>
      </c>
      <c r="CN22" s="817"/>
      <c r="CO22" s="817">
        <f>CM22</f>
        <v>63800</v>
      </c>
      <c r="CP22" s="817">
        <f>CM22</f>
        <v>63800</v>
      </c>
      <c r="CQ22" s="817"/>
      <c r="CR22" s="817">
        <f>CP22</f>
        <v>63800</v>
      </c>
      <c r="CS22" s="818">
        <f t="shared" si="42"/>
        <v>0</v>
      </c>
      <c r="CT22" s="817">
        <f t="shared" si="29"/>
        <v>100</v>
      </c>
      <c r="CU22" s="817">
        <v>25300</v>
      </c>
      <c r="CV22" s="817"/>
      <c r="CW22" s="817">
        <f>CU22</f>
        <v>25300</v>
      </c>
      <c r="CX22" s="817">
        <f>CU22</f>
        <v>25300</v>
      </c>
      <c r="CY22" s="817"/>
      <c r="CZ22" s="817">
        <f>CX22</f>
        <v>25300</v>
      </c>
      <c r="DA22" s="818">
        <f t="shared" si="43"/>
        <v>0</v>
      </c>
      <c r="DB22" s="817">
        <f t="shared" si="30"/>
        <v>100</v>
      </c>
    </row>
    <row r="23" spans="1:106" s="380" customFormat="1" ht="18.95" customHeight="1" x14ac:dyDescent="0.2">
      <c r="A23" s="401" t="s">
        <v>449</v>
      </c>
      <c r="B23" s="402" t="s">
        <v>247</v>
      </c>
      <c r="C23" s="817">
        <f>+K23+S23+AA23+AI23+AQ23+AY23+BG23+BO23+BW23+CE23+CM23+CU23</f>
        <v>400000</v>
      </c>
      <c r="D23" s="817"/>
      <c r="E23" s="817">
        <f>+M23+U23+AC23+AK23+AS23+BA23+BI23+BQ23+BY23+CG23+CO23+CW23</f>
        <v>635000</v>
      </c>
      <c r="F23" s="817">
        <f t="shared" si="44"/>
        <v>380000</v>
      </c>
      <c r="G23" s="819"/>
      <c r="H23" s="817">
        <f>SUM(P23,X23,AF23,AN23,AV23,BD23,BL23,BT23,CB23,CJ23,CR23,CZ23)</f>
        <v>380000</v>
      </c>
      <c r="I23" s="818">
        <f t="shared" si="31"/>
        <v>-20000</v>
      </c>
      <c r="J23" s="817">
        <f t="shared" si="18"/>
        <v>95</v>
      </c>
      <c r="K23" s="817">
        <f>'Thu NSH'!P28</f>
        <v>10000</v>
      </c>
      <c r="L23" s="817"/>
      <c r="M23" s="817">
        <f>'Thu NSH'!T28</f>
        <v>21000</v>
      </c>
      <c r="N23" s="817">
        <f>'Thu NSH'!V28</f>
        <v>10000</v>
      </c>
      <c r="O23" s="819"/>
      <c r="P23" s="817">
        <f>N23</f>
        <v>10000</v>
      </c>
      <c r="Q23" s="818">
        <f t="shared" si="32"/>
        <v>0</v>
      </c>
      <c r="R23" s="817">
        <f t="shared" si="19"/>
        <v>100</v>
      </c>
      <c r="S23" s="817">
        <f>'Thu NSH'!AB28</f>
        <v>90000</v>
      </c>
      <c r="T23" s="817"/>
      <c r="U23" s="817">
        <f>'Thu NSH'!AF28</f>
        <v>100000</v>
      </c>
      <c r="V23" s="817">
        <f>'Thu NSH'!AH28</f>
        <v>90000</v>
      </c>
      <c r="W23" s="819"/>
      <c r="X23" s="817">
        <f>V23</f>
        <v>90000</v>
      </c>
      <c r="Y23" s="818">
        <f>V23-S23</f>
        <v>0</v>
      </c>
      <c r="Z23" s="817">
        <f t="shared" si="20"/>
        <v>100</v>
      </c>
      <c r="AA23" s="817">
        <f>'Thu NSH'!AM28</f>
        <v>10000</v>
      </c>
      <c r="AB23" s="817"/>
      <c r="AC23" s="817">
        <f>'Thu NSH'!AR28</f>
        <v>30000</v>
      </c>
      <c r="AD23" s="817">
        <f>'Thu NSH'!AT28</f>
        <v>10000</v>
      </c>
      <c r="AE23" s="819"/>
      <c r="AF23" s="817">
        <f>AD23</f>
        <v>10000</v>
      </c>
      <c r="AG23" s="818">
        <f t="shared" si="34"/>
        <v>0</v>
      </c>
      <c r="AH23" s="817">
        <f t="shared" si="21"/>
        <v>100</v>
      </c>
      <c r="AI23" s="817">
        <f>'Thu NSH'!AY28</f>
        <v>20000</v>
      </c>
      <c r="AJ23" s="817"/>
      <c r="AK23" s="817">
        <f>'Thu NSH'!BD28</f>
        <v>28000</v>
      </c>
      <c r="AL23" s="817">
        <f>'Thu NSH'!BF28</f>
        <v>20000</v>
      </c>
      <c r="AM23" s="819"/>
      <c r="AN23" s="817">
        <f>AL23</f>
        <v>20000</v>
      </c>
      <c r="AO23" s="818">
        <f t="shared" si="35"/>
        <v>0</v>
      </c>
      <c r="AP23" s="817">
        <f t="shared" si="22"/>
        <v>100</v>
      </c>
      <c r="AQ23" s="817">
        <f>'Thu NSH'!BL28</f>
        <v>20000</v>
      </c>
      <c r="AR23" s="817"/>
      <c r="AS23" s="817">
        <f>'Thu NSH'!BP28</f>
        <v>20000</v>
      </c>
      <c r="AT23" s="817">
        <f>'Thu NSH'!BR28</f>
        <v>20000</v>
      </c>
      <c r="AU23" s="819"/>
      <c r="AV23" s="817">
        <f>AT23</f>
        <v>20000</v>
      </c>
      <c r="AW23" s="818">
        <f t="shared" si="36"/>
        <v>0</v>
      </c>
      <c r="AX23" s="817">
        <f t="shared" si="23"/>
        <v>100</v>
      </c>
      <c r="AY23" s="817">
        <f>'Thu NSH'!BX28</f>
        <v>70000</v>
      </c>
      <c r="AZ23" s="817"/>
      <c r="BA23" s="817">
        <f>'Thu NSH'!CB28</f>
        <v>180000</v>
      </c>
      <c r="BB23" s="817">
        <f>'Thu NSH'!CD28</f>
        <v>50000</v>
      </c>
      <c r="BC23" s="819"/>
      <c r="BD23" s="817">
        <f>BB23</f>
        <v>50000</v>
      </c>
      <c r="BE23" s="818">
        <f t="shared" si="37"/>
        <v>-20000</v>
      </c>
      <c r="BF23" s="817">
        <f t="shared" si="24"/>
        <v>71.428571428571431</v>
      </c>
      <c r="BG23" s="817">
        <f>'Thu NSH'!CJ28</f>
        <v>35000</v>
      </c>
      <c r="BH23" s="817"/>
      <c r="BI23" s="817">
        <f>'Thu NSH'!CN28</f>
        <v>35000</v>
      </c>
      <c r="BJ23" s="817">
        <f>'Thu NSH'!CP28</f>
        <v>35000</v>
      </c>
      <c r="BK23" s="819"/>
      <c r="BL23" s="817">
        <f>BJ23</f>
        <v>35000</v>
      </c>
      <c r="BM23" s="818">
        <f t="shared" si="38"/>
        <v>0</v>
      </c>
      <c r="BN23" s="817">
        <f t="shared" si="25"/>
        <v>100</v>
      </c>
      <c r="BO23" s="817">
        <f>'Thu NSH'!CV28</f>
        <v>40000</v>
      </c>
      <c r="BP23" s="817"/>
      <c r="BQ23" s="817">
        <f>'Thu NSH'!CZ28</f>
        <v>45000</v>
      </c>
      <c r="BR23" s="817">
        <f>'Thu NSH'!DB28</f>
        <v>40000</v>
      </c>
      <c r="BS23" s="819"/>
      <c r="BT23" s="817">
        <f>BR23</f>
        <v>40000</v>
      </c>
      <c r="BU23" s="818">
        <f t="shared" si="39"/>
        <v>0</v>
      </c>
      <c r="BV23" s="817">
        <f t="shared" si="26"/>
        <v>100</v>
      </c>
      <c r="BW23" s="817">
        <f>'Thu NSH'!DH28</f>
        <v>15000</v>
      </c>
      <c r="BX23" s="817"/>
      <c r="BY23" s="817">
        <f>'Thu NSH'!DL28</f>
        <v>28000</v>
      </c>
      <c r="BZ23" s="817">
        <f>'Thu NSH'!DN28</f>
        <v>15000</v>
      </c>
      <c r="CA23" s="819"/>
      <c r="CB23" s="817">
        <f>BZ23</f>
        <v>15000</v>
      </c>
      <c r="CC23" s="818">
        <f t="shared" si="40"/>
        <v>0</v>
      </c>
      <c r="CD23" s="817">
        <f t="shared" si="27"/>
        <v>100</v>
      </c>
      <c r="CE23" s="817">
        <f>'Thu NSH'!DT28</f>
        <v>10000</v>
      </c>
      <c r="CF23" s="817"/>
      <c r="CG23" s="817">
        <f>'Thu NSH'!DX28</f>
        <v>10000</v>
      </c>
      <c r="CH23" s="817">
        <f>'Thu NSH'!DZ28</f>
        <v>10000</v>
      </c>
      <c r="CI23" s="819"/>
      <c r="CJ23" s="817">
        <f>CH23</f>
        <v>10000</v>
      </c>
      <c r="CK23" s="818">
        <f t="shared" si="41"/>
        <v>0</v>
      </c>
      <c r="CL23" s="817">
        <f t="shared" si="28"/>
        <v>100</v>
      </c>
      <c r="CM23" s="817">
        <f>'Thu NSH'!EF28</f>
        <v>60000</v>
      </c>
      <c r="CN23" s="817"/>
      <c r="CO23" s="817">
        <f>'Thu NSH'!EJ28</f>
        <v>110000</v>
      </c>
      <c r="CP23" s="817">
        <f>'Thu NSH'!EL28</f>
        <v>60000</v>
      </c>
      <c r="CQ23" s="819"/>
      <c r="CR23" s="817">
        <f>CP23</f>
        <v>60000</v>
      </c>
      <c r="CS23" s="818">
        <f t="shared" si="42"/>
        <v>0</v>
      </c>
      <c r="CT23" s="817">
        <f t="shared" si="29"/>
        <v>100</v>
      </c>
      <c r="CU23" s="817">
        <f>'Thu NSH'!ER28</f>
        <v>20000</v>
      </c>
      <c r="CV23" s="817"/>
      <c r="CW23" s="817">
        <f>'Thu NSH'!EV28</f>
        <v>28000</v>
      </c>
      <c r="CX23" s="817">
        <f>'Thu NSH'!EX28</f>
        <v>20000</v>
      </c>
      <c r="CY23" s="819"/>
      <c r="CZ23" s="817">
        <f>CX23</f>
        <v>20000</v>
      </c>
      <c r="DA23" s="818">
        <f t="shared" si="43"/>
        <v>0</v>
      </c>
      <c r="DB23" s="817">
        <f t="shared" si="30"/>
        <v>100</v>
      </c>
    </row>
    <row r="24" spans="1:106" s="400" customFormat="1" ht="18.95" customHeight="1" x14ac:dyDescent="0.2">
      <c r="A24" s="398">
        <v>2</v>
      </c>
      <c r="B24" s="399" t="s">
        <v>227</v>
      </c>
      <c r="C24" s="816">
        <f>SUM(C25:C27)</f>
        <v>4619984</v>
      </c>
      <c r="D24" s="816">
        <f>SUM(L24,T24,AB24,AJ24,AR24,AZ24,BH24,BP24,BX24,CF24,CN24,CV24)</f>
        <v>0</v>
      </c>
      <c r="E24" s="816">
        <f>SUM(E25:E27)</f>
        <v>4764559.5</v>
      </c>
      <c r="F24" s="816">
        <f>SUM(F25:F27)</f>
        <v>4727589</v>
      </c>
      <c r="G24" s="816">
        <f t="shared" si="44"/>
        <v>192751</v>
      </c>
      <c r="H24" s="816">
        <f>SUM(H25:H27)</f>
        <v>4937033</v>
      </c>
      <c r="I24" s="815">
        <f>F24-C24</f>
        <v>107605</v>
      </c>
      <c r="J24" s="816">
        <f t="shared" si="18"/>
        <v>102.32912062033117</v>
      </c>
      <c r="K24" s="816">
        <f>SUM(K25:K27)</f>
        <v>387689</v>
      </c>
      <c r="L24" s="816"/>
      <c r="M24" s="816">
        <f>SUM(M25:M27)</f>
        <v>390992</v>
      </c>
      <c r="N24" s="816">
        <f>N7-N21-N28-N29</f>
        <v>388884</v>
      </c>
      <c r="O24" s="816">
        <f>'TLTT nam 2018- 2019'!E24-'TLTT nam 2018- 2019'!E12</f>
        <v>16002</v>
      </c>
      <c r="P24" s="816">
        <f>P7-P21-P28-P29</f>
        <v>406175</v>
      </c>
      <c r="Q24" s="815">
        <f>N24-K24</f>
        <v>1195</v>
      </c>
      <c r="R24" s="816">
        <f t="shared" si="19"/>
        <v>100.30823675678185</v>
      </c>
      <c r="S24" s="816">
        <f>SUM(S25:S27)</f>
        <v>229773</v>
      </c>
      <c r="T24" s="816"/>
      <c r="U24" s="816">
        <f>SUM(U25:U27)</f>
        <v>245844</v>
      </c>
      <c r="V24" s="816">
        <f>V7-V21-V28-V29</f>
        <v>233615</v>
      </c>
      <c r="W24" s="816">
        <f>'TLTT nam 2018- 2019'!F24-'TLTT nam 2018- 2019'!F12</f>
        <v>10605</v>
      </c>
      <c r="X24" s="816">
        <f>X7-X21-X28-X29</f>
        <v>245824</v>
      </c>
      <c r="Y24" s="815">
        <f t="shared" si="33"/>
        <v>3842</v>
      </c>
      <c r="Z24" s="816">
        <f t="shared" si="20"/>
        <v>101.67208505786145</v>
      </c>
      <c r="AA24" s="816">
        <f>SUM(AA25:AA27)</f>
        <v>342399</v>
      </c>
      <c r="AB24" s="816"/>
      <c r="AC24" s="816">
        <f>SUM(AC25:AC27)</f>
        <v>343596.5</v>
      </c>
      <c r="AD24" s="816">
        <f>SUM(AD25:AD27)</f>
        <v>343947</v>
      </c>
      <c r="AE24" s="816">
        <f>'TLTT nam 2018- 2019'!G24-'TLTT nam 2018- 2019'!G12</f>
        <v>14172</v>
      </c>
      <c r="AF24" s="816">
        <f>AF7-AF21-AF28-AF29</f>
        <v>360418</v>
      </c>
      <c r="AG24" s="815">
        <f t="shared" si="34"/>
        <v>1548</v>
      </c>
      <c r="AH24" s="816">
        <f t="shared" si="21"/>
        <v>100.45210412413589</v>
      </c>
      <c r="AI24" s="816">
        <f>SUM(AI25:AI27)</f>
        <v>340149</v>
      </c>
      <c r="AJ24" s="816"/>
      <c r="AK24" s="816">
        <f>SUM(AK25:AK27)</f>
        <v>338088</v>
      </c>
      <c r="AL24" s="816">
        <f>SUM(AL25:AL27)</f>
        <v>330177</v>
      </c>
      <c r="AM24" s="816">
        <f>'TLTT nam 2018- 2019'!H24-'TLTT nam 2018- 2019'!H12</f>
        <v>14601</v>
      </c>
      <c r="AN24" s="816">
        <f>AN7-AN21-AN28-AN29</f>
        <v>353602</v>
      </c>
      <c r="AO24" s="815">
        <f t="shared" si="35"/>
        <v>-9972</v>
      </c>
      <c r="AP24" s="816">
        <f t="shared" si="22"/>
        <v>97.068343578843397</v>
      </c>
      <c r="AQ24" s="816">
        <f>SUM(AQ25:AQ27)</f>
        <v>417750</v>
      </c>
      <c r="AR24" s="816"/>
      <c r="AS24" s="816">
        <f>SUM(AS25:AS27)</f>
        <v>413628</v>
      </c>
      <c r="AT24" s="816">
        <f>SUM(AT25:AT27)</f>
        <v>428709</v>
      </c>
      <c r="AU24" s="816">
        <f>'TLTT nam 2018- 2019'!I24-'TLTT nam 2018- 2019'!I12</f>
        <v>17865</v>
      </c>
      <c r="AV24" s="816">
        <f>AV7-AV21-AV28-AV29</f>
        <v>443173</v>
      </c>
      <c r="AW24" s="815">
        <f t="shared" si="36"/>
        <v>10959</v>
      </c>
      <c r="AX24" s="816">
        <f t="shared" si="23"/>
        <v>102.62333931777378</v>
      </c>
      <c r="AY24" s="816">
        <f>SUM(AY25:AY27)</f>
        <v>418912</v>
      </c>
      <c r="AZ24" s="816"/>
      <c r="BA24" s="816">
        <f>SUM(BA25:BA27)</f>
        <v>513646</v>
      </c>
      <c r="BB24" s="816">
        <f>SUM(BB25:BB27)</f>
        <v>460732</v>
      </c>
      <c r="BC24" s="816">
        <f>'TLTT nam 2018- 2019'!J24-'TLTT nam 2018- 2019'!J12</f>
        <v>14096</v>
      </c>
      <c r="BD24" s="816">
        <f>BD7-BD21-BD28-BD29</f>
        <v>462048</v>
      </c>
      <c r="BE24" s="815">
        <f t="shared" si="37"/>
        <v>41820</v>
      </c>
      <c r="BF24" s="816">
        <f t="shared" si="24"/>
        <v>109.98300359025285</v>
      </c>
      <c r="BG24" s="816">
        <f>SUM(BG25:BG27)</f>
        <v>528032</v>
      </c>
      <c r="BH24" s="816"/>
      <c r="BI24" s="816">
        <f>SUM(BI25:BI27)</f>
        <v>536718</v>
      </c>
      <c r="BJ24" s="816">
        <f>SUM(BJ25:BJ27)</f>
        <v>530601</v>
      </c>
      <c r="BK24" s="816">
        <f>'TLTT nam 2018- 2019'!K24-'TLTT nam 2018- 2019'!K12</f>
        <v>25360</v>
      </c>
      <c r="BL24" s="816">
        <f>BL7-BL21-BL28-BL29</f>
        <v>560435</v>
      </c>
      <c r="BM24" s="815">
        <f t="shared" si="38"/>
        <v>2569</v>
      </c>
      <c r="BN24" s="816">
        <f t="shared" si="25"/>
        <v>100.48652354402763</v>
      </c>
      <c r="BO24" s="816">
        <f>SUM(BO25:BO27)</f>
        <v>454025</v>
      </c>
      <c r="BP24" s="816"/>
      <c r="BQ24" s="816">
        <f>SUM(BQ25:BQ27)</f>
        <v>452879</v>
      </c>
      <c r="BR24" s="816">
        <f>SUM(BR25:BR27)</f>
        <v>476381</v>
      </c>
      <c r="BS24" s="816">
        <f>'TLTT nam 2018- 2019'!L24-'TLTT nam 2018- 2019'!L12</f>
        <v>19875</v>
      </c>
      <c r="BT24" s="816">
        <f>BT7-BT21-BT28-BT29</f>
        <v>488791</v>
      </c>
      <c r="BU24" s="815">
        <f>BR24-BO24</f>
        <v>22356</v>
      </c>
      <c r="BV24" s="816">
        <f t="shared" si="26"/>
        <v>104.92395793183195</v>
      </c>
      <c r="BW24" s="816">
        <f>SUM(BW25:BW27)</f>
        <v>437008</v>
      </c>
      <c r="BX24" s="816"/>
      <c r="BY24" s="816">
        <f>SUM(BY25:BY27)</f>
        <v>446044</v>
      </c>
      <c r="BZ24" s="816">
        <f>SUM(BZ25:BZ27)</f>
        <v>459445</v>
      </c>
      <c r="CA24" s="816">
        <f>'TLTT nam 2018- 2019'!M24-'TLTT nam 2018- 2019'!M12</f>
        <v>17771</v>
      </c>
      <c r="CB24" s="816">
        <f>CB7-CB21-CB28-CB29</f>
        <v>460627</v>
      </c>
      <c r="CC24" s="815">
        <f t="shared" si="40"/>
        <v>22437</v>
      </c>
      <c r="CD24" s="816">
        <f t="shared" si="27"/>
        <v>105.13423095229378</v>
      </c>
      <c r="CE24" s="816">
        <f>SUM(CE25:CE27)</f>
        <v>391152</v>
      </c>
      <c r="CF24" s="816"/>
      <c r="CG24" s="816">
        <f>SUM(CG25:CG27)</f>
        <v>396230</v>
      </c>
      <c r="CH24" s="816">
        <f>SUM(CH25:CH27)</f>
        <v>395347</v>
      </c>
      <c r="CI24" s="816">
        <f>'TLTT nam 2018- 2019'!N24-'TLTT nam 2018- 2019'!N12</f>
        <v>15764</v>
      </c>
      <c r="CJ24" s="816">
        <f>CJ7-CJ21-CJ28-CJ29</f>
        <v>411599</v>
      </c>
      <c r="CK24" s="815">
        <f t="shared" si="41"/>
        <v>4195</v>
      </c>
      <c r="CL24" s="816">
        <f t="shared" si="28"/>
        <v>101.07247310508447</v>
      </c>
      <c r="CM24" s="816">
        <f>SUM(CM25:CM27)</f>
        <v>316435</v>
      </c>
      <c r="CN24" s="816"/>
      <c r="CO24" s="816">
        <f>SUM(CO25:CO27)</f>
        <v>338100</v>
      </c>
      <c r="CP24" s="816">
        <f>SUM(CP25:CP27)</f>
        <v>312958</v>
      </c>
      <c r="CQ24" s="816">
        <f>'TLTT nam 2018- 2019'!O24-'TLTT nam 2018- 2019'!O12</f>
        <v>11361</v>
      </c>
      <c r="CR24" s="816">
        <f>CR7-CR21-CR28-CR29</f>
        <v>363843</v>
      </c>
      <c r="CS24" s="815">
        <f>CP24-CM24</f>
        <v>-3477</v>
      </c>
      <c r="CT24" s="816">
        <f t="shared" si="29"/>
        <v>98.901196138227448</v>
      </c>
      <c r="CU24" s="816">
        <f>SUM(CU25:CU27)</f>
        <v>356660</v>
      </c>
      <c r="CV24" s="816"/>
      <c r="CW24" s="816">
        <f>SUM(CW25:CW27)</f>
        <v>348794</v>
      </c>
      <c r="CX24" s="816">
        <f>SUM(CX25:CX27)</f>
        <v>366793</v>
      </c>
      <c r="CY24" s="816">
        <f>'TLTT nam 2018- 2019'!P24-'TLTT nam 2018- 2019'!P12</f>
        <v>15279</v>
      </c>
      <c r="CZ24" s="816">
        <f>CZ7-CZ21-CZ28-CZ29</f>
        <v>380498</v>
      </c>
      <c r="DA24" s="815">
        <f t="shared" si="43"/>
        <v>10133</v>
      </c>
      <c r="DB24" s="816">
        <f t="shared" si="30"/>
        <v>102.84108114170358</v>
      </c>
    </row>
    <row r="25" spans="1:106" s="405" customFormat="1" ht="18.95" customHeight="1" x14ac:dyDescent="0.2">
      <c r="A25" s="403" t="s">
        <v>449</v>
      </c>
      <c r="B25" s="404" t="s">
        <v>228</v>
      </c>
      <c r="C25" s="817">
        <f t="shared" ref="C25:E27" si="45">+K25+S25+AA25+AI25+AQ25+AY25+BG25+BO25+BW25+CE25+CM25+CU25</f>
        <v>2458720</v>
      </c>
      <c r="D25" s="817">
        <f t="shared" si="45"/>
        <v>0</v>
      </c>
      <c r="E25" s="817">
        <f t="shared" si="45"/>
        <v>2458720</v>
      </c>
      <c r="F25" s="817">
        <f>SUM(N25,V25,AD25,AL25,AT25,BB25,BJ25,BR25,BZ25,CH25,CP25,CX25)</f>
        <v>2493839</v>
      </c>
      <c r="G25" s="817">
        <f t="shared" si="44"/>
        <v>140007</v>
      </c>
      <c r="H25" s="817">
        <f t="shared" si="44"/>
        <v>2630740</v>
      </c>
      <c r="I25" s="818">
        <f t="shared" si="31"/>
        <v>35119</v>
      </c>
      <c r="J25" s="817">
        <f t="shared" si="18"/>
        <v>101.42834482983015</v>
      </c>
      <c r="K25" s="817">
        <v>219127</v>
      </c>
      <c r="L25" s="817">
        <f>ROUND(L24*75%,-1)</f>
        <v>0</v>
      </c>
      <c r="M25" s="817">
        <f>L25+K25</f>
        <v>219127</v>
      </c>
      <c r="N25" s="817">
        <f>K25+IF(('Thu NSH'!V43-'Chi NSH'!K17)*10%&lt;0,0,('Thu NSH'!V43-'Chi NSH'!K17)*10%)</f>
        <v>219537</v>
      </c>
      <c r="O25" s="817">
        <f>INT(O24*'Nhu cầu TLCS năm 2019'!M7%)</f>
        <v>12053</v>
      </c>
      <c r="P25" s="817">
        <f>INT(N25+O25+'Chính sách chế độ 2017-2019'!AG10-'Chính sách chế độ 2017-2019'!AH10)</f>
        <v>231954</v>
      </c>
      <c r="Q25" s="818">
        <f t="shared" si="32"/>
        <v>410</v>
      </c>
      <c r="R25" s="817">
        <f t="shared" si="19"/>
        <v>100.18710610741716</v>
      </c>
      <c r="S25" s="817">
        <v>113999</v>
      </c>
      <c r="T25" s="817"/>
      <c r="U25" s="817">
        <f>T25+S25</f>
        <v>113999</v>
      </c>
      <c r="V25" s="817">
        <f>S25+IF(('Thu NSH'!AH43-'Chi NSH'!S17)*10%&lt;0,0,('Thu NSH'!AH43-'Chi NSH'!S17)*10%)</f>
        <v>114345.5</v>
      </c>
      <c r="W25" s="817">
        <f>INT(W24*'Nhu cầu TLCS năm 2019'!M8%)</f>
        <v>7431</v>
      </c>
      <c r="X25" s="817">
        <f>INT(V25+W25+'Chính sách chế độ 2017-2019'!AW10-'Chính sách chế độ 2017-2019'!AX10)</f>
        <v>121679</v>
      </c>
      <c r="Y25" s="818">
        <f t="shared" si="33"/>
        <v>346.5</v>
      </c>
      <c r="Z25" s="817">
        <f t="shared" si="20"/>
        <v>100.30395003464943</v>
      </c>
      <c r="AA25" s="817">
        <v>186510</v>
      </c>
      <c r="AB25" s="817">
        <f>ROUND(AB24*75%,-1)</f>
        <v>0</v>
      </c>
      <c r="AC25" s="817">
        <f>AB25+AA25</f>
        <v>186510</v>
      </c>
      <c r="AD25" s="817">
        <f>AA25+IF(('Thu NSH'!AT43-'Chi NSH'!AA17)*50%&lt;0,0,('Thu NSH'!AT43-'Chi NSH'!AA17)*50%)</f>
        <v>187695</v>
      </c>
      <c r="AE25" s="817">
        <f>INT(AE24*'Nhu cầu TLCS năm 2019'!M9%)</f>
        <v>10455</v>
      </c>
      <c r="AF25" s="817">
        <f>INT(AD25+AE25+'Chính sách chế độ 2017-2019'!BM10-'Chính sách chế độ 2017-2019'!BN10)</f>
        <v>195765</v>
      </c>
      <c r="AG25" s="818">
        <f t="shared" si="34"/>
        <v>1185</v>
      </c>
      <c r="AH25" s="817">
        <f t="shared" si="21"/>
        <v>100.63535467267171</v>
      </c>
      <c r="AI25" s="817">
        <v>165967</v>
      </c>
      <c r="AJ25" s="817">
        <f>ROUND(AJ24*75%,-1)</f>
        <v>0</v>
      </c>
      <c r="AK25" s="817">
        <f>AJ25+AI25</f>
        <v>165967</v>
      </c>
      <c r="AL25" s="817">
        <f>AI25+IF(('Thu NSH'!BF43-'Chi NSH'!AI17)*50%&lt;0,0,('Thu NSH'!BF43-'Chi NSH'!AI17)*50%)</f>
        <v>165967</v>
      </c>
      <c r="AM25" s="817">
        <f>INT(AM24*'Nhu cầu TLCS năm 2019'!M10%)</f>
        <v>9767</v>
      </c>
      <c r="AN25" s="817">
        <f>INT(AL25+AM25+'Chính sách chế độ 2017-2019'!CC10-'Chính sách chế độ 2017-2019'!CD10)</f>
        <v>177465</v>
      </c>
      <c r="AO25" s="818">
        <f t="shared" si="35"/>
        <v>0</v>
      </c>
      <c r="AP25" s="817">
        <f t="shared" si="22"/>
        <v>100</v>
      </c>
      <c r="AQ25" s="817">
        <v>234685</v>
      </c>
      <c r="AR25" s="817">
        <f>ROUND(AR24*75%,-1)</f>
        <v>0</v>
      </c>
      <c r="AS25" s="817">
        <f>AR25+AQ25</f>
        <v>234685</v>
      </c>
      <c r="AT25" s="817">
        <f>AQ25+IF(('Thu NSH'!BR43-'Chi NSH'!AQ17)*50%&lt;0,0,('Thu NSH'!BR43-'Chi NSH'!AQ17)*50%)</f>
        <v>236972.5</v>
      </c>
      <c r="AU25" s="817">
        <f>INT(AU24*'Nhu cầu TLCS năm 2019'!M11%)</f>
        <v>13377</v>
      </c>
      <c r="AV25" s="817">
        <f>INT(AT25+AU25+'Chính sách chế độ 2017-2019'!CS10-'Chính sách chế độ 2017-2019'!CT10)</f>
        <v>252412</v>
      </c>
      <c r="AW25" s="818">
        <f t="shared" si="36"/>
        <v>2287.5</v>
      </c>
      <c r="AX25" s="817">
        <f t="shared" si="23"/>
        <v>100.9747107825383</v>
      </c>
      <c r="AY25" s="817">
        <v>232135</v>
      </c>
      <c r="AZ25" s="817">
        <f>ROUND(AZ24*75%,-1)</f>
        <v>0</v>
      </c>
      <c r="BA25" s="817">
        <f>AZ25+AY25</f>
        <v>232135</v>
      </c>
      <c r="BB25" s="817">
        <f>AY25+IF(('Thu NSH'!CD43-'Chi NSH'!AY17)*60%&lt;0,0,('Thu NSH'!CD43-'Chi NSH'!AY17)*60%)</f>
        <v>248440</v>
      </c>
      <c r="BC25" s="817">
        <f>INT(BC24*'Nhu cầu TLCS năm 2019'!M12%)</f>
        <v>10392</v>
      </c>
      <c r="BD25" s="817">
        <f>INT(BB25+BC25+'Chính sách chế độ 2017-2019'!DI10-'Chính sách chế độ 2017-2019'!DJ10)</f>
        <v>253979</v>
      </c>
      <c r="BE25" s="818">
        <f t="shared" si="37"/>
        <v>16305</v>
      </c>
      <c r="BF25" s="817">
        <f t="shared" si="24"/>
        <v>107.02393004070908</v>
      </c>
      <c r="BG25" s="817">
        <v>280645</v>
      </c>
      <c r="BH25" s="817">
        <f>ROUND(BH24*75%,-1)</f>
        <v>0</v>
      </c>
      <c r="BI25" s="817">
        <f>BH25+BG25</f>
        <v>280645</v>
      </c>
      <c r="BJ25" s="817">
        <f>BG25+IF(('Thu NSH'!CP43-'Chi NSH'!BG17)*50%&lt;0,0,('Thu NSH'!CP43-'Chi NSH'!BG17)*50%)</f>
        <v>282707.5</v>
      </c>
      <c r="BK25" s="817">
        <f>INT(BK24*'Nhu cầu TLCS năm 2019'!M13%)</f>
        <v>16380</v>
      </c>
      <c r="BL25" s="817">
        <f>INT(BJ25+BK25+'Chính sách chế độ 2017-2019'!DY10-'Chính sách chế độ 2017-2019'!DZ10)</f>
        <v>300161</v>
      </c>
      <c r="BM25" s="818">
        <f t="shared" si="38"/>
        <v>2062.5</v>
      </c>
      <c r="BN25" s="817">
        <f t="shared" si="25"/>
        <v>100.73491421546795</v>
      </c>
      <c r="BO25" s="817">
        <v>241132</v>
      </c>
      <c r="BP25" s="817">
        <f>ROUND(BP24*75%,-1)</f>
        <v>0</v>
      </c>
      <c r="BQ25" s="817">
        <f>BP25+BO25</f>
        <v>241132</v>
      </c>
      <c r="BR25" s="817">
        <f>BO25+IF(('Thu NSH'!DB43-'Chi NSH'!BO17)*50%&lt;0,0,('Thu NSH'!DB43-'Chi NSH'!BO17)*50%)</f>
        <v>246889.5</v>
      </c>
      <c r="BS25" s="817">
        <f>INT(BS24*'Nhu cầu TLCS năm 2019'!M14%)</f>
        <v>15728</v>
      </c>
      <c r="BT25" s="817">
        <f>INT(BR25+BS25+'Chính sách chế độ 2017-2019'!EO10-'Chính sách chế độ 2017-2019'!EP10)</f>
        <v>263884</v>
      </c>
      <c r="BU25" s="818">
        <f t="shared" si="39"/>
        <v>5757.5</v>
      </c>
      <c r="BV25" s="817">
        <f t="shared" si="26"/>
        <v>102.38769636547616</v>
      </c>
      <c r="BW25" s="817">
        <v>242431</v>
      </c>
      <c r="BX25" s="817">
        <f>ROUND(BX24*20%,-1)</f>
        <v>0</v>
      </c>
      <c r="BY25" s="817">
        <f>BX25+BW25</f>
        <v>242431</v>
      </c>
      <c r="BZ25" s="817">
        <f>BW25+IF(('Thu NSH'!DN43-'Chi NSH'!BW17)*50%&lt;0,0,('Thu NSH'!DN43-'Chi NSH'!BW17)*50%)</f>
        <v>247518.5</v>
      </c>
      <c r="CA25" s="817">
        <f>INT(CA24*'Nhu cầu TLCS năm 2019'!M15%)</f>
        <v>13400</v>
      </c>
      <c r="CB25" s="817">
        <f>INT(BZ25+CA25+'Chính sách chế độ 2017-2019'!FE10-'Chính sách chế độ 2017-2019'!FF10)</f>
        <v>261083</v>
      </c>
      <c r="CC25" s="818">
        <f t="shared" si="40"/>
        <v>5087.5</v>
      </c>
      <c r="CD25" s="817">
        <f t="shared" si="27"/>
        <v>102.09853525332981</v>
      </c>
      <c r="CE25" s="817">
        <v>220086</v>
      </c>
      <c r="CF25" s="817">
        <f>ROUND(CF24*75%,-1)</f>
        <v>0</v>
      </c>
      <c r="CG25" s="817">
        <f>CF25+CE25</f>
        <v>220086</v>
      </c>
      <c r="CH25" s="817">
        <f>CE25+IF(('Thu NSH'!DZ43-'Chi NSH'!CE17)*50%&lt;0,0,('Thu NSH'!DZ43-'Chi NSH'!CE17)*50%)</f>
        <v>220428.5</v>
      </c>
      <c r="CI25" s="817">
        <f>INT(CI24*'Nhu cầu TLCS năm 2019'!M16%)</f>
        <v>11938</v>
      </c>
      <c r="CJ25" s="817">
        <f>INT(CH25+CI25+'Chính sách chế độ 2017-2019'!FU10-'Chính sách chế độ 2017-2019'!FV10)</f>
        <v>232331</v>
      </c>
      <c r="CK25" s="818">
        <f t="shared" si="41"/>
        <v>342.5</v>
      </c>
      <c r="CL25" s="817">
        <f t="shared" si="28"/>
        <v>100.15562098452422</v>
      </c>
      <c r="CM25" s="817">
        <v>135636</v>
      </c>
      <c r="CN25" s="817"/>
      <c r="CO25" s="817">
        <f>CN25+CM25</f>
        <v>135636</v>
      </c>
      <c r="CP25" s="817">
        <f>CM25+IF(('Thu NSH'!EL43-'Chi NSH'!CM17)*50%&lt;0,0,('Thu NSH'!EL43-'Chi NSH'!CM17)*50%)</f>
        <v>135636</v>
      </c>
      <c r="CQ25" s="817">
        <f>INT(CQ24*'Nhu cầu TLCS năm 2019'!M17%)</f>
        <v>8080</v>
      </c>
      <c r="CR25" s="817">
        <f>INT(CP25+CQ25+'Chính sách chế độ 2017-2019'!GK10-'Chính sách chế độ 2017-2019'!GL10)</f>
        <v>142984</v>
      </c>
      <c r="CS25" s="818">
        <f t="shared" si="42"/>
        <v>0</v>
      </c>
      <c r="CT25" s="817">
        <f t="shared" si="29"/>
        <v>100.00000000000001</v>
      </c>
      <c r="CU25" s="817">
        <v>186367</v>
      </c>
      <c r="CV25" s="817">
        <f>ROUND(CV24*75%,-1)</f>
        <v>0</v>
      </c>
      <c r="CW25" s="817">
        <f>CV25+CU25</f>
        <v>186367</v>
      </c>
      <c r="CX25" s="817">
        <f>CU25+IF(('Thu NSH'!EX43-'Chi NSH'!CU17)*50%&lt;0,0,('Thu NSH'!EX43-'Chi NSH'!CU17)*50%)</f>
        <v>187702</v>
      </c>
      <c r="CY25" s="817">
        <f>INT(CY24*'Nhu cầu TLCS năm 2019'!M18%)</f>
        <v>11006</v>
      </c>
      <c r="CZ25" s="817">
        <f>INT(CX25+CY25+'Chính sách chế độ 2017-2019'!HA10-'Chính sách chế độ 2017-2019'!HB10)</f>
        <v>197043</v>
      </c>
      <c r="DA25" s="818">
        <f t="shared" si="43"/>
        <v>1335</v>
      </c>
      <c r="DB25" s="817">
        <f t="shared" si="30"/>
        <v>100.71632853455816</v>
      </c>
    </row>
    <row r="26" spans="1:106" s="405" customFormat="1" ht="18.95" customHeight="1" x14ac:dyDescent="0.2">
      <c r="A26" s="403" t="s">
        <v>449</v>
      </c>
      <c r="B26" s="406" t="s">
        <v>379</v>
      </c>
      <c r="C26" s="817">
        <f t="shared" si="45"/>
        <v>49921</v>
      </c>
      <c r="D26" s="817">
        <f t="shared" si="45"/>
        <v>0</v>
      </c>
      <c r="E26" s="817">
        <f t="shared" si="45"/>
        <v>49921</v>
      </c>
      <c r="F26" s="817">
        <f t="shared" si="44"/>
        <v>49921</v>
      </c>
      <c r="G26" s="817">
        <f t="shared" si="44"/>
        <v>0</v>
      </c>
      <c r="H26" s="817">
        <f t="shared" si="44"/>
        <v>49921</v>
      </c>
      <c r="I26" s="818">
        <f t="shared" si="31"/>
        <v>0</v>
      </c>
      <c r="J26" s="817">
        <f t="shared" si="18"/>
        <v>100</v>
      </c>
      <c r="K26" s="817">
        <v>3919</v>
      </c>
      <c r="L26" s="817">
        <v>0</v>
      </c>
      <c r="M26" s="817">
        <f>L26+K26</f>
        <v>3919</v>
      </c>
      <c r="N26" s="817">
        <f>K26</f>
        <v>3919</v>
      </c>
      <c r="O26" s="817">
        <v>0</v>
      </c>
      <c r="P26" s="817">
        <f>N26+O26</f>
        <v>3919</v>
      </c>
      <c r="Q26" s="818">
        <f t="shared" si="32"/>
        <v>0</v>
      </c>
      <c r="R26" s="817">
        <f t="shared" si="19"/>
        <v>100</v>
      </c>
      <c r="S26" s="817">
        <v>3038</v>
      </c>
      <c r="T26" s="817">
        <v>0</v>
      </c>
      <c r="U26" s="817">
        <f>T26+S26</f>
        <v>3038</v>
      </c>
      <c r="V26" s="817">
        <f>S26</f>
        <v>3038</v>
      </c>
      <c r="W26" s="817">
        <v>0</v>
      </c>
      <c r="X26" s="817">
        <f>V26+W26</f>
        <v>3038</v>
      </c>
      <c r="Y26" s="818">
        <f t="shared" si="33"/>
        <v>0</v>
      </c>
      <c r="Z26" s="817">
        <f t="shared" si="20"/>
        <v>100</v>
      </c>
      <c r="AA26" s="817">
        <v>3550</v>
      </c>
      <c r="AB26" s="817">
        <v>0</v>
      </c>
      <c r="AC26" s="817">
        <f>AB26+AA26</f>
        <v>3550</v>
      </c>
      <c r="AD26" s="817">
        <f>AA26</f>
        <v>3550</v>
      </c>
      <c r="AE26" s="817">
        <v>0</v>
      </c>
      <c r="AF26" s="817">
        <f>AD26+AE26</f>
        <v>3550</v>
      </c>
      <c r="AG26" s="818">
        <f t="shared" si="34"/>
        <v>0</v>
      </c>
      <c r="AH26" s="817">
        <f t="shared" si="21"/>
        <v>100</v>
      </c>
      <c r="AI26" s="817">
        <v>3670</v>
      </c>
      <c r="AJ26" s="817">
        <v>0</v>
      </c>
      <c r="AK26" s="817">
        <f>AJ26+AI26</f>
        <v>3670</v>
      </c>
      <c r="AL26" s="817">
        <f>AI26</f>
        <v>3670</v>
      </c>
      <c r="AM26" s="817">
        <v>0</v>
      </c>
      <c r="AN26" s="817">
        <f>AL26+AM26</f>
        <v>3670</v>
      </c>
      <c r="AO26" s="818">
        <f t="shared" si="35"/>
        <v>0</v>
      </c>
      <c r="AP26" s="817">
        <f t="shared" si="22"/>
        <v>99.999999999999986</v>
      </c>
      <c r="AQ26" s="817">
        <v>4371</v>
      </c>
      <c r="AR26" s="817">
        <v>0</v>
      </c>
      <c r="AS26" s="817">
        <f>AR26+AQ26</f>
        <v>4371</v>
      </c>
      <c r="AT26" s="817">
        <f>AQ26</f>
        <v>4371</v>
      </c>
      <c r="AU26" s="817">
        <v>0</v>
      </c>
      <c r="AV26" s="817">
        <f>AT26+AU26</f>
        <v>4371</v>
      </c>
      <c r="AW26" s="818">
        <f t="shared" si="36"/>
        <v>0</v>
      </c>
      <c r="AX26" s="817">
        <f t="shared" si="23"/>
        <v>100</v>
      </c>
      <c r="AY26" s="817">
        <v>5034</v>
      </c>
      <c r="AZ26" s="817">
        <v>0</v>
      </c>
      <c r="BA26" s="817">
        <f>AZ26+AY26</f>
        <v>5034</v>
      </c>
      <c r="BB26" s="817">
        <f>AY26</f>
        <v>5034</v>
      </c>
      <c r="BC26" s="817"/>
      <c r="BD26" s="817">
        <f>BB26+BC26</f>
        <v>5034</v>
      </c>
      <c r="BE26" s="818">
        <f t="shared" si="37"/>
        <v>0</v>
      </c>
      <c r="BF26" s="817">
        <f t="shared" si="24"/>
        <v>100</v>
      </c>
      <c r="BG26" s="817">
        <v>5541</v>
      </c>
      <c r="BH26" s="817">
        <v>0</v>
      </c>
      <c r="BI26" s="817">
        <f>BH26+BG26</f>
        <v>5541</v>
      </c>
      <c r="BJ26" s="817">
        <f>BG26</f>
        <v>5541</v>
      </c>
      <c r="BK26" s="817">
        <v>0</v>
      </c>
      <c r="BL26" s="817">
        <f>BJ26+BK26</f>
        <v>5541</v>
      </c>
      <c r="BM26" s="818">
        <f t="shared" si="38"/>
        <v>0</v>
      </c>
      <c r="BN26" s="817">
        <f t="shared" si="25"/>
        <v>100</v>
      </c>
      <c r="BO26" s="817">
        <v>5026</v>
      </c>
      <c r="BP26" s="817">
        <v>0</v>
      </c>
      <c r="BQ26" s="817">
        <f>BP26+BO26</f>
        <v>5026</v>
      </c>
      <c r="BR26" s="817">
        <f>BO26</f>
        <v>5026</v>
      </c>
      <c r="BS26" s="817">
        <v>0</v>
      </c>
      <c r="BT26" s="817">
        <f>BR26+BS26</f>
        <v>5026</v>
      </c>
      <c r="BU26" s="818">
        <f t="shared" si="39"/>
        <v>0</v>
      </c>
      <c r="BV26" s="817">
        <f t="shared" si="26"/>
        <v>100</v>
      </c>
      <c r="BW26" s="817">
        <v>4533</v>
      </c>
      <c r="BX26" s="817">
        <v>0</v>
      </c>
      <c r="BY26" s="817">
        <f>BX26+BW26</f>
        <v>4533</v>
      </c>
      <c r="BZ26" s="817">
        <f>BW26</f>
        <v>4533</v>
      </c>
      <c r="CA26" s="817">
        <v>0</v>
      </c>
      <c r="CB26" s="817">
        <f>BZ26+CA26</f>
        <v>4533</v>
      </c>
      <c r="CC26" s="818">
        <f t="shared" si="40"/>
        <v>0</v>
      </c>
      <c r="CD26" s="817">
        <f t="shared" si="27"/>
        <v>100</v>
      </c>
      <c r="CE26" s="817">
        <v>3971</v>
      </c>
      <c r="CF26" s="817"/>
      <c r="CG26" s="817">
        <f>CF26+CE26</f>
        <v>3971</v>
      </c>
      <c r="CH26" s="817">
        <f>CE26</f>
        <v>3971</v>
      </c>
      <c r="CI26" s="817">
        <v>0</v>
      </c>
      <c r="CJ26" s="817">
        <f>CH26+CI26</f>
        <v>3971</v>
      </c>
      <c r="CK26" s="818">
        <f t="shared" si="41"/>
        <v>0</v>
      </c>
      <c r="CL26" s="817">
        <f t="shared" si="28"/>
        <v>100</v>
      </c>
      <c r="CM26" s="817">
        <v>3531</v>
      </c>
      <c r="CN26" s="817">
        <v>0</v>
      </c>
      <c r="CO26" s="817">
        <f>CN26+CM26</f>
        <v>3531</v>
      </c>
      <c r="CP26" s="817">
        <f>CM26</f>
        <v>3531</v>
      </c>
      <c r="CQ26" s="817">
        <v>0</v>
      </c>
      <c r="CR26" s="817">
        <f>CP26+CQ26</f>
        <v>3531</v>
      </c>
      <c r="CS26" s="818">
        <f t="shared" si="42"/>
        <v>0</v>
      </c>
      <c r="CT26" s="817">
        <f t="shared" si="29"/>
        <v>100</v>
      </c>
      <c r="CU26" s="817">
        <v>3737</v>
      </c>
      <c r="CV26" s="817">
        <v>0</v>
      </c>
      <c r="CW26" s="817">
        <f>CV26+CU26</f>
        <v>3737</v>
      </c>
      <c r="CX26" s="817">
        <f>CU26</f>
        <v>3737</v>
      </c>
      <c r="CY26" s="817">
        <v>0</v>
      </c>
      <c r="CZ26" s="817">
        <f>CX26+CY26</f>
        <v>3737</v>
      </c>
      <c r="DA26" s="818">
        <f t="shared" si="43"/>
        <v>0</v>
      </c>
      <c r="DB26" s="817">
        <f t="shared" si="30"/>
        <v>100</v>
      </c>
    </row>
    <row r="27" spans="1:106" s="405" customFormat="1" ht="18.95" customHeight="1" x14ac:dyDescent="0.2">
      <c r="A27" s="403" t="s">
        <v>449</v>
      </c>
      <c r="B27" s="404" t="s">
        <v>229</v>
      </c>
      <c r="C27" s="817">
        <f t="shared" si="45"/>
        <v>2111343</v>
      </c>
      <c r="D27" s="817">
        <f t="shared" si="45"/>
        <v>0</v>
      </c>
      <c r="E27" s="817">
        <f t="shared" si="45"/>
        <v>2255918.5</v>
      </c>
      <c r="F27" s="817">
        <f t="shared" si="44"/>
        <v>2183829</v>
      </c>
      <c r="G27" s="817">
        <f t="shared" si="44"/>
        <v>52744</v>
      </c>
      <c r="H27" s="817">
        <f t="shared" si="44"/>
        <v>2256372</v>
      </c>
      <c r="I27" s="818">
        <f>F27-C27</f>
        <v>72486</v>
      </c>
      <c r="J27" s="817">
        <f t="shared" si="18"/>
        <v>103.43317026177178</v>
      </c>
      <c r="K27" s="817">
        <f>K7-K21-K25-K26-K28-K29</f>
        <v>164643</v>
      </c>
      <c r="L27" s="817">
        <f>L24-L25-L26</f>
        <v>0</v>
      </c>
      <c r="M27" s="817">
        <f>M7-M21-M25-M26-M28-M29</f>
        <v>167946</v>
      </c>
      <c r="N27" s="817">
        <f>N24-N25-N26</f>
        <v>165428</v>
      </c>
      <c r="O27" s="817">
        <f>O24-O25-O26</f>
        <v>3949</v>
      </c>
      <c r="P27" s="817">
        <f>P24-P25-P26</f>
        <v>170302</v>
      </c>
      <c r="Q27" s="818">
        <f>N27-K27</f>
        <v>785</v>
      </c>
      <c r="R27" s="817">
        <f t="shared" si="19"/>
        <v>100.47678917415256</v>
      </c>
      <c r="S27" s="817">
        <f>S7-S21-S25-S26-S28-S29</f>
        <v>112736</v>
      </c>
      <c r="T27" s="817">
        <f>T24-T25-T26</f>
        <v>0</v>
      </c>
      <c r="U27" s="817">
        <f>U7-U21-U25-U26-U28-U29</f>
        <v>128807</v>
      </c>
      <c r="V27" s="817">
        <f>V24-V25-V26</f>
        <v>116231.5</v>
      </c>
      <c r="W27" s="817">
        <f>W24-W25-W26</f>
        <v>3174</v>
      </c>
      <c r="X27" s="817">
        <f>X24-X25-X26</f>
        <v>121107</v>
      </c>
      <c r="Y27" s="818">
        <f>V27-S27</f>
        <v>3495.5</v>
      </c>
      <c r="Z27" s="817">
        <f t="shared" si="20"/>
        <v>103.10060672722113</v>
      </c>
      <c r="AA27" s="817">
        <f>AA7-AA21-AA25-AA26-AA28-AA29</f>
        <v>152339</v>
      </c>
      <c r="AB27" s="817">
        <f>AB24-AB25-AB26</f>
        <v>0</v>
      </c>
      <c r="AC27" s="817">
        <f>AC7-AC21-AC25-AC26-AC28-AC29</f>
        <v>153536.5</v>
      </c>
      <c r="AD27" s="817">
        <f>AD7-AD21-AD25-AD26-AD28-AD29</f>
        <v>152702</v>
      </c>
      <c r="AE27" s="817">
        <f>AE24-AE25-AE26</f>
        <v>3717</v>
      </c>
      <c r="AF27" s="817">
        <f>AF24-AF25-AF26</f>
        <v>161103</v>
      </c>
      <c r="AG27" s="818">
        <f>AD27-AA27</f>
        <v>363</v>
      </c>
      <c r="AH27" s="817">
        <f t="shared" si="21"/>
        <v>100.23828435266084</v>
      </c>
      <c r="AI27" s="817">
        <f>AI7-AI21-AI25-AI26-AI28-AI29</f>
        <v>170512</v>
      </c>
      <c r="AJ27" s="817">
        <f>AJ24-AJ25-AJ26</f>
        <v>0</v>
      </c>
      <c r="AK27" s="817">
        <f>AK7-AK21-AK25-AK26-AK28-AK29</f>
        <v>168451</v>
      </c>
      <c r="AL27" s="817">
        <f>AL7-AL21-AL25-AL26-AL28-AL29</f>
        <v>160540</v>
      </c>
      <c r="AM27" s="817">
        <f>AM24-AM25-AM26</f>
        <v>4834</v>
      </c>
      <c r="AN27" s="817">
        <f>AN24-AN25-AN26</f>
        <v>172467</v>
      </c>
      <c r="AO27" s="818">
        <f>AL27-AI27</f>
        <v>-9972</v>
      </c>
      <c r="AP27" s="817">
        <f t="shared" si="22"/>
        <v>94.151731256451171</v>
      </c>
      <c r="AQ27" s="817">
        <f>AQ7-AQ21-AQ25-AQ26-AQ28-AQ29</f>
        <v>178694</v>
      </c>
      <c r="AR27" s="817">
        <f>AR24-AR25-AR26</f>
        <v>0</v>
      </c>
      <c r="AS27" s="817">
        <f>AS7-AS21-AS25-AS26-AS28-AS29</f>
        <v>174572</v>
      </c>
      <c r="AT27" s="817">
        <f>AT7-AT21-AT25-AT26-AT28-AT29</f>
        <v>187365.5</v>
      </c>
      <c r="AU27" s="817">
        <f>AU24-AU25-AU26</f>
        <v>4488</v>
      </c>
      <c r="AV27" s="817">
        <f>AV24-AV25-AV26</f>
        <v>186390</v>
      </c>
      <c r="AW27" s="818">
        <f>AT27-AQ27</f>
        <v>8671.5</v>
      </c>
      <c r="AX27" s="817">
        <f t="shared" si="23"/>
        <v>104.85270910047343</v>
      </c>
      <c r="AY27" s="817">
        <f>AY7-AY21-AY25-AY26-AY28-AY29</f>
        <v>181743</v>
      </c>
      <c r="AZ27" s="817">
        <f>AZ24-AZ25-AZ26</f>
        <v>0</v>
      </c>
      <c r="BA27" s="817">
        <f>BA7-BA21-BA25-BA26-BA28-BA29</f>
        <v>276477</v>
      </c>
      <c r="BB27" s="817">
        <f>BB7-BB21-BB25-BB26-BB28-BB29</f>
        <v>207258</v>
      </c>
      <c r="BC27" s="817">
        <f>BC24-BC25-BC26</f>
        <v>3704</v>
      </c>
      <c r="BD27" s="817">
        <f>BD24-BD25-BD26</f>
        <v>203035</v>
      </c>
      <c r="BE27" s="818">
        <f>BB27-AY27</f>
        <v>25515</v>
      </c>
      <c r="BF27" s="817">
        <f t="shared" si="24"/>
        <v>114.03905514930423</v>
      </c>
      <c r="BG27" s="817">
        <f>BG7-BG21-BG25-BG26-BG28-BG29</f>
        <v>241846</v>
      </c>
      <c r="BH27" s="817">
        <f>BH24-BH25-BH26</f>
        <v>0</v>
      </c>
      <c r="BI27" s="817">
        <f>BI7-BI21-BI25-BI26-BI28-BI29</f>
        <v>250532</v>
      </c>
      <c r="BJ27" s="817">
        <f>BJ7-BJ21-BJ25-BJ26-BJ28-BJ29</f>
        <v>242352.5</v>
      </c>
      <c r="BK27" s="817">
        <f>BK24-BK25-BK26</f>
        <v>8980</v>
      </c>
      <c r="BL27" s="817">
        <f>BL24-BL25-BL26</f>
        <v>254733</v>
      </c>
      <c r="BM27" s="818">
        <f>BJ27-BG27</f>
        <v>506.5</v>
      </c>
      <c r="BN27" s="817">
        <f t="shared" si="25"/>
        <v>100.2094307948033</v>
      </c>
      <c r="BO27" s="817">
        <f>BO7-BO21-BO25-BO26-BO28-BO29</f>
        <v>207867</v>
      </c>
      <c r="BP27" s="817">
        <f>BP24-BP25-BP26</f>
        <v>0</v>
      </c>
      <c r="BQ27" s="817">
        <f>BQ7-BQ21-BQ25-BQ26-BQ28-BQ29</f>
        <v>206721</v>
      </c>
      <c r="BR27" s="817">
        <f>BR7-BR21-BR25-BR26-BR28-BR29</f>
        <v>224465.5</v>
      </c>
      <c r="BS27" s="817">
        <f>BS24-BS25-BS26</f>
        <v>4147</v>
      </c>
      <c r="BT27" s="817">
        <f>BT24-BT25-BT26</f>
        <v>219881</v>
      </c>
      <c r="BU27" s="818">
        <f>BR27-BO27</f>
        <v>16598.5</v>
      </c>
      <c r="BV27" s="817">
        <f t="shared" si="26"/>
        <v>107.9851539686434</v>
      </c>
      <c r="BW27" s="817">
        <f>BW7-BW21-BW25-BW26-BW28-BW29</f>
        <v>190044</v>
      </c>
      <c r="BX27" s="817">
        <f>BX24-BX25-BX26</f>
        <v>0</v>
      </c>
      <c r="BY27" s="817">
        <f>BY7-BY21-BY25-BY26-BY28-BY29</f>
        <v>199080</v>
      </c>
      <c r="BZ27" s="817">
        <f>BZ7-BZ21-BZ25-BZ26-BZ28-BZ29</f>
        <v>207393.5</v>
      </c>
      <c r="CA27" s="817">
        <f>CA24-CA25-CA26</f>
        <v>4371</v>
      </c>
      <c r="CB27" s="817">
        <f>CB24-CB25-CB26</f>
        <v>195011</v>
      </c>
      <c r="CC27" s="818">
        <f>BZ27-BW27</f>
        <v>17349.5</v>
      </c>
      <c r="CD27" s="817">
        <f t="shared" si="27"/>
        <v>109.12920165856328</v>
      </c>
      <c r="CE27" s="817">
        <f>CE7-CE21-CE25-CE26-CE28-CE29</f>
        <v>167095</v>
      </c>
      <c r="CF27" s="817"/>
      <c r="CG27" s="817">
        <f>CG7-CG21-CG25-CG26-CG28-CG29</f>
        <v>172173</v>
      </c>
      <c r="CH27" s="817">
        <f>CH7-CH21-CH25-CH26-CH28-CH29</f>
        <v>170947.5</v>
      </c>
      <c r="CI27" s="817">
        <f>CI24-CI25-CI26</f>
        <v>3826</v>
      </c>
      <c r="CJ27" s="817">
        <f>CJ24-CJ25-CJ26</f>
        <v>175297</v>
      </c>
      <c r="CK27" s="818">
        <f>CH27-CE27</f>
        <v>3852.5</v>
      </c>
      <c r="CL27" s="817">
        <f t="shared" si="28"/>
        <v>102.30557467309015</v>
      </c>
      <c r="CM27" s="817">
        <f>CM7-CM21-CM25-CM26-CM28-CM29</f>
        <v>177268</v>
      </c>
      <c r="CN27" s="817">
        <f>CN24-CN25-CN26</f>
        <v>0</v>
      </c>
      <c r="CO27" s="817">
        <f>CO7-CO21-CO25-CO26-CO28-CO29</f>
        <v>198933</v>
      </c>
      <c r="CP27" s="817">
        <f>CP7-CP21-CP25-CP26-CP28-CP29</f>
        <v>173791</v>
      </c>
      <c r="CQ27" s="817">
        <f>CQ24-CQ25-CQ26</f>
        <v>3281</v>
      </c>
      <c r="CR27" s="817">
        <f>CR24-CR25-CR26</f>
        <v>217328</v>
      </c>
      <c r="CS27" s="818">
        <f>CP27-CM27</f>
        <v>-3477</v>
      </c>
      <c r="CT27" s="817">
        <f t="shared" si="29"/>
        <v>98.038563079630833</v>
      </c>
      <c r="CU27" s="817">
        <f>CU7-CU21-CU25-CU26-CU28-CU29</f>
        <v>166556</v>
      </c>
      <c r="CV27" s="817"/>
      <c r="CW27" s="817">
        <f>CW7-CW21-CW25-CW26-CW28-CW29</f>
        <v>158690</v>
      </c>
      <c r="CX27" s="817">
        <f>CX7-CX21-CX25-CX26-CX28-CX29</f>
        <v>175354</v>
      </c>
      <c r="CY27" s="817">
        <f>CY24-CY25-CY26</f>
        <v>4273</v>
      </c>
      <c r="CZ27" s="817">
        <f>CZ24-CZ25-CZ26</f>
        <v>179718</v>
      </c>
      <c r="DA27" s="818">
        <f>CX27-CU27</f>
        <v>8798</v>
      </c>
      <c r="DB27" s="817">
        <f t="shared" si="30"/>
        <v>105.28230745214823</v>
      </c>
    </row>
    <row r="28" spans="1:106" s="400" customFormat="1" ht="18.95" customHeight="1" x14ac:dyDescent="0.2">
      <c r="A28" s="398">
        <v>3</v>
      </c>
      <c r="B28" s="399" t="s">
        <v>361</v>
      </c>
      <c r="C28" s="816">
        <f>+K28+S28+AA28+AI28+AQ28+AY28+BG28+BO28+BW28+CE28+CM28+CU28</f>
        <v>95326</v>
      </c>
      <c r="D28" s="816"/>
      <c r="E28" s="816">
        <f>+M28+U28+AC28+AK28+AS28+BA28+BI28+BQ28+BY28+CG28+CO28+CW28</f>
        <v>95326</v>
      </c>
      <c r="F28" s="816">
        <f t="shared" si="44"/>
        <v>98651</v>
      </c>
      <c r="G28" s="816">
        <f t="shared" si="44"/>
        <v>0</v>
      </c>
      <c r="H28" s="816">
        <f t="shared" si="44"/>
        <v>98651</v>
      </c>
      <c r="I28" s="815">
        <f>F28-C28</f>
        <v>3325</v>
      </c>
      <c r="J28" s="816">
        <f t="shared" si="18"/>
        <v>103.48803054780437</v>
      </c>
      <c r="K28" s="816">
        <v>7640</v>
      </c>
      <c r="L28" s="816"/>
      <c r="M28" s="816">
        <f>K28</f>
        <v>7640</v>
      </c>
      <c r="N28" s="816">
        <f>K28+INT('Thu NSH'!V43*5%)</f>
        <v>7925</v>
      </c>
      <c r="O28" s="816"/>
      <c r="P28" s="816">
        <f>N28</f>
        <v>7925</v>
      </c>
      <c r="Q28" s="815">
        <f>N28-K28</f>
        <v>285</v>
      </c>
      <c r="R28" s="816">
        <f t="shared" si="19"/>
        <v>103.73036649214659</v>
      </c>
      <c r="S28" s="816">
        <v>4820</v>
      </c>
      <c r="T28" s="816"/>
      <c r="U28" s="816">
        <f>S28</f>
        <v>4820</v>
      </c>
      <c r="V28" s="816">
        <f>S28+INT('Thu NSH'!AH43*5%)</f>
        <v>4993</v>
      </c>
      <c r="W28" s="816"/>
      <c r="X28" s="816">
        <f>V28</f>
        <v>4993</v>
      </c>
      <c r="Y28" s="815">
        <f>V28-S28</f>
        <v>173</v>
      </c>
      <c r="Z28" s="816">
        <f t="shared" si="20"/>
        <v>103.58921161825725</v>
      </c>
      <c r="AA28" s="816">
        <v>6600</v>
      </c>
      <c r="AB28" s="816"/>
      <c r="AC28" s="816">
        <f>AA28</f>
        <v>6600</v>
      </c>
      <c r="AD28" s="816">
        <f>AA28+IF(INT('Thu NSH'!AT43*5%)&lt;0,0,(INT('Thu NSH'!AT43*5%)))</f>
        <v>6718</v>
      </c>
      <c r="AE28" s="816"/>
      <c r="AF28" s="816">
        <f>AD28</f>
        <v>6718</v>
      </c>
      <c r="AG28" s="815">
        <f>AD28-AA28</f>
        <v>118</v>
      </c>
      <c r="AH28" s="816">
        <f t="shared" si="21"/>
        <v>101.78787878787878</v>
      </c>
      <c r="AI28" s="816">
        <v>6250</v>
      </c>
      <c r="AJ28" s="816"/>
      <c r="AK28" s="816">
        <f>AI28</f>
        <v>6250</v>
      </c>
      <c r="AL28" s="816">
        <f>AI28+INT('Thu NSH'!BF43*5%)</f>
        <v>6215</v>
      </c>
      <c r="AM28" s="816"/>
      <c r="AN28" s="816">
        <f>AL28</f>
        <v>6215</v>
      </c>
      <c r="AO28" s="815">
        <f>AL28-AI28</f>
        <v>-35</v>
      </c>
      <c r="AP28" s="816">
        <f t="shared" si="22"/>
        <v>99.44</v>
      </c>
      <c r="AQ28" s="816">
        <v>8080</v>
      </c>
      <c r="AR28" s="816"/>
      <c r="AS28" s="816">
        <f>AQ28</f>
        <v>8080</v>
      </c>
      <c r="AT28" s="816">
        <f>AQ28+INT('Thu NSH'!BR43*5%)</f>
        <v>8308</v>
      </c>
      <c r="AU28" s="816"/>
      <c r="AV28" s="816">
        <f>AT28</f>
        <v>8308</v>
      </c>
      <c r="AW28" s="815">
        <f>AT28-AQ28</f>
        <v>228</v>
      </c>
      <c r="AX28" s="816">
        <f t="shared" si="23"/>
        <v>102.82178217821783</v>
      </c>
      <c r="AY28" s="816">
        <v>12536</v>
      </c>
      <c r="AZ28" s="816"/>
      <c r="BA28" s="816">
        <f>AY28</f>
        <v>12536</v>
      </c>
      <c r="BB28" s="816">
        <f>AY28+INT('Thu NSH'!CD43*5%)</f>
        <v>13894</v>
      </c>
      <c r="BC28" s="816"/>
      <c r="BD28" s="816">
        <f>BB28</f>
        <v>13894</v>
      </c>
      <c r="BE28" s="815">
        <f>BB28-AY28</f>
        <v>1358</v>
      </c>
      <c r="BF28" s="816">
        <f t="shared" si="24"/>
        <v>110.83280153158903</v>
      </c>
      <c r="BG28" s="816">
        <v>9990</v>
      </c>
      <c r="BH28" s="816"/>
      <c r="BI28" s="816">
        <f>BG28</f>
        <v>9990</v>
      </c>
      <c r="BJ28" s="816">
        <f>BG28+INT('Thu NSH'!CP43*5%)</f>
        <v>10196</v>
      </c>
      <c r="BK28" s="816"/>
      <c r="BL28" s="816">
        <f>BJ28</f>
        <v>10196</v>
      </c>
      <c r="BM28" s="815">
        <f>BJ28-BG28</f>
        <v>206</v>
      </c>
      <c r="BN28" s="816">
        <f t="shared" si="25"/>
        <v>102.06206206206205</v>
      </c>
      <c r="BO28" s="816">
        <v>8330</v>
      </c>
      <c r="BP28" s="816"/>
      <c r="BQ28" s="816">
        <f>BO28</f>
        <v>8330</v>
      </c>
      <c r="BR28" s="816">
        <f>BO28+INT('Thu NSH'!DB43*5%)</f>
        <v>8905</v>
      </c>
      <c r="BS28" s="816"/>
      <c r="BT28" s="816">
        <f>BR28</f>
        <v>8905</v>
      </c>
      <c r="BU28" s="815">
        <f>BR28-BO28</f>
        <v>575</v>
      </c>
      <c r="BV28" s="816">
        <f t="shared" si="26"/>
        <v>106.90276110444178</v>
      </c>
      <c r="BW28" s="816">
        <v>8760</v>
      </c>
      <c r="BX28" s="816"/>
      <c r="BY28" s="816">
        <f>BW28</f>
        <v>8760</v>
      </c>
      <c r="BZ28" s="816">
        <f>BW28+INT('Thu NSH'!DN43*5%)</f>
        <v>9268</v>
      </c>
      <c r="CA28" s="816"/>
      <c r="CB28" s="816">
        <f>BZ28</f>
        <v>9268</v>
      </c>
      <c r="CC28" s="815">
        <f>BZ28-BW28</f>
        <v>508</v>
      </c>
      <c r="CD28" s="816">
        <f t="shared" si="27"/>
        <v>105.79908675799088</v>
      </c>
      <c r="CE28" s="816">
        <v>7690</v>
      </c>
      <c r="CF28" s="816"/>
      <c r="CG28" s="816">
        <f>CE28</f>
        <v>7690</v>
      </c>
      <c r="CH28" s="816">
        <f>CE28+INT('Thu NSH'!DZ43*5%)</f>
        <v>7724</v>
      </c>
      <c r="CI28" s="816"/>
      <c r="CJ28" s="816">
        <f>CH28</f>
        <v>7724</v>
      </c>
      <c r="CK28" s="815">
        <f>CH28-CE28</f>
        <v>34</v>
      </c>
      <c r="CL28" s="816">
        <f t="shared" si="28"/>
        <v>100.44213263979194</v>
      </c>
      <c r="CM28" s="816">
        <v>7560</v>
      </c>
      <c r="CN28" s="816"/>
      <c r="CO28" s="816">
        <f>CM28</f>
        <v>7560</v>
      </c>
      <c r="CP28" s="816">
        <f>CM28+INT('Thu NSH'!EL43*5%)</f>
        <v>7302</v>
      </c>
      <c r="CQ28" s="816"/>
      <c r="CR28" s="816">
        <f>CP28</f>
        <v>7302</v>
      </c>
      <c r="CS28" s="815">
        <f>CP28-CM28</f>
        <v>-258</v>
      </c>
      <c r="CT28" s="816">
        <f t="shared" si="29"/>
        <v>96.587301587301596</v>
      </c>
      <c r="CU28" s="816">
        <v>7070</v>
      </c>
      <c r="CV28" s="816"/>
      <c r="CW28" s="816">
        <f>CU28</f>
        <v>7070</v>
      </c>
      <c r="CX28" s="816">
        <f>CU28+INT('Thu NSH'!EX43*5%)</f>
        <v>7203</v>
      </c>
      <c r="CY28" s="816"/>
      <c r="CZ28" s="816">
        <f>CX28</f>
        <v>7203</v>
      </c>
      <c r="DA28" s="815">
        <f>CX28-CU28</f>
        <v>133</v>
      </c>
      <c r="DB28" s="816">
        <f t="shared" si="30"/>
        <v>101.88118811881188</v>
      </c>
    </row>
    <row r="29" spans="1:106" s="400" customFormat="1" ht="18.95" customHeight="1" thickBot="1" x14ac:dyDescent="0.25">
      <c r="A29" s="407">
        <v>4</v>
      </c>
      <c r="B29" s="408" t="s">
        <v>404</v>
      </c>
      <c r="C29" s="820">
        <f>+K29+S29+AA29+AI29+AQ29+AY29+BG29+BO29+BW29+CE29+CM29+CU29</f>
        <v>83719</v>
      </c>
      <c r="D29" s="820"/>
      <c r="E29" s="820">
        <f>+M29+U29+AC29+AK29+AS29+BA29+BI29+BQ29+BY29+CG29+CO29+CW29</f>
        <v>92057.5</v>
      </c>
      <c r="F29" s="820">
        <f t="shared" si="44"/>
        <v>225699</v>
      </c>
      <c r="G29" s="820">
        <f t="shared" si="44"/>
        <v>0</v>
      </c>
      <c r="H29" s="820">
        <f t="shared" si="44"/>
        <v>204195</v>
      </c>
      <c r="I29" s="821">
        <f>F29-C29</f>
        <v>141980</v>
      </c>
      <c r="J29" s="820"/>
      <c r="K29" s="820">
        <v>0</v>
      </c>
      <c r="L29" s="820"/>
      <c r="M29" s="820">
        <f>'Thu NSH'!T41</f>
        <v>3303</v>
      </c>
      <c r="N29" s="820">
        <f>IF('TLTT nam 2018- 2019'!E25&lt;0,0,'TLTT nam 2018- 2019'!E25)</f>
        <v>0</v>
      </c>
      <c r="O29" s="820"/>
      <c r="P29" s="820">
        <f>N29</f>
        <v>0</v>
      </c>
      <c r="Q29" s="821">
        <f>N29-K29</f>
        <v>0</v>
      </c>
      <c r="R29" s="820"/>
      <c r="S29" s="820">
        <v>3371</v>
      </c>
      <c r="T29" s="820"/>
      <c r="U29" s="820">
        <f>'Thu NSH'!AF41</f>
        <v>12700</v>
      </c>
      <c r="V29" s="820">
        <f>IF('TLTT nam 2018- 2019'!F25&lt;0,0,'TLTT nam 2018- 2019'!F25)</f>
        <v>0</v>
      </c>
      <c r="W29" s="820"/>
      <c r="X29" s="820">
        <f>V29</f>
        <v>0</v>
      </c>
      <c r="Y29" s="821">
        <f>V29-S29</f>
        <v>-3371</v>
      </c>
      <c r="Z29" s="820"/>
      <c r="AA29" s="820">
        <v>0</v>
      </c>
      <c r="AB29" s="820"/>
      <c r="AC29" s="820">
        <f>'Thu NSH'!AR41</f>
        <v>1197.5</v>
      </c>
      <c r="AD29" s="820">
        <f>IF('TLTT nam 2018- 2019'!G25&lt;0,0,'TLTT nam 2018- 2019'!G25)</f>
        <v>0</v>
      </c>
      <c r="AE29" s="820"/>
      <c r="AF29" s="820">
        <f>AD29</f>
        <v>0</v>
      </c>
      <c r="AG29" s="821">
        <f>AD29-AA29</f>
        <v>0</v>
      </c>
      <c r="AH29" s="820"/>
      <c r="AI29" s="820">
        <v>0</v>
      </c>
      <c r="AJ29" s="820"/>
      <c r="AK29" s="820">
        <f>'Thu NSH'!BD41</f>
        <v>300</v>
      </c>
      <c r="AL29" s="820">
        <f>IF('TLTT nam 2018- 2019'!H25&lt;0,0,'TLTT nam 2018- 2019'!H25)</f>
        <v>0</v>
      </c>
      <c r="AM29" s="820"/>
      <c r="AN29" s="820">
        <f>AL29</f>
        <v>0</v>
      </c>
      <c r="AO29" s="821">
        <f>AL29-AI29</f>
        <v>0</v>
      </c>
      <c r="AP29" s="820"/>
      <c r="AQ29" s="820">
        <v>0</v>
      </c>
      <c r="AR29" s="820"/>
      <c r="AS29" s="820">
        <f>'Thu NSH'!BP41</f>
        <v>6736</v>
      </c>
      <c r="AT29" s="820">
        <f>IF('TLTT nam 2018- 2019'!I25&lt;0,0,'TLTT nam 2018- 2019'!I25)</f>
        <v>0</v>
      </c>
      <c r="AU29" s="820"/>
      <c r="AV29" s="820">
        <f>AT29</f>
        <v>0</v>
      </c>
      <c r="AW29" s="821">
        <f>AT29-AQ29</f>
        <v>0</v>
      </c>
      <c r="AX29" s="820"/>
      <c r="AY29" s="820">
        <v>73189</v>
      </c>
      <c r="AZ29" s="820"/>
      <c r="BA29" s="820">
        <f>'Thu NSH'!CB41</f>
        <v>21545</v>
      </c>
      <c r="BB29" s="820">
        <f>INT(IF('TLTT nam 2018- 2019'!J25&lt;0,0,'TLTT nam 2018- 2019'!J25))</f>
        <v>210176</v>
      </c>
      <c r="BC29" s="820"/>
      <c r="BD29" s="820">
        <f>IF((BB29-'[6]Thành phố Cao Lãnh'!$J$8)-BB15&lt;=0,(BB29-'[6]Thành phố Cao Lãnh'!$J$8),(BB29-'[6]Thành phố Cao Lãnh'!$J$8)-BB15)</f>
        <v>201303</v>
      </c>
      <c r="BE29" s="821">
        <f>BB29-AY29</f>
        <v>136987</v>
      </c>
      <c r="BF29" s="820"/>
      <c r="BG29" s="820">
        <v>2241</v>
      </c>
      <c r="BH29" s="820"/>
      <c r="BI29" s="820">
        <f>'Thu NSH'!CN41</f>
        <v>6445</v>
      </c>
      <c r="BJ29" s="820">
        <f>INT(IF('TLTT nam 2018- 2019'!K25&lt;0,0,'TLTT nam 2018- 2019'!K25))</f>
        <v>0</v>
      </c>
      <c r="BK29" s="820"/>
      <c r="BL29" s="820">
        <f>BJ29</f>
        <v>0</v>
      </c>
      <c r="BM29" s="821">
        <f>BJ29-BG29</f>
        <v>-2241</v>
      </c>
      <c r="BN29" s="820"/>
      <c r="BO29" s="820">
        <v>0</v>
      </c>
      <c r="BP29" s="820"/>
      <c r="BQ29" s="820">
        <f>'Thu NSH'!CZ41</f>
        <v>2305</v>
      </c>
      <c r="BR29" s="820">
        <f>IF('TLTT nam 2018- 2019'!L25&lt;0,0,'TLTT nam 2018- 2019'!L25)</f>
        <v>0</v>
      </c>
      <c r="BS29" s="820"/>
      <c r="BT29" s="820">
        <f>BR29</f>
        <v>0</v>
      </c>
      <c r="BU29" s="821">
        <f>BR29-BO29</f>
        <v>0</v>
      </c>
      <c r="BV29" s="820"/>
      <c r="BW29" s="820">
        <v>0</v>
      </c>
      <c r="BX29" s="820"/>
      <c r="BY29" s="820">
        <f>INT('Thu NSH'!DL41)</f>
        <v>13341</v>
      </c>
      <c r="BZ29" s="820">
        <f>IF('TLTT nam 2018- 2019'!M25&lt;0,0,'TLTT nam 2018- 2019'!M25)</f>
        <v>15523</v>
      </c>
      <c r="CA29" s="820"/>
      <c r="CB29" s="820">
        <f>IF((BZ29-'[6]Lấp Vò'!$J$8)-BZ15&lt;=0,(BZ29-'[6]Lấp Vò'!$J$8),(BZ29-'[6]Lấp Vò'!$J$8)-BZ15)</f>
        <v>2892</v>
      </c>
      <c r="CC29" s="821">
        <f>BZ29-BW29</f>
        <v>15523</v>
      </c>
      <c r="CD29" s="820"/>
      <c r="CE29" s="820">
        <v>4743</v>
      </c>
      <c r="CF29" s="820"/>
      <c r="CG29" s="820">
        <f>'Thu NSH'!DX41</f>
        <v>335</v>
      </c>
      <c r="CH29" s="820">
        <f>INT(IF('TLTT nam 2018- 2019'!N25&lt;0,0,'TLTT nam 2018- 2019'!N25))</f>
        <v>0</v>
      </c>
      <c r="CI29" s="820"/>
      <c r="CJ29" s="820">
        <f>CH29</f>
        <v>0</v>
      </c>
      <c r="CK29" s="821">
        <f>CH29-CE29</f>
        <v>-4743</v>
      </c>
      <c r="CL29" s="820"/>
      <c r="CM29" s="820">
        <v>175</v>
      </c>
      <c r="CN29" s="820"/>
      <c r="CO29" s="820">
        <f>'Thu NSH'!EJ41</f>
        <v>23470</v>
      </c>
      <c r="CP29" s="820">
        <f>INT(IF('TLTT nam 2018- 2019'!O25&lt;0,0,'TLTT nam 2018- 2019'!O25))</f>
        <v>0</v>
      </c>
      <c r="CQ29" s="820"/>
      <c r="CR29" s="820">
        <f>CP29</f>
        <v>0</v>
      </c>
      <c r="CS29" s="821">
        <f>CP29-CM29</f>
        <v>-175</v>
      </c>
      <c r="CT29" s="820">
        <f t="shared" si="29"/>
        <v>0</v>
      </c>
      <c r="CU29" s="820">
        <v>0</v>
      </c>
      <c r="CV29" s="820"/>
      <c r="CW29" s="820">
        <f>'Thu NSH'!EV41</f>
        <v>380</v>
      </c>
      <c r="CX29" s="820">
        <f>IF('TLTT nam 2018- 2019'!P25&lt;0,0,'TLTT nam 2018- 2019'!P25)</f>
        <v>0</v>
      </c>
      <c r="CY29" s="820"/>
      <c r="CZ29" s="820">
        <f>CX29</f>
        <v>0</v>
      </c>
      <c r="DA29" s="821">
        <f>CX29-CU29</f>
        <v>0</v>
      </c>
      <c r="DB29" s="820"/>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783" customWidth="1"/>
    <col min="2" max="2" width="20" style="783" customWidth="1"/>
    <col min="3" max="4" width="10.125" style="773" customWidth="1"/>
    <col min="5" max="5" width="10.625" style="773" customWidth="1"/>
    <col min="6" max="7" width="8.125" style="773" bestFit="1" customWidth="1"/>
    <col min="8" max="9" width="8" style="773"/>
    <col min="10" max="10" width="8.125" style="773" bestFit="1" customWidth="1"/>
    <col min="11" max="11" width="8.125" style="773" hidden="1" customWidth="1"/>
    <col min="12" max="12" width="8.25" style="773" customWidth="1"/>
    <col min="13" max="16384" width="8" style="773"/>
  </cols>
  <sheetData>
    <row r="2" spans="1:13" ht="15" x14ac:dyDescent="0.25">
      <c r="A2" s="1063" t="s">
        <v>1005</v>
      </c>
      <c r="B2" s="1063"/>
      <c r="C2" s="1063"/>
      <c r="D2" s="1063"/>
      <c r="E2" s="1063"/>
      <c r="F2" s="1063"/>
      <c r="G2" s="1063"/>
      <c r="H2" s="1063"/>
      <c r="I2" s="1063"/>
      <c r="J2" s="1063"/>
      <c r="K2" s="1063"/>
      <c r="L2" s="1063"/>
    </row>
    <row r="3" spans="1:13" x14ac:dyDescent="0.25">
      <c r="L3" s="784" t="s">
        <v>430</v>
      </c>
    </row>
    <row r="4" spans="1:13" ht="15" customHeight="1" x14ac:dyDescent="0.25">
      <c r="A4" s="1067" t="s">
        <v>396</v>
      </c>
      <c r="B4" s="1067" t="s">
        <v>19</v>
      </c>
      <c r="C4" s="1068" t="s">
        <v>269</v>
      </c>
      <c r="D4" s="1064" t="s">
        <v>998</v>
      </c>
      <c r="E4" s="1065"/>
      <c r="F4" s="1066"/>
      <c r="G4" s="1069" t="s">
        <v>999</v>
      </c>
      <c r="H4" s="1069" t="s">
        <v>1000</v>
      </c>
      <c r="I4" s="1069" t="s">
        <v>1001</v>
      </c>
      <c r="J4" s="1069" t="s">
        <v>399</v>
      </c>
      <c r="K4" s="1070" t="s">
        <v>1002</v>
      </c>
      <c r="L4" s="1069" t="s">
        <v>1002</v>
      </c>
      <c r="M4" s="1069" t="s">
        <v>1016</v>
      </c>
    </row>
    <row r="5" spans="1:13" ht="42.75" customHeight="1" x14ac:dyDescent="0.25">
      <c r="A5" s="1067"/>
      <c r="B5" s="1067"/>
      <c r="C5" s="1068"/>
      <c r="D5" s="774" t="s">
        <v>276</v>
      </c>
      <c r="E5" s="774" t="s">
        <v>1003</v>
      </c>
      <c r="F5" s="774" t="s">
        <v>1004</v>
      </c>
      <c r="G5" s="1069"/>
      <c r="H5" s="1069"/>
      <c r="I5" s="1069"/>
      <c r="J5" s="1069"/>
      <c r="K5" s="1071"/>
      <c r="L5" s="1069"/>
      <c r="M5" s="1069"/>
    </row>
    <row r="6" spans="1:13" x14ac:dyDescent="0.25">
      <c r="A6" s="775" t="s">
        <v>279</v>
      </c>
      <c r="B6" s="775" t="s">
        <v>295</v>
      </c>
      <c r="C6" s="774">
        <v>1</v>
      </c>
      <c r="D6" s="774" t="s">
        <v>1006</v>
      </c>
      <c r="E6" s="774">
        <v>3</v>
      </c>
      <c r="F6" s="774">
        <v>4</v>
      </c>
      <c r="G6" s="774">
        <v>5</v>
      </c>
      <c r="H6" s="774">
        <v>6</v>
      </c>
      <c r="I6" s="774">
        <v>7</v>
      </c>
      <c r="J6" s="774">
        <v>8</v>
      </c>
      <c r="K6" s="774">
        <v>9</v>
      </c>
      <c r="L6" s="774">
        <v>10</v>
      </c>
      <c r="M6" s="864" t="s">
        <v>1017</v>
      </c>
    </row>
    <row r="7" spans="1:13" x14ac:dyDescent="0.25">
      <c r="A7" s="776">
        <v>1</v>
      </c>
      <c r="B7" s="777" t="s">
        <v>178</v>
      </c>
      <c r="C7" s="866">
        <f>'TLTT nam 2018- 2019'!E24</f>
        <v>16002</v>
      </c>
      <c r="D7" s="866">
        <f>SUM(E7:F7)</f>
        <v>12053</v>
      </c>
      <c r="E7" s="866">
        <v>11872</v>
      </c>
      <c r="F7" s="866">
        <v>181</v>
      </c>
      <c r="G7" s="866">
        <v>96</v>
      </c>
      <c r="H7" s="866"/>
      <c r="I7" s="866"/>
      <c r="J7" s="866">
        <v>31</v>
      </c>
      <c r="K7" s="866">
        <v>3823.0388195501037</v>
      </c>
      <c r="L7" s="866">
        <f>C7-D7-G7-H7-I7-J7</f>
        <v>3822</v>
      </c>
      <c r="M7" s="866">
        <f>+D7/C7%</f>
        <v>75.321834770653666</v>
      </c>
    </row>
    <row r="8" spans="1:13" x14ac:dyDescent="0.25">
      <c r="A8" s="776">
        <v>2</v>
      </c>
      <c r="B8" s="779" t="s">
        <v>266</v>
      </c>
      <c r="C8" s="866">
        <f>'TLTT nam 2018- 2019'!F24</f>
        <v>10605</v>
      </c>
      <c r="D8" s="866">
        <f t="shared" ref="D8:D18" si="0">SUM(E8:F8)</f>
        <v>7431</v>
      </c>
      <c r="E8" s="866">
        <v>7400</v>
      </c>
      <c r="F8" s="866">
        <v>31</v>
      </c>
      <c r="G8" s="866">
        <v>101</v>
      </c>
      <c r="H8" s="866"/>
      <c r="I8" s="866"/>
      <c r="J8" s="866">
        <v>45</v>
      </c>
      <c r="K8" s="866">
        <v>3028.8087054799989</v>
      </c>
      <c r="L8" s="866">
        <f t="shared" ref="L8:L18" si="1">C8-D8-G8-H8-I8-J8</f>
        <v>3028</v>
      </c>
      <c r="M8" s="866">
        <f t="shared" ref="M8:M19" si="2">+D8/C8%</f>
        <v>70.070721357850076</v>
      </c>
    </row>
    <row r="9" spans="1:13" x14ac:dyDescent="0.25">
      <c r="A9" s="776">
        <v>3</v>
      </c>
      <c r="B9" s="780" t="s">
        <v>179</v>
      </c>
      <c r="C9" s="866">
        <f>'TLTT nam 2018- 2019'!G24</f>
        <v>14342</v>
      </c>
      <c r="D9" s="866">
        <f t="shared" si="0"/>
        <v>10581</v>
      </c>
      <c r="E9" s="866">
        <v>10388</v>
      </c>
      <c r="F9" s="866">
        <v>193</v>
      </c>
      <c r="G9" s="866">
        <v>45</v>
      </c>
      <c r="H9" s="866">
        <v>29</v>
      </c>
      <c r="I9" s="866">
        <v>44</v>
      </c>
      <c r="J9" s="866"/>
      <c r="K9" s="866">
        <v>3644.2706970359641</v>
      </c>
      <c r="L9" s="866">
        <f t="shared" si="1"/>
        <v>3643</v>
      </c>
      <c r="M9" s="866">
        <f t="shared" si="2"/>
        <v>73.776321294101251</v>
      </c>
    </row>
    <row r="10" spans="1:13" x14ac:dyDescent="0.25">
      <c r="A10" s="450">
        <v>4</v>
      </c>
      <c r="B10" s="451" t="s">
        <v>50</v>
      </c>
      <c r="C10" s="866">
        <f>'TLTT nam 2018- 2019'!H24</f>
        <v>14601</v>
      </c>
      <c r="D10" s="866">
        <f t="shared" si="0"/>
        <v>9767</v>
      </c>
      <c r="E10" s="866">
        <v>9658</v>
      </c>
      <c r="F10" s="866">
        <v>109</v>
      </c>
      <c r="G10" s="866">
        <v>78</v>
      </c>
      <c r="H10" s="866"/>
      <c r="I10" s="866"/>
      <c r="J10" s="866">
        <v>33</v>
      </c>
      <c r="K10" s="866">
        <v>4724.6170377769931</v>
      </c>
      <c r="L10" s="866">
        <f t="shared" si="1"/>
        <v>4723</v>
      </c>
      <c r="M10" s="866">
        <f t="shared" si="2"/>
        <v>66.892678583658665</v>
      </c>
    </row>
    <row r="11" spans="1:13" x14ac:dyDescent="0.25">
      <c r="A11" s="776">
        <v>5</v>
      </c>
      <c r="B11" s="777" t="s">
        <v>180</v>
      </c>
      <c r="C11" s="866">
        <f>'TLTT nam 2018- 2019'!I24</f>
        <v>17925</v>
      </c>
      <c r="D11" s="866">
        <f t="shared" si="0"/>
        <v>13422</v>
      </c>
      <c r="E11" s="866">
        <v>13387</v>
      </c>
      <c r="F11" s="866">
        <v>35</v>
      </c>
      <c r="G11" s="866">
        <v>12</v>
      </c>
      <c r="H11" s="866">
        <v>23</v>
      </c>
      <c r="I11" s="866">
        <v>252</v>
      </c>
      <c r="J11" s="866">
        <v>0</v>
      </c>
      <c r="K11" s="866">
        <v>4217.5754104615371</v>
      </c>
      <c r="L11" s="866">
        <f t="shared" si="1"/>
        <v>4216</v>
      </c>
      <c r="M11" s="866">
        <f t="shared" si="2"/>
        <v>74.878661087866107</v>
      </c>
    </row>
    <row r="12" spans="1:13" x14ac:dyDescent="0.25">
      <c r="A12" s="450">
        <v>6</v>
      </c>
      <c r="B12" s="451" t="s">
        <v>267</v>
      </c>
      <c r="C12" s="866">
        <f>'TLTT nam 2018- 2019'!J24</f>
        <v>17546</v>
      </c>
      <c r="D12" s="866">
        <f t="shared" si="0"/>
        <v>12936</v>
      </c>
      <c r="E12" s="866">
        <v>12912</v>
      </c>
      <c r="F12" s="866">
        <v>24</v>
      </c>
      <c r="G12" s="866"/>
      <c r="H12" s="866"/>
      <c r="I12" s="866">
        <v>80</v>
      </c>
      <c r="J12" s="866">
        <v>35</v>
      </c>
      <c r="K12" s="866">
        <v>4494.419975723069</v>
      </c>
      <c r="L12" s="866">
        <f t="shared" si="1"/>
        <v>4495</v>
      </c>
      <c r="M12" s="866">
        <f t="shared" si="2"/>
        <v>73.726205402940835</v>
      </c>
    </row>
    <row r="13" spans="1:13" x14ac:dyDescent="0.25">
      <c r="A13" s="450">
        <v>7</v>
      </c>
      <c r="B13" s="451" t="s">
        <v>268</v>
      </c>
      <c r="C13" s="866">
        <f>'TLTT nam 2018- 2019'!K24</f>
        <v>26080</v>
      </c>
      <c r="D13" s="866">
        <f t="shared" si="0"/>
        <v>16846</v>
      </c>
      <c r="E13" s="866">
        <v>16786</v>
      </c>
      <c r="F13" s="866">
        <v>60</v>
      </c>
      <c r="G13" s="866">
        <v>69</v>
      </c>
      <c r="H13" s="866">
        <v>26</v>
      </c>
      <c r="I13" s="866"/>
      <c r="J13" s="866">
        <v>169</v>
      </c>
      <c r="K13" s="866">
        <v>8969.9245361076828</v>
      </c>
      <c r="L13" s="866">
        <f t="shared" si="1"/>
        <v>8970</v>
      </c>
      <c r="M13" s="866">
        <f t="shared" si="2"/>
        <v>64.593558282208591</v>
      </c>
    </row>
    <row r="14" spans="1:13" x14ac:dyDescent="0.25">
      <c r="A14" s="450">
        <v>8</v>
      </c>
      <c r="B14" s="451" t="s">
        <v>27</v>
      </c>
      <c r="C14" s="866">
        <f>'TLTT nam 2018- 2019'!L24</f>
        <v>20545</v>
      </c>
      <c r="D14" s="866">
        <f t="shared" si="0"/>
        <v>16259</v>
      </c>
      <c r="E14" s="866">
        <v>16225</v>
      </c>
      <c r="F14" s="866">
        <v>34</v>
      </c>
      <c r="G14" s="866">
        <v>60</v>
      </c>
      <c r="H14" s="866">
        <v>27</v>
      </c>
      <c r="I14" s="866">
        <v>13</v>
      </c>
      <c r="J14" s="866">
        <v>43</v>
      </c>
      <c r="K14" s="866">
        <v>4143.2455067999945</v>
      </c>
      <c r="L14" s="866">
        <f t="shared" si="1"/>
        <v>4143</v>
      </c>
      <c r="M14" s="866">
        <f t="shared" si="2"/>
        <v>79.138476514967152</v>
      </c>
    </row>
    <row r="15" spans="1:13" x14ac:dyDescent="0.25">
      <c r="A15" s="776">
        <v>9</v>
      </c>
      <c r="B15" s="777" t="s">
        <v>28</v>
      </c>
      <c r="C15" s="866">
        <f>'TLTT nam 2018- 2019'!M24</f>
        <v>18071</v>
      </c>
      <c r="D15" s="866">
        <f t="shared" si="0"/>
        <v>13627</v>
      </c>
      <c r="E15" s="866">
        <v>13453</v>
      </c>
      <c r="F15" s="866">
        <v>174</v>
      </c>
      <c r="G15" s="866">
        <v>63</v>
      </c>
      <c r="H15" s="866">
        <v>39</v>
      </c>
      <c r="I15" s="866"/>
      <c r="J15" s="866">
        <v>26</v>
      </c>
      <c r="K15" s="866">
        <v>4316.9155579799972</v>
      </c>
      <c r="L15" s="866">
        <f t="shared" si="1"/>
        <v>4316</v>
      </c>
      <c r="M15" s="866">
        <f t="shared" si="2"/>
        <v>75.408112445354433</v>
      </c>
    </row>
    <row r="16" spans="1:13" x14ac:dyDescent="0.25">
      <c r="A16" s="776">
        <v>10</v>
      </c>
      <c r="B16" s="777" t="s">
        <v>183</v>
      </c>
      <c r="C16" s="866">
        <f>'TLTT nam 2018- 2019'!N24</f>
        <v>16514</v>
      </c>
      <c r="D16" s="866">
        <f t="shared" si="0"/>
        <v>12507</v>
      </c>
      <c r="E16" s="866">
        <v>12405</v>
      </c>
      <c r="F16" s="866">
        <v>102</v>
      </c>
      <c r="G16" s="866">
        <v>80</v>
      </c>
      <c r="H16" s="866">
        <v>34</v>
      </c>
      <c r="I16" s="866">
        <v>0</v>
      </c>
      <c r="J16" s="866"/>
      <c r="K16" s="866">
        <v>3893.3033169363162</v>
      </c>
      <c r="L16" s="866">
        <f t="shared" si="1"/>
        <v>3893</v>
      </c>
      <c r="M16" s="866">
        <f t="shared" si="2"/>
        <v>75.735739372653512</v>
      </c>
    </row>
    <row r="17" spans="1:13" x14ac:dyDescent="0.25">
      <c r="A17" s="450">
        <v>11</v>
      </c>
      <c r="B17" s="451" t="s">
        <v>55</v>
      </c>
      <c r="C17" s="866">
        <f>'TLTT nam 2018- 2019'!O24</f>
        <v>11361</v>
      </c>
      <c r="D17" s="866">
        <f t="shared" si="0"/>
        <v>8080</v>
      </c>
      <c r="E17" s="866">
        <v>8020</v>
      </c>
      <c r="F17" s="866">
        <v>60</v>
      </c>
      <c r="G17" s="866">
        <v>102</v>
      </c>
      <c r="H17" s="866">
        <v>60</v>
      </c>
      <c r="I17" s="866"/>
      <c r="J17" s="866">
        <v>38</v>
      </c>
      <c r="K17" s="866">
        <v>3081.3529767692312</v>
      </c>
      <c r="L17" s="866">
        <f t="shared" si="1"/>
        <v>3081</v>
      </c>
      <c r="M17" s="866">
        <f t="shared" si="2"/>
        <v>71.120499955989786</v>
      </c>
    </row>
    <row r="18" spans="1:13" x14ac:dyDescent="0.25">
      <c r="A18" s="776">
        <v>12</v>
      </c>
      <c r="B18" s="777" t="s">
        <v>184</v>
      </c>
      <c r="C18" s="866">
        <f>'TLTT nam 2018- 2019'!P24</f>
        <v>15379</v>
      </c>
      <c r="D18" s="866">
        <f t="shared" si="0"/>
        <v>11079</v>
      </c>
      <c r="E18" s="866">
        <v>10917</v>
      </c>
      <c r="F18" s="866">
        <v>162</v>
      </c>
      <c r="G18" s="866">
        <v>100</v>
      </c>
      <c r="H18" s="866">
        <v>0</v>
      </c>
      <c r="I18" s="866"/>
      <c r="J18" s="866">
        <v>15</v>
      </c>
      <c r="K18" s="866">
        <v>4185.3048677999941</v>
      </c>
      <c r="L18" s="866">
        <f t="shared" si="1"/>
        <v>4185</v>
      </c>
      <c r="M18" s="866">
        <f t="shared" si="2"/>
        <v>72.039794525001625</v>
      </c>
    </row>
    <row r="19" spans="1:13" s="782" customFormat="1" x14ac:dyDescent="0.25">
      <c r="A19" s="781"/>
      <c r="B19" s="781" t="s">
        <v>269</v>
      </c>
      <c r="C19" s="867">
        <f>SUM(C7:C18)</f>
        <v>198971</v>
      </c>
      <c r="D19" s="867">
        <f>SUM(D7:D18)</f>
        <v>144588</v>
      </c>
      <c r="E19" s="867">
        <f t="shared" ref="E19:L19" si="3">SUM(E7:E18)</f>
        <v>143423</v>
      </c>
      <c r="F19" s="867">
        <f t="shared" si="3"/>
        <v>1165</v>
      </c>
      <c r="G19" s="867">
        <f t="shared" si="3"/>
        <v>806</v>
      </c>
      <c r="H19" s="867">
        <f t="shared" si="3"/>
        <v>238</v>
      </c>
      <c r="I19" s="867">
        <f t="shared" si="3"/>
        <v>389</v>
      </c>
      <c r="J19" s="867">
        <f t="shared" si="3"/>
        <v>435</v>
      </c>
      <c r="K19" s="867">
        <f t="shared" si="3"/>
        <v>52522.777408420894</v>
      </c>
      <c r="L19" s="867">
        <f t="shared" si="3"/>
        <v>52515</v>
      </c>
      <c r="M19" s="867">
        <f t="shared" si="2"/>
        <v>72.667876223168193</v>
      </c>
    </row>
    <row r="20" spans="1:13" x14ac:dyDescent="0.25">
      <c r="D20" s="778"/>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64" customWidth="1"/>
    <col min="2" max="2" width="40.625" style="365" customWidth="1"/>
    <col min="3" max="3" width="8.75" style="365" customWidth="1"/>
    <col min="4" max="4" width="7.625" style="365" customWidth="1"/>
    <col min="5" max="7" width="8" style="364" customWidth="1"/>
    <col min="8" max="8" width="9" style="364" customWidth="1"/>
    <col min="9" max="9" width="7.375" style="364" customWidth="1"/>
    <col min="10" max="14" width="8" style="364" customWidth="1"/>
    <col min="15" max="15" width="8.75" style="364" customWidth="1"/>
    <col min="16" max="16384" width="8" style="364"/>
  </cols>
  <sheetData>
    <row r="2" spans="1:210" ht="21.75" customHeight="1" x14ac:dyDescent="0.25">
      <c r="A2" s="1075" t="s">
        <v>981</v>
      </c>
      <c r="B2" s="1075"/>
      <c r="C2" s="1075"/>
      <c r="D2" s="1075"/>
      <c r="E2" s="1075"/>
      <c r="F2" s="1075"/>
      <c r="G2" s="1075"/>
      <c r="H2" s="1075"/>
      <c r="I2" s="1075"/>
      <c r="J2" s="1075"/>
      <c r="K2" s="1075"/>
      <c r="L2" s="1075"/>
      <c r="M2" s="1075"/>
      <c r="N2" s="1075"/>
      <c r="O2" s="1075"/>
      <c r="P2" s="1075"/>
      <c r="Q2" s="1075"/>
      <c r="R2" s="755"/>
    </row>
    <row r="3" spans="1:210" ht="28.5" customHeight="1" x14ac:dyDescent="0.2">
      <c r="C3" s="749"/>
      <c r="D3" s="749"/>
      <c r="E3" s="750"/>
      <c r="F3" s="750"/>
      <c r="G3" s="750"/>
      <c r="H3" s="750"/>
      <c r="I3" s="750"/>
      <c r="J3" s="750"/>
      <c r="K3" s="750"/>
      <c r="L3" s="750"/>
      <c r="M3" s="750"/>
      <c r="N3" s="750"/>
      <c r="O3" s="750"/>
      <c r="P3" s="751" t="s">
        <v>393</v>
      </c>
      <c r="Q3" s="751"/>
      <c r="R3" s="751"/>
    </row>
    <row r="4" spans="1:210" s="755" customFormat="1" ht="17.25" customHeight="1" x14ac:dyDescent="0.25">
      <c r="A4" s="1072" t="s">
        <v>396</v>
      </c>
      <c r="B4" s="1076" t="s">
        <v>995</v>
      </c>
      <c r="C4" s="1073" t="s">
        <v>993</v>
      </c>
      <c r="D4" s="1073"/>
      <c r="E4" s="1073"/>
      <c r="F4" s="1073"/>
      <c r="G4" s="1073"/>
      <c r="H4" s="1073"/>
      <c r="I4" s="1073"/>
      <c r="J4" s="1073"/>
      <c r="K4" s="1073"/>
      <c r="L4" s="1073"/>
      <c r="M4" s="1073"/>
      <c r="N4" s="1073"/>
      <c r="O4" s="1073"/>
      <c r="P4" s="1073"/>
      <c r="Q4" s="1073"/>
      <c r="R4" s="1073"/>
      <c r="S4" s="1073" t="s">
        <v>178</v>
      </c>
      <c r="T4" s="1073"/>
      <c r="U4" s="1073"/>
      <c r="V4" s="1073"/>
      <c r="W4" s="1073"/>
      <c r="X4" s="1073"/>
      <c r="Y4" s="1073"/>
      <c r="Z4" s="1073"/>
      <c r="AA4" s="1073"/>
      <c r="AB4" s="1073"/>
      <c r="AC4" s="1073"/>
      <c r="AD4" s="1073"/>
      <c r="AE4" s="1073"/>
      <c r="AF4" s="1073"/>
      <c r="AG4" s="1073"/>
      <c r="AH4" s="1073"/>
      <c r="AI4" s="1073" t="s">
        <v>49</v>
      </c>
      <c r="AJ4" s="1073"/>
      <c r="AK4" s="1073"/>
      <c r="AL4" s="1073"/>
      <c r="AM4" s="1073"/>
      <c r="AN4" s="1073"/>
      <c r="AO4" s="1073"/>
      <c r="AP4" s="1073"/>
      <c r="AQ4" s="1073"/>
      <c r="AR4" s="1073"/>
      <c r="AS4" s="1073"/>
      <c r="AT4" s="1073"/>
      <c r="AU4" s="1073"/>
      <c r="AV4" s="1073"/>
      <c r="AW4" s="1073"/>
      <c r="AX4" s="1073"/>
      <c r="AY4" s="1073" t="s">
        <v>179</v>
      </c>
      <c r="AZ4" s="1073"/>
      <c r="BA4" s="1073"/>
      <c r="BB4" s="1073"/>
      <c r="BC4" s="1073"/>
      <c r="BD4" s="1073"/>
      <c r="BE4" s="1073"/>
      <c r="BF4" s="1073"/>
      <c r="BG4" s="1073"/>
      <c r="BH4" s="1073"/>
      <c r="BI4" s="1073"/>
      <c r="BJ4" s="1073"/>
      <c r="BK4" s="1073"/>
      <c r="BL4" s="1073"/>
      <c r="BM4" s="1073"/>
      <c r="BN4" s="1073"/>
      <c r="BO4" s="1073" t="s">
        <v>50</v>
      </c>
      <c r="BP4" s="1073"/>
      <c r="BQ4" s="1073"/>
      <c r="BR4" s="1073"/>
      <c r="BS4" s="1073"/>
      <c r="BT4" s="1073"/>
      <c r="BU4" s="1073"/>
      <c r="BV4" s="1073"/>
      <c r="BW4" s="1073"/>
      <c r="BX4" s="1073"/>
      <c r="BY4" s="1073"/>
      <c r="BZ4" s="1073"/>
      <c r="CA4" s="1073"/>
      <c r="CB4" s="1073"/>
      <c r="CC4" s="1073"/>
      <c r="CD4" s="1073"/>
      <c r="CE4" s="1073" t="s">
        <v>180</v>
      </c>
      <c r="CF4" s="1073"/>
      <c r="CG4" s="1073"/>
      <c r="CH4" s="1073"/>
      <c r="CI4" s="1073"/>
      <c r="CJ4" s="1073"/>
      <c r="CK4" s="1073"/>
      <c r="CL4" s="1073"/>
      <c r="CM4" s="1073"/>
      <c r="CN4" s="1073"/>
      <c r="CO4" s="1073"/>
      <c r="CP4" s="1073"/>
      <c r="CQ4" s="1073"/>
      <c r="CR4" s="1073"/>
      <c r="CS4" s="1073"/>
      <c r="CT4" s="1073"/>
      <c r="CU4" s="1073" t="s">
        <v>47</v>
      </c>
      <c r="CV4" s="1073"/>
      <c r="CW4" s="1073"/>
      <c r="CX4" s="1073"/>
      <c r="CY4" s="1073"/>
      <c r="CZ4" s="1073"/>
      <c r="DA4" s="1073"/>
      <c r="DB4" s="1073"/>
      <c r="DC4" s="1073"/>
      <c r="DD4" s="1073"/>
      <c r="DE4" s="1073"/>
      <c r="DF4" s="1073"/>
      <c r="DG4" s="1073"/>
      <c r="DH4" s="1073"/>
      <c r="DI4" s="1073"/>
      <c r="DJ4" s="1073"/>
      <c r="DK4" s="1073" t="s">
        <v>48</v>
      </c>
      <c r="DL4" s="1073"/>
      <c r="DM4" s="1073"/>
      <c r="DN4" s="1073"/>
      <c r="DO4" s="1073"/>
      <c r="DP4" s="1073"/>
      <c r="DQ4" s="1073"/>
      <c r="DR4" s="1073"/>
      <c r="DS4" s="1073"/>
      <c r="DT4" s="1073"/>
      <c r="DU4" s="1073"/>
      <c r="DV4" s="1073"/>
      <c r="DW4" s="1073"/>
      <c r="DX4" s="1073"/>
      <c r="DY4" s="1073"/>
      <c r="DZ4" s="1073"/>
      <c r="EA4" s="1073" t="s">
        <v>27</v>
      </c>
      <c r="EB4" s="1073"/>
      <c r="EC4" s="1073"/>
      <c r="ED4" s="1073"/>
      <c r="EE4" s="1073"/>
      <c r="EF4" s="1073"/>
      <c r="EG4" s="1073"/>
      <c r="EH4" s="1073"/>
      <c r="EI4" s="1073"/>
      <c r="EJ4" s="1073"/>
      <c r="EK4" s="1073"/>
      <c r="EL4" s="1073"/>
      <c r="EM4" s="1073"/>
      <c r="EN4" s="1073"/>
      <c r="EO4" s="1073"/>
      <c r="EP4" s="1073"/>
      <c r="EQ4" s="1073" t="s">
        <v>28</v>
      </c>
      <c r="ER4" s="1073"/>
      <c r="ES4" s="1073"/>
      <c r="ET4" s="1073"/>
      <c r="EU4" s="1073"/>
      <c r="EV4" s="1073"/>
      <c r="EW4" s="1073"/>
      <c r="EX4" s="1073"/>
      <c r="EY4" s="1073"/>
      <c r="EZ4" s="1073"/>
      <c r="FA4" s="1073"/>
      <c r="FB4" s="1073"/>
      <c r="FC4" s="1073"/>
      <c r="FD4" s="1073"/>
      <c r="FE4" s="1073"/>
      <c r="FF4" s="1073"/>
      <c r="FG4" s="1073" t="s">
        <v>183</v>
      </c>
      <c r="FH4" s="1073"/>
      <c r="FI4" s="1073"/>
      <c r="FJ4" s="1073"/>
      <c r="FK4" s="1073"/>
      <c r="FL4" s="1073"/>
      <c r="FM4" s="1073"/>
      <c r="FN4" s="1073"/>
      <c r="FO4" s="1073"/>
      <c r="FP4" s="1073"/>
      <c r="FQ4" s="1073"/>
      <c r="FR4" s="1073"/>
      <c r="FS4" s="1073"/>
      <c r="FT4" s="1073"/>
      <c r="FU4" s="1073"/>
      <c r="FV4" s="1073"/>
      <c r="FW4" s="1073" t="s">
        <v>56</v>
      </c>
      <c r="FX4" s="1073"/>
      <c r="FY4" s="1073"/>
      <c r="FZ4" s="1073"/>
      <c r="GA4" s="1073"/>
      <c r="GB4" s="1073"/>
      <c r="GC4" s="1073"/>
      <c r="GD4" s="1073"/>
      <c r="GE4" s="1073"/>
      <c r="GF4" s="1073"/>
      <c r="GG4" s="1073"/>
      <c r="GH4" s="1073"/>
      <c r="GI4" s="1073"/>
      <c r="GJ4" s="1073"/>
      <c r="GK4" s="1073"/>
      <c r="GL4" s="1073"/>
      <c r="GM4" s="1073" t="s">
        <v>184</v>
      </c>
      <c r="GN4" s="1073"/>
      <c r="GO4" s="1073"/>
      <c r="GP4" s="1073"/>
      <c r="GQ4" s="1073"/>
      <c r="GR4" s="1073"/>
      <c r="GS4" s="1073"/>
      <c r="GT4" s="1073"/>
      <c r="GU4" s="1073"/>
      <c r="GV4" s="1073"/>
      <c r="GW4" s="1073"/>
      <c r="GX4" s="1073"/>
      <c r="GY4" s="1073"/>
      <c r="GZ4" s="1073"/>
      <c r="HA4" s="1073"/>
      <c r="HB4" s="1073"/>
    </row>
    <row r="5" spans="1:210" s="755" customFormat="1" ht="17.25" customHeight="1" x14ac:dyDescent="0.25">
      <c r="A5" s="1072"/>
      <c r="B5" s="1076"/>
      <c r="C5" s="1072" t="s">
        <v>984</v>
      </c>
      <c r="D5" s="1072"/>
      <c r="E5" s="1072" t="s">
        <v>982</v>
      </c>
      <c r="F5" s="1072"/>
      <c r="G5" s="1072"/>
      <c r="H5" s="1072"/>
      <c r="I5" s="1072"/>
      <c r="J5" s="1072"/>
      <c r="K5" s="1072"/>
      <c r="L5" s="1072" t="s">
        <v>983</v>
      </c>
      <c r="M5" s="1072"/>
      <c r="N5" s="1072"/>
      <c r="O5" s="1072"/>
      <c r="P5" s="1072"/>
      <c r="Q5" s="1072"/>
      <c r="R5" s="1072"/>
      <c r="S5" s="1072" t="s">
        <v>984</v>
      </c>
      <c r="T5" s="1072"/>
      <c r="U5" s="1072" t="s">
        <v>982</v>
      </c>
      <c r="V5" s="1072"/>
      <c r="W5" s="1072"/>
      <c r="X5" s="1072"/>
      <c r="Y5" s="1072"/>
      <c r="Z5" s="1072"/>
      <c r="AA5" s="1072"/>
      <c r="AB5" s="1072" t="s">
        <v>983</v>
      </c>
      <c r="AC5" s="1072"/>
      <c r="AD5" s="1072"/>
      <c r="AE5" s="1072"/>
      <c r="AF5" s="1072"/>
      <c r="AG5" s="1072"/>
      <c r="AH5" s="1072"/>
      <c r="AI5" s="1072" t="s">
        <v>984</v>
      </c>
      <c r="AJ5" s="1072"/>
      <c r="AK5" s="1072" t="s">
        <v>982</v>
      </c>
      <c r="AL5" s="1072"/>
      <c r="AM5" s="1072"/>
      <c r="AN5" s="1072"/>
      <c r="AO5" s="1072"/>
      <c r="AP5" s="1072"/>
      <c r="AQ5" s="1072"/>
      <c r="AR5" s="1072" t="s">
        <v>983</v>
      </c>
      <c r="AS5" s="1072"/>
      <c r="AT5" s="1072"/>
      <c r="AU5" s="1072"/>
      <c r="AV5" s="1072"/>
      <c r="AW5" s="1072"/>
      <c r="AX5" s="1072"/>
      <c r="AY5" s="1072" t="s">
        <v>984</v>
      </c>
      <c r="AZ5" s="1072"/>
      <c r="BA5" s="1072" t="s">
        <v>982</v>
      </c>
      <c r="BB5" s="1072"/>
      <c r="BC5" s="1072"/>
      <c r="BD5" s="1072"/>
      <c r="BE5" s="1072"/>
      <c r="BF5" s="1072"/>
      <c r="BG5" s="1072"/>
      <c r="BH5" s="1072" t="s">
        <v>983</v>
      </c>
      <c r="BI5" s="1072"/>
      <c r="BJ5" s="1072"/>
      <c r="BK5" s="1072"/>
      <c r="BL5" s="1072"/>
      <c r="BM5" s="1072"/>
      <c r="BN5" s="1072"/>
      <c r="BO5" s="1072" t="s">
        <v>984</v>
      </c>
      <c r="BP5" s="1072"/>
      <c r="BQ5" s="1073" t="s">
        <v>50</v>
      </c>
      <c r="BR5" s="1073"/>
      <c r="BS5" s="1073"/>
      <c r="BT5" s="1073"/>
      <c r="BU5" s="1073"/>
      <c r="BV5" s="1073"/>
      <c r="BW5" s="1073"/>
      <c r="BX5" s="1072" t="s">
        <v>983</v>
      </c>
      <c r="BY5" s="1072"/>
      <c r="BZ5" s="1072"/>
      <c r="CA5" s="1072"/>
      <c r="CB5" s="1072"/>
      <c r="CC5" s="1072"/>
      <c r="CD5" s="1072"/>
      <c r="CE5" s="1072" t="s">
        <v>984</v>
      </c>
      <c r="CF5" s="1072"/>
      <c r="CG5" s="1072" t="s">
        <v>982</v>
      </c>
      <c r="CH5" s="1072"/>
      <c r="CI5" s="1072"/>
      <c r="CJ5" s="1072"/>
      <c r="CK5" s="1072"/>
      <c r="CL5" s="1072"/>
      <c r="CM5" s="1072"/>
      <c r="CN5" s="1072" t="s">
        <v>983</v>
      </c>
      <c r="CO5" s="1072"/>
      <c r="CP5" s="1072"/>
      <c r="CQ5" s="1072"/>
      <c r="CR5" s="1072"/>
      <c r="CS5" s="1072"/>
      <c r="CT5" s="1072"/>
      <c r="CU5" s="1072" t="s">
        <v>984</v>
      </c>
      <c r="CV5" s="1072"/>
      <c r="CW5" s="1072" t="s">
        <v>982</v>
      </c>
      <c r="CX5" s="1072"/>
      <c r="CY5" s="1072"/>
      <c r="CZ5" s="1072"/>
      <c r="DA5" s="1072"/>
      <c r="DB5" s="1072"/>
      <c r="DC5" s="1072"/>
      <c r="DD5" s="1072" t="s">
        <v>983</v>
      </c>
      <c r="DE5" s="1072"/>
      <c r="DF5" s="1072"/>
      <c r="DG5" s="1072"/>
      <c r="DH5" s="1072"/>
      <c r="DI5" s="1072"/>
      <c r="DJ5" s="1072"/>
      <c r="DK5" s="1072" t="s">
        <v>984</v>
      </c>
      <c r="DL5" s="1072"/>
      <c r="DM5" s="1072" t="s">
        <v>982</v>
      </c>
      <c r="DN5" s="1072"/>
      <c r="DO5" s="1072"/>
      <c r="DP5" s="1072"/>
      <c r="DQ5" s="1072"/>
      <c r="DR5" s="1072"/>
      <c r="DS5" s="1072"/>
      <c r="DT5" s="1072" t="s">
        <v>983</v>
      </c>
      <c r="DU5" s="1072"/>
      <c r="DV5" s="1072"/>
      <c r="DW5" s="1072"/>
      <c r="DX5" s="1072"/>
      <c r="DY5" s="1072"/>
      <c r="DZ5" s="1072"/>
      <c r="EA5" s="1072" t="s">
        <v>984</v>
      </c>
      <c r="EB5" s="1072"/>
      <c r="EC5" s="1072" t="s">
        <v>982</v>
      </c>
      <c r="ED5" s="1072"/>
      <c r="EE5" s="1072"/>
      <c r="EF5" s="1072"/>
      <c r="EG5" s="1072"/>
      <c r="EH5" s="1072"/>
      <c r="EI5" s="1072"/>
      <c r="EJ5" s="1072" t="s">
        <v>983</v>
      </c>
      <c r="EK5" s="1072"/>
      <c r="EL5" s="1072"/>
      <c r="EM5" s="1072"/>
      <c r="EN5" s="1072"/>
      <c r="EO5" s="1072"/>
      <c r="EP5" s="1072"/>
      <c r="EQ5" s="1072" t="s">
        <v>984</v>
      </c>
      <c r="ER5" s="1072"/>
      <c r="ES5" s="1072" t="s">
        <v>982</v>
      </c>
      <c r="ET5" s="1072"/>
      <c r="EU5" s="1072"/>
      <c r="EV5" s="1072"/>
      <c r="EW5" s="1072"/>
      <c r="EX5" s="1072"/>
      <c r="EY5" s="1072"/>
      <c r="EZ5" s="1072" t="s">
        <v>983</v>
      </c>
      <c r="FA5" s="1072"/>
      <c r="FB5" s="1072"/>
      <c r="FC5" s="1072"/>
      <c r="FD5" s="1072"/>
      <c r="FE5" s="1072"/>
      <c r="FF5" s="1072"/>
      <c r="FG5" s="1072" t="s">
        <v>984</v>
      </c>
      <c r="FH5" s="1072"/>
      <c r="FI5" s="1072" t="s">
        <v>982</v>
      </c>
      <c r="FJ5" s="1072"/>
      <c r="FK5" s="1072"/>
      <c r="FL5" s="1072"/>
      <c r="FM5" s="1072"/>
      <c r="FN5" s="1072"/>
      <c r="FO5" s="1072"/>
      <c r="FP5" s="1072" t="s">
        <v>983</v>
      </c>
      <c r="FQ5" s="1072"/>
      <c r="FR5" s="1072"/>
      <c r="FS5" s="1072"/>
      <c r="FT5" s="1072"/>
      <c r="FU5" s="1072"/>
      <c r="FV5" s="1072"/>
      <c r="FW5" s="1072" t="s">
        <v>984</v>
      </c>
      <c r="FX5" s="1072"/>
      <c r="FY5" s="1072" t="s">
        <v>982</v>
      </c>
      <c r="FZ5" s="1072"/>
      <c r="GA5" s="1072"/>
      <c r="GB5" s="1072"/>
      <c r="GC5" s="1072"/>
      <c r="GD5" s="1072"/>
      <c r="GE5" s="1072"/>
      <c r="GF5" s="1072" t="s">
        <v>983</v>
      </c>
      <c r="GG5" s="1072"/>
      <c r="GH5" s="1072"/>
      <c r="GI5" s="1072"/>
      <c r="GJ5" s="1072"/>
      <c r="GK5" s="1072"/>
      <c r="GL5" s="1072"/>
      <c r="GM5" s="1072" t="s">
        <v>984</v>
      </c>
      <c r="GN5" s="1072"/>
      <c r="GO5" s="1072" t="s">
        <v>982</v>
      </c>
      <c r="GP5" s="1072"/>
      <c r="GQ5" s="1072"/>
      <c r="GR5" s="1072"/>
      <c r="GS5" s="1072"/>
      <c r="GT5" s="1072"/>
      <c r="GU5" s="1072"/>
      <c r="GV5" s="1072" t="s">
        <v>983</v>
      </c>
      <c r="GW5" s="1072"/>
      <c r="GX5" s="1072"/>
      <c r="GY5" s="1072"/>
      <c r="GZ5" s="1072"/>
      <c r="HA5" s="1072"/>
      <c r="HB5" s="1072"/>
    </row>
    <row r="6" spans="1:210" s="755" customFormat="1" ht="17.25" customHeight="1" x14ac:dyDescent="0.25">
      <c r="A6" s="1072"/>
      <c r="B6" s="1076"/>
      <c r="C6" s="1072" t="s">
        <v>577</v>
      </c>
      <c r="D6" s="1072" t="s">
        <v>985</v>
      </c>
      <c r="E6" s="1072" t="s">
        <v>577</v>
      </c>
      <c r="F6" s="1072" t="s">
        <v>578</v>
      </c>
      <c r="G6" s="1072" t="s">
        <v>579</v>
      </c>
      <c r="H6" s="1072"/>
      <c r="I6" s="1072"/>
      <c r="J6" s="1072"/>
      <c r="K6" s="1072" t="s">
        <v>994</v>
      </c>
      <c r="L6" s="1072" t="s">
        <v>577</v>
      </c>
      <c r="M6" s="1072" t="s">
        <v>578</v>
      </c>
      <c r="N6" s="1072" t="s">
        <v>580</v>
      </c>
      <c r="O6" s="1072"/>
      <c r="P6" s="1072"/>
      <c r="Q6" s="1072"/>
      <c r="R6" s="1072" t="s">
        <v>994</v>
      </c>
      <c r="S6" s="1072" t="s">
        <v>577</v>
      </c>
      <c r="T6" s="1072" t="s">
        <v>985</v>
      </c>
      <c r="U6" s="1072" t="s">
        <v>577</v>
      </c>
      <c r="V6" s="1072" t="s">
        <v>578</v>
      </c>
      <c r="W6" s="1072" t="s">
        <v>579</v>
      </c>
      <c r="X6" s="1072"/>
      <c r="Y6" s="1072"/>
      <c r="Z6" s="1072"/>
      <c r="AA6" s="1072" t="s">
        <v>994</v>
      </c>
      <c r="AB6" s="1072" t="s">
        <v>577</v>
      </c>
      <c r="AC6" s="1072" t="s">
        <v>578</v>
      </c>
      <c r="AD6" s="1072" t="s">
        <v>580</v>
      </c>
      <c r="AE6" s="1072"/>
      <c r="AF6" s="1072"/>
      <c r="AG6" s="1072"/>
      <c r="AH6" s="1072" t="s">
        <v>994</v>
      </c>
      <c r="AI6" s="1072" t="s">
        <v>577</v>
      </c>
      <c r="AJ6" s="1072" t="s">
        <v>985</v>
      </c>
      <c r="AK6" s="1072" t="s">
        <v>577</v>
      </c>
      <c r="AL6" s="1072" t="s">
        <v>578</v>
      </c>
      <c r="AM6" s="1072" t="s">
        <v>579</v>
      </c>
      <c r="AN6" s="1072"/>
      <c r="AO6" s="1072"/>
      <c r="AP6" s="1072"/>
      <c r="AQ6" s="1072" t="s">
        <v>994</v>
      </c>
      <c r="AR6" s="1072" t="s">
        <v>577</v>
      </c>
      <c r="AS6" s="1072" t="s">
        <v>578</v>
      </c>
      <c r="AT6" s="1072" t="s">
        <v>580</v>
      </c>
      <c r="AU6" s="1072"/>
      <c r="AV6" s="1072"/>
      <c r="AW6" s="1072"/>
      <c r="AX6" s="1072" t="s">
        <v>994</v>
      </c>
      <c r="AY6" s="1072" t="s">
        <v>577</v>
      </c>
      <c r="AZ6" s="1072" t="s">
        <v>985</v>
      </c>
      <c r="BA6" s="1072" t="s">
        <v>577</v>
      </c>
      <c r="BB6" s="1072" t="s">
        <v>578</v>
      </c>
      <c r="BC6" s="1072" t="s">
        <v>579</v>
      </c>
      <c r="BD6" s="1072"/>
      <c r="BE6" s="1072"/>
      <c r="BF6" s="1072"/>
      <c r="BG6" s="1072" t="s">
        <v>994</v>
      </c>
      <c r="BH6" s="1072" t="s">
        <v>577</v>
      </c>
      <c r="BI6" s="1072" t="s">
        <v>578</v>
      </c>
      <c r="BJ6" s="1072" t="s">
        <v>580</v>
      </c>
      <c r="BK6" s="1072"/>
      <c r="BL6" s="1072"/>
      <c r="BM6" s="1072"/>
      <c r="BN6" s="1072" t="s">
        <v>994</v>
      </c>
      <c r="BO6" s="1072" t="s">
        <v>577</v>
      </c>
      <c r="BP6" s="1072" t="s">
        <v>985</v>
      </c>
      <c r="BQ6" s="1072" t="s">
        <v>577</v>
      </c>
      <c r="BR6" s="1072" t="s">
        <v>578</v>
      </c>
      <c r="BS6" s="1072" t="s">
        <v>579</v>
      </c>
      <c r="BT6" s="1072"/>
      <c r="BU6" s="1072"/>
      <c r="BV6" s="1072"/>
      <c r="BW6" s="1072" t="s">
        <v>994</v>
      </c>
      <c r="BX6" s="1072" t="s">
        <v>577</v>
      </c>
      <c r="BY6" s="1072" t="s">
        <v>578</v>
      </c>
      <c r="BZ6" s="1072" t="s">
        <v>580</v>
      </c>
      <c r="CA6" s="1072"/>
      <c r="CB6" s="1072"/>
      <c r="CC6" s="1072"/>
      <c r="CD6" s="1072" t="s">
        <v>994</v>
      </c>
      <c r="CE6" s="1072" t="s">
        <v>577</v>
      </c>
      <c r="CF6" s="1072" t="s">
        <v>985</v>
      </c>
      <c r="CG6" s="1072" t="s">
        <v>577</v>
      </c>
      <c r="CH6" s="1072" t="s">
        <v>578</v>
      </c>
      <c r="CI6" s="1072" t="s">
        <v>579</v>
      </c>
      <c r="CJ6" s="1072"/>
      <c r="CK6" s="1072"/>
      <c r="CL6" s="1072"/>
      <c r="CM6" s="1072" t="s">
        <v>994</v>
      </c>
      <c r="CN6" s="1072" t="s">
        <v>577</v>
      </c>
      <c r="CO6" s="1072" t="s">
        <v>578</v>
      </c>
      <c r="CP6" s="1072" t="s">
        <v>580</v>
      </c>
      <c r="CQ6" s="1072"/>
      <c r="CR6" s="1072"/>
      <c r="CS6" s="1072"/>
      <c r="CT6" s="1072" t="s">
        <v>994</v>
      </c>
      <c r="CU6" s="1072" t="s">
        <v>577</v>
      </c>
      <c r="CV6" s="1072" t="s">
        <v>985</v>
      </c>
      <c r="CW6" s="1072" t="s">
        <v>577</v>
      </c>
      <c r="CX6" s="1072" t="s">
        <v>578</v>
      </c>
      <c r="CY6" s="1072" t="s">
        <v>579</v>
      </c>
      <c r="CZ6" s="1072"/>
      <c r="DA6" s="1072"/>
      <c r="DB6" s="1072"/>
      <c r="DC6" s="1072" t="s">
        <v>994</v>
      </c>
      <c r="DD6" s="1072" t="s">
        <v>577</v>
      </c>
      <c r="DE6" s="1072" t="s">
        <v>578</v>
      </c>
      <c r="DF6" s="1072" t="s">
        <v>580</v>
      </c>
      <c r="DG6" s="1072"/>
      <c r="DH6" s="1072"/>
      <c r="DI6" s="1072"/>
      <c r="DJ6" s="1072" t="s">
        <v>994</v>
      </c>
      <c r="DK6" s="1072" t="s">
        <v>577</v>
      </c>
      <c r="DL6" s="1072" t="s">
        <v>985</v>
      </c>
      <c r="DM6" s="1072" t="s">
        <v>577</v>
      </c>
      <c r="DN6" s="1072" t="s">
        <v>578</v>
      </c>
      <c r="DO6" s="1072" t="s">
        <v>579</v>
      </c>
      <c r="DP6" s="1072"/>
      <c r="DQ6" s="1072"/>
      <c r="DR6" s="1072"/>
      <c r="DS6" s="1072" t="s">
        <v>994</v>
      </c>
      <c r="DT6" s="1072" t="s">
        <v>577</v>
      </c>
      <c r="DU6" s="1072" t="s">
        <v>578</v>
      </c>
      <c r="DV6" s="1072" t="s">
        <v>580</v>
      </c>
      <c r="DW6" s="1072"/>
      <c r="DX6" s="1072"/>
      <c r="DY6" s="1072"/>
      <c r="DZ6" s="1072" t="s">
        <v>994</v>
      </c>
      <c r="EA6" s="1072" t="s">
        <v>577</v>
      </c>
      <c r="EB6" s="1072" t="s">
        <v>985</v>
      </c>
      <c r="EC6" s="1072" t="s">
        <v>577</v>
      </c>
      <c r="ED6" s="1072" t="s">
        <v>578</v>
      </c>
      <c r="EE6" s="1072" t="s">
        <v>579</v>
      </c>
      <c r="EF6" s="1072"/>
      <c r="EG6" s="1072"/>
      <c r="EH6" s="1072"/>
      <c r="EI6" s="1072" t="s">
        <v>994</v>
      </c>
      <c r="EJ6" s="1072" t="s">
        <v>577</v>
      </c>
      <c r="EK6" s="1072" t="s">
        <v>578</v>
      </c>
      <c r="EL6" s="1072" t="s">
        <v>580</v>
      </c>
      <c r="EM6" s="1072"/>
      <c r="EN6" s="1072"/>
      <c r="EO6" s="1072"/>
      <c r="EP6" s="1072" t="s">
        <v>994</v>
      </c>
      <c r="EQ6" s="1072" t="s">
        <v>577</v>
      </c>
      <c r="ER6" s="1072" t="s">
        <v>985</v>
      </c>
      <c r="ES6" s="1072" t="s">
        <v>577</v>
      </c>
      <c r="ET6" s="1072" t="s">
        <v>578</v>
      </c>
      <c r="EU6" s="1072" t="s">
        <v>579</v>
      </c>
      <c r="EV6" s="1072"/>
      <c r="EW6" s="1072"/>
      <c r="EX6" s="1072"/>
      <c r="EY6" s="1072" t="s">
        <v>994</v>
      </c>
      <c r="EZ6" s="1072" t="s">
        <v>577</v>
      </c>
      <c r="FA6" s="1072" t="s">
        <v>578</v>
      </c>
      <c r="FB6" s="1072" t="s">
        <v>580</v>
      </c>
      <c r="FC6" s="1072"/>
      <c r="FD6" s="1072"/>
      <c r="FE6" s="1072"/>
      <c r="FF6" s="1072" t="s">
        <v>994</v>
      </c>
      <c r="FG6" s="1072" t="s">
        <v>577</v>
      </c>
      <c r="FH6" s="1072" t="s">
        <v>985</v>
      </c>
      <c r="FI6" s="1072" t="s">
        <v>577</v>
      </c>
      <c r="FJ6" s="1072" t="s">
        <v>578</v>
      </c>
      <c r="FK6" s="1072" t="s">
        <v>579</v>
      </c>
      <c r="FL6" s="1072"/>
      <c r="FM6" s="1072"/>
      <c r="FN6" s="1072"/>
      <c r="FO6" s="1072" t="s">
        <v>994</v>
      </c>
      <c r="FP6" s="1072" t="s">
        <v>577</v>
      </c>
      <c r="FQ6" s="1072" t="s">
        <v>578</v>
      </c>
      <c r="FR6" s="1072" t="s">
        <v>580</v>
      </c>
      <c r="FS6" s="1072"/>
      <c r="FT6" s="1072"/>
      <c r="FU6" s="1072"/>
      <c r="FV6" s="1072" t="s">
        <v>994</v>
      </c>
      <c r="FW6" s="1072" t="s">
        <v>577</v>
      </c>
      <c r="FX6" s="1072" t="s">
        <v>985</v>
      </c>
      <c r="FY6" s="1072" t="s">
        <v>577</v>
      </c>
      <c r="FZ6" s="1072" t="s">
        <v>578</v>
      </c>
      <c r="GA6" s="1072" t="s">
        <v>579</v>
      </c>
      <c r="GB6" s="1072"/>
      <c r="GC6" s="1072"/>
      <c r="GD6" s="1072"/>
      <c r="GE6" s="1072" t="s">
        <v>994</v>
      </c>
      <c r="GF6" s="1072" t="s">
        <v>577</v>
      </c>
      <c r="GG6" s="1072" t="s">
        <v>578</v>
      </c>
      <c r="GH6" s="1072" t="s">
        <v>580</v>
      </c>
      <c r="GI6" s="1072"/>
      <c r="GJ6" s="1072"/>
      <c r="GK6" s="1072"/>
      <c r="GL6" s="1072" t="s">
        <v>994</v>
      </c>
      <c r="GM6" s="1072" t="s">
        <v>577</v>
      </c>
      <c r="GN6" s="1072" t="s">
        <v>985</v>
      </c>
      <c r="GO6" s="1072" t="s">
        <v>577</v>
      </c>
      <c r="GP6" s="1072" t="s">
        <v>578</v>
      </c>
      <c r="GQ6" s="1072" t="s">
        <v>579</v>
      </c>
      <c r="GR6" s="1072"/>
      <c r="GS6" s="1072"/>
      <c r="GT6" s="1072"/>
      <c r="GU6" s="1072" t="s">
        <v>994</v>
      </c>
      <c r="GV6" s="1072" t="s">
        <v>577</v>
      </c>
      <c r="GW6" s="1072" t="s">
        <v>578</v>
      </c>
      <c r="GX6" s="1072" t="s">
        <v>580</v>
      </c>
      <c r="GY6" s="1072"/>
      <c r="GZ6" s="1072"/>
      <c r="HA6" s="1072"/>
      <c r="HB6" s="1072" t="s">
        <v>994</v>
      </c>
    </row>
    <row r="7" spans="1:210" s="755" customFormat="1" ht="15.75" customHeight="1" x14ac:dyDescent="0.25">
      <c r="A7" s="1072"/>
      <c r="B7" s="1076"/>
      <c r="C7" s="1072"/>
      <c r="D7" s="1072"/>
      <c r="E7" s="1072"/>
      <c r="F7" s="1072"/>
      <c r="G7" s="1072" t="s">
        <v>276</v>
      </c>
      <c r="H7" s="1072" t="s">
        <v>240</v>
      </c>
      <c r="I7" s="1072"/>
      <c r="J7" s="1072"/>
      <c r="K7" s="1072"/>
      <c r="L7" s="1072"/>
      <c r="M7" s="1072"/>
      <c r="N7" s="1072" t="s">
        <v>276</v>
      </c>
      <c r="O7" s="1072" t="s">
        <v>240</v>
      </c>
      <c r="P7" s="1072"/>
      <c r="Q7" s="1072"/>
      <c r="R7" s="1072"/>
      <c r="S7" s="1072"/>
      <c r="T7" s="1072"/>
      <c r="U7" s="1072"/>
      <c r="V7" s="1072"/>
      <c r="W7" s="1072" t="s">
        <v>276</v>
      </c>
      <c r="X7" s="1072" t="s">
        <v>240</v>
      </c>
      <c r="Y7" s="1072"/>
      <c r="Z7" s="1072"/>
      <c r="AA7" s="1072"/>
      <c r="AB7" s="1072"/>
      <c r="AC7" s="1072"/>
      <c r="AD7" s="1072" t="s">
        <v>276</v>
      </c>
      <c r="AE7" s="1072" t="s">
        <v>240</v>
      </c>
      <c r="AF7" s="1072"/>
      <c r="AG7" s="1072"/>
      <c r="AH7" s="1072"/>
      <c r="AI7" s="1072"/>
      <c r="AJ7" s="1072"/>
      <c r="AK7" s="1072"/>
      <c r="AL7" s="1072"/>
      <c r="AM7" s="1072" t="s">
        <v>276</v>
      </c>
      <c r="AN7" s="1072" t="s">
        <v>240</v>
      </c>
      <c r="AO7" s="1072"/>
      <c r="AP7" s="1072"/>
      <c r="AQ7" s="1072"/>
      <c r="AR7" s="1072"/>
      <c r="AS7" s="1072"/>
      <c r="AT7" s="1072" t="s">
        <v>276</v>
      </c>
      <c r="AU7" s="1072" t="s">
        <v>240</v>
      </c>
      <c r="AV7" s="1072"/>
      <c r="AW7" s="1072"/>
      <c r="AX7" s="1072"/>
      <c r="AY7" s="1072"/>
      <c r="AZ7" s="1072"/>
      <c r="BA7" s="1072"/>
      <c r="BB7" s="1072"/>
      <c r="BC7" s="1072" t="s">
        <v>276</v>
      </c>
      <c r="BD7" s="1072" t="s">
        <v>240</v>
      </c>
      <c r="BE7" s="1072"/>
      <c r="BF7" s="1072"/>
      <c r="BG7" s="1072"/>
      <c r="BH7" s="1072"/>
      <c r="BI7" s="1072"/>
      <c r="BJ7" s="1072" t="s">
        <v>276</v>
      </c>
      <c r="BK7" s="1072" t="s">
        <v>240</v>
      </c>
      <c r="BL7" s="1072"/>
      <c r="BM7" s="1072"/>
      <c r="BN7" s="1072"/>
      <c r="BO7" s="1072"/>
      <c r="BP7" s="1072"/>
      <c r="BQ7" s="1072"/>
      <c r="BR7" s="1072"/>
      <c r="BS7" s="1072" t="s">
        <v>276</v>
      </c>
      <c r="BT7" s="1072" t="s">
        <v>240</v>
      </c>
      <c r="BU7" s="1072"/>
      <c r="BV7" s="1072"/>
      <c r="BW7" s="1072"/>
      <c r="BX7" s="1072"/>
      <c r="BY7" s="1072"/>
      <c r="BZ7" s="1072" t="s">
        <v>276</v>
      </c>
      <c r="CA7" s="1072" t="s">
        <v>240</v>
      </c>
      <c r="CB7" s="1072"/>
      <c r="CC7" s="1072"/>
      <c r="CD7" s="1072"/>
      <c r="CE7" s="1072"/>
      <c r="CF7" s="1072"/>
      <c r="CG7" s="1072"/>
      <c r="CH7" s="1072"/>
      <c r="CI7" s="1072" t="s">
        <v>276</v>
      </c>
      <c r="CJ7" s="1072" t="s">
        <v>240</v>
      </c>
      <c r="CK7" s="1072"/>
      <c r="CL7" s="1072"/>
      <c r="CM7" s="1072"/>
      <c r="CN7" s="1072"/>
      <c r="CO7" s="1072"/>
      <c r="CP7" s="1072" t="s">
        <v>276</v>
      </c>
      <c r="CQ7" s="1072" t="s">
        <v>240</v>
      </c>
      <c r="CR7" s="1072"/>
      <c r="CS7" s="1072"/>
      <c r="CT7" s="1072"/>
      <c r="CU7" s="1072"/>
      <c r="CV7" s="1072"/>
      <c r="CW7" s="1072"/>
      <c r="CX7" s="1072"/>
      <c r="CY7" s="1072" t="s">
        <v>276</v>
      </c>
      <c r="CZ7" s="1072" t="s">
        <v>240</v>
      </c>
      <c r="DA7" s="1072"/>
      <c r="DB7" s="1072"/>
      <c r="DC7" s="1072"/>
      <c r="DD7" s="1072"/>
      <c r="DE7" s="1072"/>
      <c r="DF7" s="1072" t="s">
        <v>276</v>
      </c>
      <c r="DG7" s="1072" t="s">
        <v>240</v>
      </c>
      <c r="DH7" s="1072"/>
      <c r="DI7" s="1072"/>
      <c r="DJ7" s="1072"/>
      <c r="DK7" s="1072"/>
      <c r="DL7" s="1072"/>
      <c r="DM7" s="1072"/>
      <c r="DN7" s="1072"/>
      <c r="DO7" s="1072" t="s">
        <v>276</v>
      </c>
      <c r="DP7" s="1072" t="s">
        <v>240</v>
      </c>
      <c r="DQ7" s="1072"/>
      <c r="DR7" s="1072"/>
      <c r="DS7" s="1072"/>
      <c r="DT7" s="1072"/>
      <c r="DU7" s="1072"/>
      <c r="DV7" s="1072" t="s">
        <v>276</v>
      </c>
      <c r="DW7" s="1072" t="s">
        <v>240</v>
      </c>
      <c r="DX7" s="1072"/>
      <c r="DY7" s="1072"/>
      <c r="DZ7" s="1072"/>
      <c r="EA7" s="1072"/>
      <c r="EB7" s="1072"/>
      <c r="EC7" s="1072"/>
      <c r="ED7" s="1072"/>
      <c r="EE7" s="1072" t="s">
        <v>276</v>
      </c>
      <c r="EF7" s="1072" t="s">
        <v>240</v>
      </c>
      <c r="EG7" s="1072"/>
      <c r="EH7" s="1072"/>
      <c r="EI7" s="1072"/>
      <c r="EJ7" s="1072"/>
      <c r="EK7" s="1072"/>
      <c r="EL7" s="1072" t="s">
        <v>276</v>
      </c>
      <c r="EM7" s="1072" t="s">
        <v>240</v>
      </c>
      <c r="EN7" s="1072"/>
      <c r="EO7" s="1072"/>
      <c r="EP7" s="1072"/>
      <c r="EQ7" s="1072"/>
      <c r="ER7" s="1072"/>
      <c r="ES7" s="1072"/>
      <c r="ET7" s="1072"/>
      <c r="EU7" s="1072" t="s">
        <v>276</v>
      </c>
      <c r="EV7" s="1072" t="s">
        <v>240</v>
      </c>
      <c r="EW7" s="1072"/>
      <c r="EX7" s="1072"/>
      <c r="EY7" s="1072"/>
      <c r="EZ7" s="1072"/>
      <c r="FA7" s="1072"/>
      <c r="FB7" s="1072" t="s">
        <v>276</v>
      </c>
      <c r="FC7" s="1072" t="s">
        <v>240</v>
      </c>
      <c r="FD7" s="1072"/>
      <c r="FE7" s="1072"/>
      <c r="FF7" s="1072"/>
      <c r="FG7" s="1072"/>
      <c r="FH7" s="1072"/>
      <c r="FI7" s="1072"/>
      <c r="FJ7" s="1072"/>
      <c r="FK7" s="1072" t="s">
        <v>276</v>
      </c>
      <c r="FL7" s="1072" t="s">
        <v>240</v>
      </c>
      <c r="FM7" s="1072"/>
      <c r="FN7" s="1072"/>
      <c r="FO7" s="1072"/>
      <c r="FP7" s="1072"/>
      <c r="FQ7" s="1072"/>
      <c r="FR7" s="1072" t="s">
        <v>276</v>
      </c>
      <c r="FS7" s="1072" t="s">
        <v>240</v>
      </c>
      <c r="FT7" s="1072"/>
      <c r="FU7" s="1072"/>
      <c r="FV7" s="1072"/>
      <c r="FW7" s="1072"/>
      <c r="FX7" s="1072"/>
      <c r="FY7" s="1072"/>
      <c r="FZ7" s="1072"/>
      <c r="GA7" s="1072" t="s">
        <v>276</v>
      </c>
      <c r="GB7" s="1072" t="s">
        <v>240</v>
      </c>
      <c r="GC7" s="1072"/>
      <c r="GD7" s="1072"/>
      <c r="GE7" s="1072"/>
      <c r="GF7" s="1072"/>
      <c r="GG7" s="1072"/>
      <c r="GH7" s="1072" t="s">
        <v>276</v>
      </c>
      <c r="GI7" s="1072" t="s">
        <v>240</v>
      </c>
      <c r="GJ7" s="1072"/>
      <c r="GK7" s="1072"/>
      <c r="GL7" s="1072"/>
      <c r="GM7" s="1072"/>
      <c r="GN7" s="1072"/>
      <c r="GO7" s="1072"/>
      <c r="GP7" s="1072"/>
      <c r="GQ7" s="1072" t="s">
        <v>276</v>
      </c>
      <c r="GR7" s="1072" t="s">
        <v>240</v>
      </c>
      <c r="GS7" s="1072"/>
      <c r="GT7" s="1072"/>
      <c r="GU7" s="1072"/>
      <c r="GV7" s="1072"/>
      <c r="GW7" s="1072"/>
      <c r="GX7" s="1072" t="s">
        <v>276</v>
      </c>
      <c r="GY7" s="1072" t="s">
        <v>240</v>
      </c>
      <c r="GZ7" s="1072"/>
      <c r="HA7" s="1072"/>
      <c r="HB7" s="1072"/>
    </row>
    <row r="8" spans="1:210" s="755" customFormat="1" ht="140.25" customHeight="1" x14ac:dyDescent="0.25">
      <c r="A8" s="1072"/>
      <c r="B8" s="1076"/>
      <c r="C8" s="1072"/>
      <c r="D8" s="1072"/>
      <c r="E8" s="1072"/>
      <c r="F8" s="1072"/>
      <c r="G8" s="1072"/>
      <c r="H8" s="754" t="s">
        <v>581</v>
      </c>
      <c r="I8" s="754" t="s">
        <v>651</v>
      </c>
      <c r="J8" s="754" t="s">
        <v>986</v>
      </c>
      <c r="K8" s="1072"/>
      <c r="L8" s="1072"/>
      <c r="M8" s="1072"/>
      <c r="N8" s="1072"/>
      <c r="O8" s="754" t="s">
        <v>581</v>
      </c>
      <c r="P8" s="754" t="s">
        <v>582</v>
      </c>
      <c r="Q8" s="754" t="s">
        <v>987</v>
      </c>
      <c r="R8" s="1072"/>
      <c r="S8" s="1072"/>
      <c r="T8" s="1072"/>
      <c r="U8" s="1072"/>
      <c r="V8" s="1072"/>
      <c r="W8" s="1072"/>
      <c r="X8" s="754" t="s">
        <v>581</v>
      </c>
      <c r="Y8" s="754" t="s">
        <v>651</v>
      </c>
      <c r="Z8" s="754" t="s">
        <v>986</v>
      </c>
      <c r="AA8" s="1072"/>
      <c r="AB8" s="1072"/>
      <c r="AC8" s="1072"/>
      <c r="AD8" s="1072"/>
      <c r="AE8" s="754" t="s">
        <v>581</v>
      </c>
      <c r="AF8" s="754" t="s">
        <v>582</v>
      </c>
      <c r="AG8" s="754" t="s">
        <v>987</v>
      </c>
      <c r="AH8" s="1072"/>
      <c r="AI8" s="1072"/>
      <c r="AJ8" s="1072"/>
      <c r="AK8" s="1072"/>
      <c r="AL8" s="1072"/>
      <c r="AM8" s="1072"/>
      <c r="AN8" s="754" t="s">
        <v>581</v>
      </c>
      <c r="AO8" s="754" t="s">
        <v>651</v>
      </c>
      <c r="AP8" s="754" t="s">
        <v>986</v>
      </c>
      <c r="AQ8" s="1072"/>
      <c r="AR8" s="1072"/>
      <c r="AS8" s="1072"/>
      <c r="AT8" s="1072"/>
      <c r="AU8" s="754" t="s">
        <v>581</v>
      </c>
      <c r="AV8" s="754" t="s">
        <v>582</v>
      </c>
      <c r="AW8" s="754" t="s">
        <v>987</v>
      </c>
      <c r="AX8" s="1072"/>
      <c r="AY8" s="1072"/>
      <c r="AZ8" s="1072"/>
      <c r="BA8" s="1072"/>
      <c r="BB8" s="1072"/>
      <c r="BC8" s="1072"/>
      <c r="BD8" s="754" t="s">
        <v>581</v>
      </c>
      <c r="BE8" s="754" t="s">
        <v>651</v>
      </c>
      <c r="BF8" s="754" t="s">
        <v>986</v>
      </c>
      <c r="BG8" s="1072"/>
      <c r="BH8" s="1072"/>
      <c r="BI8" s="1072"/>
      <c r="BJ8" s="1072"/>
      <c r="BK8" s="754" t="s">
        <v>581</v>
      </c>
      <c r="BL8" s="754" t="s">
        <v>582</v>
      </c>
      <c r="BM8" s="754" t="s">
        <v>987</v>
      </c>
      <c r="BN8" s="1072"/>
      <c r="BO8" s="1072"/>
      <c r="BP8" s="1072"/>
      <c r="BQ8" s="1072"/>
      <c r="BR8" s="1072"/>
      <c r="BS8" s="1072"/>
      <c r="BT8" s="754" t="s">
        <v>581</v>
      </c>
      <c r="BU8" s="754" t="s">
        <v>651</v>
      </c>
      <c r="BV8" s="754" t="s">
        <v>986</v>
      </c>
      <c r="BW8" s="1072"/>
      <c r="BX8" s="1072"/>
      <c r="BY8" s="1072"/>
      <c r="BZ8" s="1072"/>
      <c r="CA8" s="754" t="s">
        <v>581</v>
      </c>
      <c r="CB8" s="754" t="s">
        <v>582</v>
      </c>
      <c r="CC8" s="754" t="s">
        <v>987</v>
      </c>
      <c r="CD8" s="1072"/>
      <c r="CE8" s="1072"/>
      <c r="CF8" s="1072"/>
      <c r="CG8" s="1072"/>
      <c r="CH8" s="1072"/>
      <c r="CI8" s="1072"/>
      <c r="CJ8" s="754" t="s">
        <v>581</v>
      </c>
      <c r="CK8" s="754" t="s">
        <v>651</v>
      </c>
      <c r="CL8" s="754" t="s">
        <v>986</v>
      </c>
      <c r="CM8" s="1072"/>
      <c r="CN8" s="1072"/>
      <c r="CO8" s="1072"/>
      <c r="CP8" s="1072"/>
      <c r="CQ8" s="754" t="s">
        <v>581</v>
      </c>
      <c r="CR8" s="754" t="s">
        <v>582</v>
      </c>
      <c r="CS8" s="754" t="s">
        <v>987</v>
      </c>
      <c r="CT8" s="1072"/>
      <c r="CU8" s="1072"/>
      <c r="CV8" s="1072"/>
      <c r="CW8" s="1072"/>
      <c r="CX8" s="1072"/>
      <c r="CY8" s="1072"/>
      <c r="CZ8" s="754" t="s">
        <v>581</v>
      </c>
      <c r="DA8" s="754" t="s">
        <v>651</v>
      </c>
      <c r="DB8" s="754" t="s">
        <v>986</v>
      </c>
      <c r="DC8" s="1072"/>
      <c r="DD8" s="1072"/>
      <c r="DE8" s="1072"/>
      <c r="DF8" s="1072"/>
      <c r="DG8" s="754" t="s">
        <v>581</v>
      </c>
      <c r="DH8" s="754" t="s">
        <v>582</v>
      </c>
      <c r="DI8" s="754" t="s">
        <v>987</v>
      </c>
      <c r="DJ8" s="1072"/>
      <c r="DK8" s="1072"/>
      <c r="DL8" s="1072"/>
      <c r="DM8" s="1072"/>
      <c r="DN8" s="1072"/>
      <c r="DO8" s="1072"/>
      <c r="DP8" s="754" t="s">
        <v>581</v>
      </c>
      <c r="DQ8" s="754" t="s">
        <v>651</v>
      </c>
      <c r="DR8" s="754" t="s">
        <v>986</v>
      </c>
      <c r="DS8" s="1072"/>
      <c r="DT8" s="1072"/>
      <c r="DU8" s="1072"/>
      <c r="DV8" s="1072"/>
      <c r="DW8" s="754" t="s">
        <v>581</v>
      </c>
      <c r="DX8" s="754" t="s">
        <v>582</v>
      </c>
      <c r="DY8" s="754" t="s">
        <v>987</v>
      </c>
      <c r="DZ8" s="1072"/>
      <c r="EA8" s="1072"/>
      <c r="EB8" s="1072"/>
      <c r="EC8" s="1072"/>
      <c r="ED8" s="1072"/>
      <c r="EE8" s="1072"/>
      <c r="EF8" s="754" t="s">
        <v>581</v>
      </c>
      <c r="EG8" s="754" t="s">
        <v>651</v>
      </c>
      <c r="EH8" s="754" t="s">
        <v>986</v>
      </c>
      <c r="EI8" s="1072"/>
      <c r="EJ8" s="1072"/>
      <c r="EK8" s="1072"/>
      <c r="EL8" s="1072"/>
      <c r="EM8" s="754" t="s">
        <v>581</v>
      </c>
      <c r="EN8" s="754" t="s">
        <v>582</v>
      </c>
      <c r="EO8" s="754" t="s">
        <v>987</v>
      </c>
      <c r="EP8" s="1072"/>
      <c r="EQ8" s="1072"/>
      <c r="ER8" s="1072"/>
      <c r="ES8" s="1072"/>
      <c r="ET8" s="1072"/>
      <c r="EU8" s="1072"/>
      <c r="EV8" s="754" t="s">
        <v>581</v>
      </c>
      <c r="EW8" s="754" t="s">
        <v>651</v>
      </c>
      <c r="EX8" s="754" t="s">
        <v>986</v>
      </c>
      <c r="EY8" s="1072"/>
      <c r="EZ8" s="1072"/>
      <c r="FA8" s="1072"/>
      <c r="FB8" s="1072"/>
      <c r="FC8" s="754" t="s">
        <v>581</v>
      </c>
      <c r="FD8" s="754" t="s">
        <v>582</v>
      </c>
      <c r="FE8" s="754" t="s">
        <v>987</v>
      </c>
      <c r="FF8" s="1072"/>
      <c r="FG8" s="1072"/>
      <c r="FH8" s="1072"/>
      <c r="FI8" s="1072"/>
      <c r="FJ8" s="1072"/>
      <c r="FK8" s="1072"/>
      <c r="FL8" s="754" t="s">
        <v>581</v>
      </c>
      <c r="FM8" s="754" t="s">
        <v>651</v>
      </c>
      <c r="FN8" s="754" t="s">
        <v>986</v>
      </c>
      <c r="FO8" s="1072"/>
      <c r="FP8" s="1072"/>
      <c r="FQ8" s="1072"/>
      <c r="FR8" s="1072"/>
      <c r="FS8" s="754" t="s">
        <v>581</v>
      </c>
      <c r="FT8" s="754" t="s">
        <v>582</v>
      </c>
      <c r="FU8" s="754" t="s">
        <v>987</v>
      </c>
      <c r="FV8" s="1072"/>
      <c r="FW8" s="1072"/>
      <c r="FX8" s="1072"/>
      <c r="FY8" s="1072"/>
      <c r="FZ8" s="1072"/>
      <c r="GA8" s="1072"/>
      <c r="GB8" s="754" t="s">
        <v>581</v>
      </c>
      <c r="GC8" s="754" t="s">
        <v>651</v>
      </c>
      <c r="GD8" s="754" t="s">
        <v>986</v>
      </c>
      <c r="GE8" s="1072"/>
      <c r="GF8" s="1072"/>
      <c r="GG8" s="1072"/>
      <c r="GH8" s="1072"/>
      <c r="GI8" s="754" t="s">
        <v>581</v>
      </c>
      <c r="GJ8" s="754" t="s">
        <v>582</v>
      </c>
      <c r="GK8" s="754" t="s">
        <v>987</v>
      </c>
      <c r="GL8" s="1072"/>
      <c r="GM8" s="1072"/>
      <c r="GN8" s="1072"/>
      <c r="GO8" s="1072"/>
      <c r="GP8" s="1072"/>
      <c r="GQ8" s="1072"/>
      <c r="GR8" s="754" t="s">
        <v>581</v>
      </c>
      <c r="GS8" s="754" t="s">
        <v>651</v>
      </c>
      <c r="GT8" s="754" t="s">
        <v>986</v>
      </c>
      <c r="GU8" s="1072"/>
      <c r="GV8" s="1072"/>
      <c r="GW8" s="1072"/>
      <c r="GX8" s="1072"/>
      <c r="GY8" s="754" t="s">
        <v>581</v>
      </c>
      <c r="GZ8" s="754" t="s">
        <v>582</v>
      </c>
      <c r="HA8" s="754" t="s">
        <v>987</v>
      </c>
      <c r="HB8" s="1072"/>
    </row>
    <row r="9" spans="1:210" ht="20.25" customHeight="1" x14ac:dyDescent="0.2">
      <c r="A9" s="747">
        <v>1</v>
      </c>
      <c r="B9" s="748">
        <v>2</v>
      </c>
      <c r="C9" s="747">
        <v>3</v>
      </c>
      <c r="D9" s="747">
        <v>4</v>
      </c>
      <c r="E9" s="747">
        <v>5</v>
      </c>
      <c r="F9" s="747">
        <v>6</v>
      </c>
      <c r="G9" s="747" t="s">
        <v>988</v>
      </c>
      <c r="H9" s="747">
        <v>8</v>
      </c>
      <c r="I9" s="747">
        <v>9</v>
      </c>
      <c r="J9" s="747">
        <v>10</v>
      </c>
      <c r="K9" s="747" t="s">
        <v>989</v>
      </c>
      <c r="L9" s="747">
        <v>12</v>
      </c>
      <c r="M9" s="747">
        <v>13</v>
      </c>
      <c r="N9" s="747" t="s">
        <v>990</v>
      </c>
      <c r="O9" s="747">
        <v>15</v>
      </c>
      <c r="P9" s="747">
        <v>16</v>
      </c>
      <c r="Q9" s="747" t="s">
        <v>991</v>
      </c>
      <c r="R9" s="747" t="s">
        <v>992</v>
      </c>
      <c r="S9" s="747">
        <v>3</v>
      </c>
      <c r="T9" s="747">
        <v>4</v>
      </c>
      <c r="U9" s="747">
        <v>5</v>
      </c>
      <c r="V9" s="747">
        <v>6</v>
      </c>
      <c r="W9" s="747" t="s">
        <v>988</v>
      </c>
      <c r="X9" s="747">
        <v>8</v>
      </c>
      <c r="Y9" s="747">
        <v>9</v>
      </c>
      <c r="Z9" s="747">
        <v>10</v>
      </c>
      <c r="AA9" s="747" t="s">
        <v>989</v>
      </c>
      <c r="AB9" s="747">
        <v>12</v>
      </c>
      <c r="AC9" s="747">
        <v>13</v>
      </c>
      <c r="AD9" s="747" t="s">
        <v>990</v>
      </c>
      <c r="AE9" s="747">
        <v>15</v>
      </c>
      <c r="AF9" s="747" t="s">
        <v>996</v>
      </c>
      <c r="AG9" s="747" t="s">
        <v>997</v>
      </c>
      <c r="AH9" s="747" t="s">
        <v>992</v>
      </c>
      <c r="AI9" s="747">
        <v>3</v>
      </c>
      <c r="AJ9" s="747">
        <v>4</v>
      </c>
      <c r="AK9" s="747">
        <v>5</v>
      </c>
      <c r="AL9" s="747">
        <v>6</v>
      </c>
      <c r="AM9" s="747" t="s">
        <v>988</v>
      </c>
      <c r="AN9" s="747">
        <v>8</v>
      </c>
      <c r="AO9" s="747">
        <v>9</v>
      </c>
      <c r="AP9" s="747">
        <v>10</v>
      </c>
      <c r="AQ9" s="747" t="s">
        <v>989</v>
      </c>
      <c r="AR9" s="747">
        <v>12</v>
      </c>
      <c r="AS9" s="747">
        <v>13</v>
      </c>
      <c r="AT9" s="747" t="s">
        <v>990</v>
      </c>
      <c r="AU9" s="747">
        <v>15</v>
      </c>
      <c r="AV9" s="747" t="s">
        <v>996</v>
      </c>
      <c r="AW9" s="747" t="s">
        <v>997</v>
      </c>
      <c r="AX9" s="747" t="s">
        <v>992</v>
      </c>
      <c r="AY9" s="747">
        <v>3</v>
      </c>
      <c r="AZ9" s="747">
        <v>4</v>
      </c>
      <c r="BA9" s="747">
        <v>5</v>
      </c>
      <c r="BB9" s="747">
        <v>6</v>
      </c>
      <c r="BC9" s="747" t="s">
        <v>988</v>
      </c>
      <c r="BD9" s="747">
        <v>8</v>
      </c>
      <c r="BE9" s="747">
        <v>9</v>
      </c>
      <c r="BF9" s="747">
        <v>10</v>
      </c>
      <c r="BG9" s="747" t="s">
        <v>989</v>
      </c>
      <c r="BH9" s="747">
        <v>12</v>
      </c>
      <c r="BI9" s="747">
        <v>13</v>
      </c>
      <c r="BJ9" s="747" t="s">
        <v>990</v>
      </c>
      <c r="BK9" s="747">
        <v>15</v>
      </c>
      <c r="BL9" s="747" t="s">
        <v>996</v>
      </c>
      <c r="BM9" s="747" t="s">
        <v>997</v>
      </c>
      <c r="BN9" s="747" t="s">
        <v>992</v>
      </c>
      <c r="BO9" s="747">
        <v>3</v>
      </c>
      <c r="BP9" s="747">
        <v>4</v>
      </c>
      <c r="BQ9" s="747">
        <v>5</v>
      </c>
      <c r="BR9" s="747">
        <v>6</v>
      </c>
      <c r="BS9" s="747" t="s">
        <v>988</v>
      </c>
      <c r="BT9" s="747">
        <v>8</v>
      </c>
      <c r="BU9" s="747">
        <v>9</v>
      </c>
      <c r="BV9" s="747">
        <v>10</v>
      </c>
      <c r="BW9" s="747" t="s">
        <v>989</v>
      </c>
      <c r="BX9" s="747">
        <v>12</v>
      </c>
      <c r="BY9" s="747">
        <v>13</v>
      </c>
      <c r="BZ9" s="747" t="s">
        <v>990</v>
      </c>
      <c r="CA9" s="747">
        <v>15</v>
      </c>
      <c r="CB9" s="747" t="s">
        <v>996</v>
      </c>
      <c r="CC9" s="747" t="s">
        <v>997</v>
      </c>
      <c r="CD9" s="747" t="s">
        <v>992</v>
      </c>
      <c r="CE9" s="747">
        <v>3</v>
      </c>
      <c r="CF9" s="747">
        <v>4</v>
      </c>
      <c r="CG9" s="747">
        <v>5</v>
      </c>
      <c r="CH9" s="747">
        <v>6</v>
      </c>
      <c r="CI9" s="747" t="s">
        <v>988</v>
      </c>
      <c r="CJ9" s="747">
        <v>8</v>
      </c>
      <c r="CK9" s="747">
        <v>9</v>
      </c>
      <c r="CL9" s="747">
        <v>10</v>
      </c>
      <c r="CM9" s="747" t="s">
        <v>989</v>
      </c>
      <c r="CN9" s="747">
        <v>12</v>
      </c>
      <c r="CO9" s="747">
        <v>13</v>
      </c>
      <c r="CP9" s="747" t="s">
        <v>990</v>
      </c>
      <c r="CQ9" s="747">
        <v>15</v>
      </c>
      <c r="CR9" s="747" t="s">
        <v>996</v>
      </c>
      <c r="CS9" s="747" t="s">
        <v>997</v>
      </c>
      <c r="CT9" s="747" t="s">
        <v>992</v>
      </c>
      <c r="CU9" s="747">
        <v>3</v>
      </c>
      <c r="CV9" s="747">
        <v>4</v>
      </c>
      <c r="CW9" s="747">
        <v>5</v>
      </c>
      <c r="CX9" s="747">
        <v>6</v>
      </c>
      <c r="CY9" s="747" t="s">
        <v>988</v>
      </c>
      <c r="CZ9" s="747">
        <v>8</v>
      </c>
      <c r="DA9" s="747">
        <v>9</v>
      </c>
      <c r="DB9" s="747">
        <v>10</v>
      </c>
      <c r="DC9" s="747" t="s">
        <v>989</v>
      </c>
      <c r="DD9" s="747">
        <v>12</v>
      </c>
      <c r="DE9" s="747">
        <v>13</v>
      </c>
      <c r="DF9" s="747" t="s">
        <v>990</v>
      </c>
      <c r="DG9" s="747">
        <v>15</v>
      </c>
      <c r="DH9" s="747" t="s">
        <v>996</v>
      </c>
      <c r="DI9" s="747" t="s">
        <v>997</v>
      </c>
      <c r="DJ9" s="747" t="s">
        <v>992</v>
      </c>
      <c r="DK9" s="747">
        <v>3</v>
      </c>
      <c r="DL9" s="747">
        <v>4</v>
      </c>
      <c r="DM9" s="747">
        <v>5</v>
      </c>
      <c r="DN9" s="747">
        <v>6</v>
      </c>
      <c r="DO9" s="747" t="s">
        <v>988</v>
      </c>
      <c r="DP9" s="747">
        <v>8</v>
      </c>
      <c r="DQ9" s="747">
        <v>9</v>
      </c>
      <c r="DR9" s="747">
        <v>10</v>
      </c>
      <c r="DS9" s="747" t="s">
        <v>989</v>
      </c>
      <c r="DT9" s="747">
        <v>12</v>
      </c>
      <c r="DU9" s="747">
        <v>13</v>
      </c>
      <c r="DV9" s="747" t="s">
        <v>990</v>
      </c>
      <c r="DW9" s="747">
        <v>15</v>
      </c>
      <c r="DX9" s="747" t="s">
        <v>996</v>
      </c>
      <c r="DY9" s="747" t="s">
        <v>997</v>
      </c>
      <c r="DZ9" s="747" t="s">
        <v>992</v>
      </c>
      <c r="EA9" s="747">
        <v>3</v>
      </c>
      <c r="EB9" s="747">
        <v>4</v>
      </c>
      <c r="EC9" s="747">
        <v>5</v>
      </c>
      <c r="ED9" s="747">
        <v>6</v>
      </c>
      <c r="EE9" s="747" t="s">
        <v>988</v>
      </c>
      <c r="EF9" s="747">
        <v>8</v>
      </c>
      <c r="EG9" s="747">
        <v>9</v>
      </c>
      <c r="EH9" s="747">
        <v>10</v>
      </c>
      <c r="EI9" s="747" t="s">
        <v>989</v>
      </c>
      <c r="EJ9" s="747">
        <v>12</v>
      </c>
      <c r="EK9" s="747">
        <v>13</v>
      </c>
      <c r="EL9" s="747" t="s">
        <v>990</v>
      </c>
      <c r="EM9" s="747">
        <v>15</v>
      </c>
      <c r="EN9" s="747" t="s">
        <v>996</v>
      </c>
      <c r="EO9" s="747" t="s">
        <v>997</v>
      </c>
      <c r="EP9" s="747" t="s">
        <v>992</v>
      </c>
      <c r="EQ9" s="747">
        <v>3</v>
      </c>
      <c r="ER9" s="747">
        <v>4</v>
      </c>
      <c r="ES9" s="747">
        <v>5</v>
      </c>
      <c r="ET9" s="747">
        <v>6</v>
      </c>
      <c r="EU9" s="747" t="s">
        <v>988</v>
      </c>
      <c r="EV9" s="747">
        <v>8</v>
      </c>
      <c r="EW9" s="747">
        <v>9</v>
      </c>
      <c r="EX9" s="747">
        <v>10</v>
      </c>
      <c r="EY9" s="747" t="s">
        <v>989</v>
      </c>
      <c r="EZ9" s="747">
        <v>12</v>
      </c>
      <c r="FA9" s="747">
        <v>13</v>
      </c>
      <c r="FB9" s="747" t="s">
        <v>990</v>
      </c>
      <c r="FC9" s="747">
        <v>15</v>
      </c>
      <c r="FD9" s="747" t="s">
        <v>996</v>
      </c>
      <c r="FE9" s="747" t="s">
        <v>997</v>
      </c>
      <c r="FF9" s="747" t="s">
        <v>992</v>
      </c>
      <c r="FG9" s="747">
        <v>3</v>
      </c>
      <c r="FH9" s="747">
        <v>4</v>
      </c>
      <c r="FI9" s="747">
        <v>5</v>
      </c>
      <c r="FJ9" s="747">
        <v>6</v>
      </c>
      <c r="FK9" s="747" t="s">
        <v>988</v>
      </c>
      <c r="FL9" s="747">
        <v>8</v>
      </c>
      <c r="FM9" s="747">
        <v>9</v>
      </c>
      <c r="FN9" s="747">
        <v>10</v>
      </c>
      <c r="FO9" s="747" t="s">
        <v>989</v>
      </c>
      <c r="FP9" s="747">
        <v>12</v>
      </c>
      <c r="FQ9" s="747">
        <v>13</v>
      </c>
      <c r="FR9" s="747" t="s">
        <v>990</v>
      </c>
      <c r="FS9" s="747">
        <v>15</v>
      </c>
      <c r="FT9" s="747" t="s">
        <v>996</v>
      </c>
      <c r="FU9" s="747" t="s">
        <v>997</v>
      </c>
      <c r="FV9" s="747" t="s">
        <v>992</v>
      </c>
      <c r="FW9" s="747">
        <v>3</v>
      </c>
      <c r="FX9" s="747">
        <v>4</v>
      </c>
      <c r="FY9" s="747">
        <v>5</v>
      </c>
      <c r="FZ9" s="747">
        <v>6</v>
      </c>
      <c r="GA9" s="747" t="s">
        <v>988</v>
      </c>
      <c r="GB9" s="747">
        <v>8</v>
      </c>
      <c r="GC9" s="747">
        <v>9</v>
      </c>
      <c r="GD9" s="747">
        <v>10</v>
      </c>
      <c r="GE9" s="747" t="s">
        <v>989</v>
      </c>
      <c r="GF9" s="747">
        <v>12</v>
      </c>
      <c r="GG9" s="747">
        <v>13</v>
      </c>
      <c r="GH9" s="747" t="s">
        <v>990</v>
      </c>
      <c r="GI9" s="747">
        <v>15</v>
      </c>
      <c r="GJ9" s="747" t="s">
        <v>996</v>
      </c>
      <c r="GK9" s="747" t="s">
        <v>997</v>
      </c>
      <c r="GL9" s="747" t="s">
        <v>992</v>
      </c>
      <c r="GM9" s="747">
        <v>3</v>
      </c>
      <c r="GN9" s="747">
        <v>4</v>
      </c>
      <c r="GO9" s="747">
        <v>5</v>
      </c>
      <c r="GP9" s="747">
        <v>6</v>
      </c>
      <c r="GQ9" s="747" t="s">
        <v>988</v>
      </c>
      <c r="GR9" s="747">
        <v>8</v>
      </c>
      <c r="GS9" s="747">
        <v>9</v>
      </c>
      <c r="GT9" s="747">
        <v>10</v>
      </c>
      <c r="GU9" s="747" t="s">
        <v>989</v>
      </c>
      <c r="GV9" s="747">
        <v>12</v>
      </c>
      <c r="GW9" s="747">
        <v>13</v>
      </c>
      <c r="GX9" s="747" t="s">
        <v>990</v>
      </c>
      <c r="GY9" s="747">
        <v>15</v>
      </c>
      <c r="GZ9" s="747" t="s">
        <v>996</v>
      </c>
      <c r="HA9" s="747" t="s">
        <v>997</v>
      </c>
      <c r="HB9" s="747" t="s">
        <v>992</v>
      </c>
    </row>
    <row r="10" spans="1:210" ht="46.5" customHeight="1" x14ac:dyDescent="0.2">
      <c r="A10" s="418" t="s">
        <v>281</v>
      </c>
      <c r="B10" s="419" t="s">
        <v>623</v>
      </c>
      <c r="C10" s="756">
        <f>SUM(C11:C13)</f>
        <v>37691</v>
      </c>
      <c r="D10" s="756">
        <f>SUM(D11:D13)</f>
        <v>32706</v>
      </c>
      <c r="E10" s="756">
        <f>SUM(E11:E13)</f>
        <v>35366</v>
      </c>
      <c r="F10" s="756">
        <f t="shared" ref="F10:BQ10" si="0">SUM(F11:F13)</f>
        <v>28931</v>
      </c>
      <c r="G10" s="756">
        <f t="shared" si="0"/>
        <v>54571</v>
      </c>
      <c r="H10" s="756">
        <f t="shared" si="0"/>
        <v>11723</v>
      </c>
      <c r="I10" s="756">
        <f t="shared" si="0"/>
        <v>30269</v>
      </c>
      <c r="J10" s="756">
        <f t="shared" si="0"/>
        <v>12579</v>
      </c>
      <c r="K10" s="756">
        <f t="shared" si="0"/>
        <v>25640</v>
      </c>
      <c r="L10" s="756">
        <f t="shared" si="0"/>
        <v>36123</v>
      </c>
      <c r="M10" s="756">
        <f t="shared" si="0"/>
        <v>31129</v>
      </c>
      <c r="N10" s="756">
        <f t="shared" si="0"/>
        <v>46334</v>
      </c>
      <c r="O10" s="756">
        <f t="shared" si="0"/>
        <v>8230</v>
      </c>
      <c r="P10" s="756">
        <f t="shared" si="0"/>
        <v>26002</v>
      </c>
      <c r="Q10" s="756">
        <f t="shared" si="0"/>
        <v>12102</v>
      </c>
      <c r="R10" s="756">
        <f t="shared" si="0"/>
        <v>15205</v>
      </c>
      <c r="S10" s="756">
        <f t="shared" si="0"/>
        <v>4896</v>
      </c>
      <c r="T10" s="756">
        <f t="shared" si="0"/>
        <v>5497</v>
      </c>
      <c r="U10" s="756">
        <f t="shared" si="0"/>
        <v>5935</v>
      </c>
      <c r="V10" s="756">
        <f t="shared" si="0"/>
        <v>4135</v>
      </c>
      <c r="W10" s="756">
        <f t="shared" si="0"/>
        <v>6564</v>
      </c>
      <c r="X10" s="756">
        <f t="shared" si="0"/>
        <v>1787</v>
      </c>
      <c r="Y10" s="756">
        <f t="shared" si="0"/>
        <v>2907</v>
      </c>
      <c r="Z10" s="756">
        <f t="shared" si="0"/>
        <v>1870</v>
      </c>
      <c r="AA10" s="756">
        <f t="shared" si="0"/>
        <v>2429</v>
      </c>
      <c r="AB10" s="756">
        <f t="shared" si="0"/>
        <v>5117</v>
      </c>
      <c r="AC10" s="756">
        <f t="shared" si="0"/>
        <v>4640</v>
      </c>
      <c r="AD10" s="756">
        <f t="shared" si="0"/>
        <v>6416</v>
      </c>
      <c r="AE10" s="756">
        <f t="shared" si="0"/>
        <v>1787</v>
      </c>
      <c r="AF10" s="756">
        <f t="shared" si="0"/>
        <v>2489</v>
      </c>
      <c r="AG10" s="756">
        <f t="shared" si="0"/>
        <v>2140</v>
      </c>
      <c r="AH10" s="756">
        <f t="shared" si="0"/>
        <v>1776</v>
      </c>
      <c r="AI10" s="756">
        <f t="shared" si="0"/>
        <v>4120</v>
      </c>
      <c r="AJ10" s="756">
        <f t="shared" si="0"/>
        <v>1829</v>
      </c>
      <c r="AK10" s="756">
        <f t="shared" si="0"/>
        <v>2005</v>
      </c>
      <c r="AL10" s="756">
        <f t="shared" si="0"/>
        <v>1880</v>
      </c>
      <c r="AM10" s="756">
        <f t="shared" si="0"/>
        <v>2748</v>
      </c>
      <c r="AN10" s="756">
        <f t="shared" si="0"/>
        <v>1011</v>
      </c>
      <c r="AO10" s="756">
        <f t="shared" si="0"/>
        <v>1682</v>
      </c>
      <c r="AP10" s="756">
        <f t="shared" si="0"/>
        <v>55</v>
      </c>
      <c r="AQ10" s="756">
        <f t="shared" si="0"/>
        <v>868</v>
      </c>
      <c r="AR10" s="756">
        <f t="shared" si="0"/>
        <v>2736</v>
      </c>
      <c r="AS10" s="756">
        <f t="shared" si="0"/>
        <v>1812</v>
      </c>
      <c r="AT10" s="756">
        <f t="shared" si="0"/>
        <v>2162</v>
      </c>
      <c r="AU10" s="756">
        <f t="shared" si="0"/>
        <v>1011</v>
      </c>
      <c r="AV10" s="756">
        <f t="shared" si="0"/>
        <v>898</v>
      </c>
      <c r="AW10" s="756">
        <f t="shared" si="0"/>
        <v>253</v>
      </c>
      <c r="AX10" s="756">
        <f t="shared" si="0"/>
        <v>350</v>
      </c>
      <c r="AY10" s="756">
        <f t="shared" si="0"/>
        <v>4297</v>
      </c>
      <c r="AZ10" s="756">
        <f t="shared" si="0"/>
        <v>4415</v>
      </c>
      <c r="BA10" s="756">
        <f t="shared" si="0"/>
        <v>5098</v>
      </c>
      <c r="BB10" s="756">
        <f t="shared" si="0"/>
        <v>3886</v>
      </c>
      <c r="BC10" s="756">
        <f t="shared" si="0"/>
        <v>9297</v>
      </c>
      <c r="BD10" s="756">
        <f t="shared" si="0"/>
        <v>1720</v>
      </c>
      <c r="BE10" s="756">
        <f t="shared" si="0"/>
        <v>7366</v>
      </c>
      <c r="BF10" s="756">
        <f t="shared" si="0"/>
        <v>211</v>
      </c>
      <c r="BG10" s="756">
        <f t="shared" si="0"/>
        <v>5411</v>
      </c>
      <c r="BH10" s="756">
        <f t="shared" si="0"/>
        <v>4924</v>
      </c>
      <c r="BI10" s="756">
        <f t="shared" si="0"/>
        <v>4746</v>
      </c>
      <c r="BJ10" s="756">
        <f t="shared" si="0"/>
        <v>7131</v>
      </c>
      <c r="BK10" s="756">
        <f t="shared" si="0"/>
        <v>1720</v>
      </c>
      <c r="BL10" s="756">
        <f t="shared" si="0"/>
        <v>5411</v>
      </c>
      <c r="BM10" s="756">
        <f t="shared" si="0"/>
        <v>0</v>
      </c>
      <c r="BN10" s="756">
        <f t="shared" si="0"/>
        <v>2385</v>
      </c>
      <c r="BO10" s="756">
        <f t="shared" si="0"/>
        <v>3047</v>
      </c>
      <c r="BP10" s="756">
        <f t="shared" si="0"/>
        <v>3380</v>
      </c>
      <c r="BQ10" s="756">
        <f t="shared" si="0"/>
        <v>3176</v>
      </c>
      <c r="BR10" s="756">
        <f t="shared" ref="BR10:EC10" si="1">SUM(BR11:BR13)</f>
        <v>3698</v>
      </c>
      <c r="BS10" s="756">
        <f t="shared" si="1"/>
        <v>5149</v>
      </c>
      <c r="BT10" s="756">
        <f t="shared" si="1"/>
        <v>4049</v>
      </c>
      <c r="BU10" s="756">
        <f t="shared" si="1"/>
        <v>909</v>
      </c>
      <c r="BV10" s="756">
        <f t="shared" si="1"/>
        <v>191</v>
      </c>
      <c r="BW10" s="756">
        <f t="shared" si="1"/>
        <v>1451</v>
      </c>
      <c r="BX10" s="756">
        <f t="shared" si="1"/>
        <v>3174</v>
      </c>
      <c r="BY10" s="756">
        <f t="shared" si="1"/>
        <v>3738</v>
      </c>
      <c r="BZ10" s="756">
        <f t="shared" si="1"/>
        <v>4003</v>
      </c>
      <c r="CA10" s="756">
        <f t="shared" si="1"/>
        <v>556</v>
      </c>
      <c r="CB10" s="756">
        <f t="shared" si="1"/>
        <v>1451</v>
      </c>
      <c r="CC10" s="756">
        <f t="shared" si="1"/>
        <v>1996</v>
      </c>
      <c r="CD10" s="756">
        <f t="shared" si="1"/>
        <v>265</v>
      </c>
      <c r="CE10" s="756">
        <f t="shared" si="1"/>
        <v>5035</v>
      </c>
      <c r="CF10" s="756">
        <f t="shared" si="1"/>
        <v>3340</v>
      </c>
      <c r="CG10" s="756">
        <f t="shared" si="1"/>
        <v>4677</v>
      </c>
      <c r="CH10" s="756">
        <f t="shared" si="1"/>
        <v>3378</v>
      </c>
      <c r="CI10" s="756">
        <f t="shared" si="1"/>
        <v>4577</v>
      </c>
      <c r="CJ10" s="756">
        <f t="shared" si="1"/>
        <v>492</v>
      </c>
      <c r="CK10" s="756">
        <f t="shared" si="1"/>
        <v>2793</v>
      </c>
      <c r="CL10" s="756">
        <f t="shared" si="1"/>
        <v>1292</v>
      </c>
      <c r="CM10" s="756">
        <f t="shared" si="1"/>
        <v>1199</v>
      </c>
      <c r="CN10" s="756">
        <f t="shared" si="1"/>
        <v>4958</v>
      </c>
      <c r="CO10" s="756">
        <f t="shared" si="1"/>
        <v>3754</v>
      </c>
      <c r="CP10" s="756">
        <f t="shared" si="1"/>
        <v>4644</v>
      </c>
      <c r="CQ10" s="756">
        <f t="shared" si="1"/>
        <v>492</v>
      </c>
      <c r="CR10" s="756">
        <f t="shared" si="1"/>
        <v>1199</v>
      </c>
      <c r="CS10" s="756">
        <f t="shared" si="1"/>
        <v>2953</v>
      </c>
      <c r="CT10" s="756">
        <f t="shared" si="1"/>
        <v>890</v>
      </c>
      <c r="CU10" s="756">
        <f t="shared" si="1"/>
        <v>790</v>
      </c>
      <c r="CV10" s="756">
        <f t="shared" si="1"/>
        <v>864</v>
      </c>
      <c r="CW10" s="756">
        <f t="shared" si="1"/>
        <v>2016</v>
      </c>
      <c r="CX10" s="756">
        <f t="shared" si="1"/>
        <v>870</v>
      </c>
      <c r="CY10" s="756">
        <f t="shared" si="1"/>
        <v>6526</v>
      </c>
      <c r="CZ10" s="756">
        <f t="shared" si="1"/>
        <v>97</v>
      </c>
      <c r="DA10" s="756">
        <f t="shared" si="1"/>
        <v>6330</v>
      </c>
      <c r="DB10" s="756">
        <f t="shared" si="1"/>
        <v>99</v>
      </c>
      <c r="DC10" s="756">
        <f t="shared" si="1"/>
        <v>5656</v>
      </c>
      <c r="DD10" s="756">
        <f t="shared" si="1"/>
        <v>2038</v>
      </c>
      <c r="DE10" s="756">
        <f t="shared" si="1"/>
        <v>900</v>
      </c>
      <c r="DF10" s="756">
        <f t="shared" si="1"/>
        <v>5753</v>
      </c>
      <c r="DG10" s="756">
        <f t="shared" si="1"/>
        <v>97</v>
      </c>
      <c r="DH10" s="756">
        <f t="shared" si="1"/>
        <v>5656</v>
      </c>
      <c r="DI10" s="756">
        <f t="shared" si="1"/>
        <v>0</v>
      </c>
      <c r="DJ10" s="756">
        <f t="shared" si="1"/>
        <v>4853</v>
      </c>
      <c r="DK10" s="756">
        <f t="shared" si="1"/>
        <v>5730</v>
      </c>
      <c r="DL10" s="756">
        <f t="shared" si="1"/>
        <v>4633</v>
      </c>
      <c r="DM10" s="756">
        <f t="shared" si="1"/>
        <v>4484</v>
      </c>
      <c r="DN10" s="756">
        <f t="shared" si="1"/>
        <v>3480</v>
      </c>
      <c r="DO10" s="756">
        <f t="shared" si="1"/>
        <v>5269</v>
      </c>
      <c r="DP10" s="756">
        <f t="shared" si="1"/>
        <v>551</v>
      </c>
      <c r="DQ10" s="756">
        <f t="shared" si="1"/>
        <v>1675</v>
      </c>
      <c r="DR10" s="756">
        <f t="shared" si="1"/>
        <v>3043</v>
      </c>
      <c r="DS10" s="756">
        <f t="shared" si="1"/>
        <v>1789</v>
      </c>
      <c r="DT10" s="756">
        <f t="shared" si="1"/>
        <v>4585</v>
      </c>
      <c r="DU10" s="756">
        <f t="shared" si="1"/>
        <v>3414</v>
      </c>
      <c r="DV10" s="756">
        <f t="shared" si="1"/>
        <v>3543</v>
      </c>
      <c r="DW10" s="756">
        <f t="shared" si="1"/>
        <v>551</v>
      </c>
      <c r="DX10" s="756">
        <f t="shared" si="1"/>
        <v>1789</v>
      </c>
      <c r="DY10" s="756">
        <f t="shared" si="1"/>
        <v>1203</v>
      </c>
      <c r="DZ10" s="756">
        <f t="shared" si="1"/>
        <v>129</v>
      </c>
      <c r="EA10" s="756">
        <f t="shared" si="1"/>
        <v>2541</v>
      </c>
      <c r="EB10" s="756">
        <f t="shared" si="1"/>
        <v>2096</v>
      </c>
      <c r="EC10" s="756">
        <f t="shared" si="1"/>
        <v>2323</v>
      </c>
      <c r="ED10" s="756">
        <f t="shared" ref="ED10:GO10" si="2">SUM(ED11:ED13)</f>
        <v>1946</v>
      </c>
      <c r="EE10" s="756">
        <f t="shared" si="2"/>
        <v>2322</v>
      </c>
      <c r="EF10" s="756">
        <f t="shared" si="2"/>
        <v>312</v>
      </c>
      <c r="EG10" s="756">
        <f t="shared" si="2"/>
        <v>90</v>
      </c>
      <c r="EH10" s="756">
        <f t="shared" si="2"/>
        <v>1920</v>
      </c>
      <c r="EI10" s="756">
        <f t="shared" si="2"/>
        <v>376</v>
      </c>
      <c r="EJ10" s="756">
        <f t="shared" si="2"/>
        <v>2323</v>
      </c>
      <c r="EK10" s="756">
        <f t="shared" si="2"/>
        <v>1955</v>
      </c>
      <c r="EL10" s="756">
        <f t="shared" si="2"/>
        <v>2329</v>
      </c>
      <c r="EM10" s="756">
        <f t="shared" si="2"/>
        <v>312</v>
      </c>
      <c r="EN10" s="756">
        <f t="shared" si="2"/>
        <v>376</v>
      </c>
      <c r="EO10" s="756">
        <f t="shared" si="2"/>
        <v>1641</v>
      </c>
      <c r="EP10" s="756">
        <f t="shared" si="2"/>
        <v>374</v>
      </c>
      <c r="EQ10" s="756">
        <f t="shared" si="2"/>
        <v>2268</v>
      </c>
      <c r="ER10" s="756">
        <f t="shared" si="2"/>
        <v>2294</v>
      </c>
      <c r="ES10" s="756">
        <f t="shared" si="2"/>
        <v>1318</v>
      </c>
      <c r="ET10" s="756">
        <f t="shared" si="2"/>
        <v>1461</v>
      </c>
      <c r="EU10" s="756">
        <f t="shared" si="2"/>
        <v>2180</v>
      </c>
      <c r="EV10" s="756">
        <f t="shared" si="2"/>
        <v>388</v>
      </c>
      <c r="EW10" s="756">
        <f t="shared" si="2"/>
        <v>1318</v>
      </c>
      <c r="EX10" s="756">
        <f t="shared" si="2"/>
        <v>474</v>
      </c>
      <c r="EY10" s="756">
        <f t="shared" si="2"/>
        <v>719</v>
      </c>
      <c r="EZ10" s="756">
        <f t="shared" si="2"/>
        <v>1339</v>
      </c>
      <c r="FA10" s="756">
        <f t="shared" si="2"/>
        <v>1513</v>
      </c>
      <c r="FB10" s="756">
        <f>SUM(FB11:FB13)</f>
        <v>1635</v>
      </c>
      <c r="FC10" s="756">
        <f t="shared" si="2"/>
        <v>388</v>
      </c>
      <c r="FD10" s="756">
        <f t="shared" si="2"/>
        <v>960</v>
      </c>
      <c r="FE10" s="756">
        <f t="shared" si="2"/>
        <v>287</v>
      </c>
      <c r="FF10" s="756">
        <f t="shared" si="2"/>
        <v>122</v>
      </c>
      <c r="FG10" s="756">
        <f t="shared" si="2"/>
        <v>1983</v>
      </c>
      <c r="FH10" s="756">
        <f t="shared" si="2"/>
        <v>2529</v>
      </c>
      <c r="FI10" s="756">
        <f t="shared" si="2"/>
        <v>1706</v>
      </c>
      <c r="FJ10" s="756">
        <f t="shared" si="2"/>
        <v>2213</v>
      </c>
      <c r="FK10" s="756">
        <f t="shared" si="2"/>
        <v>4026</v>
      </c>
      <c r="FL10" s="756">
        <f t="shared" si="2"/>
        <v>450</v>
      </c>
      <c r="FM10" s="756">
        <f t="shared" si="2"/>
        <v>996</v>
      </c>
      <c r="FN10" s="756">
        <f t="shared" si="2"/>
        <v>2580</v>
      </c>
      <c r="FO10" s="756">
        <f t="shared" si="2"/>
        <v>1813</v>
      </c>
      <c r="FP10" s="756">
        <f t="shared" si="2"/>
        <v>1706</v>
      </c>
      <c r="FQ10" s="756">
        <f t="shared" si="2"/>
        <v>2238</v>
      </c>
      <c r="FR10" s="756">
        <f t="shared" si="2"/>
        <v>3117</v>
      </c>
      <c r="FS10" s="756">
        <f t="shared" si="2"/>
        <v>450</v>
      </c>
      <c r="FT10" s="756">
        <f t="shared" si="2"/>
        <v>1823</v>
      </c>
      <c r="FU10" s="756">
        <f t="shared" si="2"/>
        <v>844</v>
      </c>
      <c r="FV10" s="756">
        <f t="shared" si="2"/>
        <v>879</v>
      </c>
      <c r="FW10" s="756">
        <f t="shared" si="2"/>
        <v>1345</v>
      </c>
      <c r="FX10" s="756">
        <f t="shared" si="2"/>
        <v>1109</v>
      </c>
      <c r="FY10" s="756">
        <f t="shared" si="2"/>
        <v>1128</v>
      </c>
      <c r="FZ10" s="756">
        <f t="shared" si="2"/>
        <v>957</v>
      </c>
      <c r="GA10" s="756">
        <f t="shared" si="2"/>
        <v>2304</v>
      </c>
      <c r="GB10" s="756">
        <f t="shared" si="2"/>
        <v>490</v>
      </c>
      <c r="GC10" s="756">
        <f t="shared" si="2"/>
        <v>1003</v>
      </c>
      <c r="GD10" s="756">
        <f t="shared" si="2"/>
        <v>811</v>
      </c>
      <c r="GE10" s="756">
        <f t="shared" si="2"/>
        <v>1347</v>
      </c>
      <c r="GF10" s="756">
        <f t="shared" si="2"/>
        <v>1258</v>
      </c>
      <c r="GG10" s="756">
        <f t="shared" si="2"/>
        <v>1105</v>
      </c>
      <c r="GH10" s="756">
        <f t="shared" si="2"/>
        <v>2563</v>
      </c>
      <c r="GI10" s="756">
        <f t="shared" si="2"/>
        <v>490</v>
      </c>
      <c r="GJ10" s="756">
        <f t="shared" si="2"/>
        <v>1347</v>
      </c>
      <c r="GK10" s="756">
        <f t="shared" si="2"/>
        <v>726</v>
      </c>
      <c r="GL10" s="756">
        <f t="shared" si="2"/>
        <v>1458</v>
      </c>
      <c r="GM10" s="756">
        <f t="shared" si="2"/>
        <v>1639</v>
      </c>
      <c r="GN10" s="756">
        <f t="shared" si="2"/>
        <v>720</v>
      </c>
      <c r="GO10" s="756">
        <f t="shared" si="2"/>
        <v>1500</v>
      </c>
      <c r="GP10" s="756">
        <f t="shared" ref="GP10:HB10" si="3">SUM(GP11:GP13)</f>
        <v>1027</v>
      </c>
      <c r="GQ10" s="756">
        <f t="shared" si="3"/>
        <v>3609</v>
      </c>
      <c r="GR10" s="756">
        <f t="shared" si="3"/>
        <v>376</v>
      </c>
      <c r="GS10" s="756">
        <f t="shared" si="3"/>
        <v>3200</v>
      </c>
      <c r="GT10" s="756">
        <f t="shared" si="3"/>
        <v>33</v>
      </c>
      <c r="GU10" s="756">
        <f t="shared" si="3"/>
        <v>2582</v>
      </c>
      <c r="GV10" s="756">
        <f t="shared" si="3"/>
        <v>1965</v>
      </c>
      <c r="GW10" s="756">
        <f t="shared" si="3"/>
        <v>1314</v>
      </c>
      <c r="GX10" s="756">
        <f t="shared" si="3"/>
        <v>3038</v>
      </c>
      <c r="GY10" s="756">
        <f t="shared" si="3"/>
        <v>376</v>
      </c>
      <c r="GZ10" s="756">
        <f t="shared" si="3"/>
        <v>2603</v>
      </c>
      <c r="HA10" s="756">
        <f t="shared" si="3"/>
        <v>59</v>
      </c>
      <c r="HB10" s="756">
        <f t="shared" si="3"/>
        <v>1724</v>
      </c>
    </row>
    <row r="11" spans="1:210" ht="31.5" x14ac:dyDescent="0.2">
      <c r="A11" s="420">
        <v>1</v>
      </c>
      <c r="B11" s="421" t="s">
        <v>583</v>
      </c>
      <c r="C11" s="757">
        <f>SUM(S11,AI11,AY11,BO11,CE11,CU11,DK11,EA11,EQ11,FG11,FW11,GM11)</f>
        <v>29668</v>
      </c>
      <c r="D11" s="757">
        <f t="shared" ref="D11:R13" si="4">SUM(T11,AJ11,AZ11,BP11,CF11,CV11,DL11,EB11,ER11,FH11,FX11,GN11)</f>
        <v>24421</v>
      </c>
      <c r="E11" s="757">
        <f t="shared" si="4"/>
        <v>28497</v>
      </c>
      <c r="F11" s="757">
        <f t="shared" si="4"/>
        <v>21482</v>
      </c>
      <c r="G11" s="757">
        <f t="shared" si="4"/>
        <v>38328</v>
      </c>
      <c r="H11" s="757">
        <f t="shared" si="4"/>
        <v>3493</v>
      </c>
      <c r="I11" s="757">
        <f t="shared" si="4"/>
        <v>23627</v>
      </c>
      <c r="J11" s="757">
        <f t="shared" si="4"/>
        <v>11208</v>
      </c>
      <c r="K11" s="757">
        <f t="shared" si="4"/>
        <v>16846</v>
      </c>
      <c r="L11" s="757">
        <f t="shared" si="4"/>
        <v>29666</v>
      </c>
      <c r="M11" s="757">
        <f t="shared" si="4"/>
        <v>21681</v>
      </c>
      <c r="N11" s="757">
        <f t="shared" si="4"/>
        <v>28207</v>
      </c>
      <c r="O11" s="757">
        <f t="shared" si="4"/>
        <v>0</v>
      </c>
      <c r="P11" s="757">
        <f t="shared" si="4"/>
        <v>16846</v>
      </c>
      <c r="Q11" s="757">
        <f t="shared" si="4"/>
        <v>11361</v>
      </c>
      <c r="R11" s="757">
        <f t="shared" si="4"/>
        <v>6526</v>
      </c>
      <c r="S11" s="758">
        <v>3574</v>
      </c>
      <c r="T11" s="758">
        <v>3624</v>
      </c>
      <c r="U11" s="759">
        <v>4070</v>
      </c>
      <c r="V11" s="759">
        <v>3050</v>
      </c>
      <c r="W11" s="759">
        <f>X11+Y11+Z11</f>
        <v>4032</v>
      </c>
      <c r="X11" s="759"/>
      <c r="Y11" s="759">
        <v>2239</v>
      </c>
      <c r="Z11" s="759">
        <v>1793</v>
      </c>
      <c r="AA11" s="759">
        <f>W11-V11</f>
        <v>982</v>
      </c>
      <c r="AB11" s="759">
        <v>3946</v>
      </c>
      <c r="AC11" s="759">
        <v>2980</v>
      </c>
      <c r="AD11" s="759">
        <f>AE11+AF11+AG11</f>
        <v>2980</v>
      </c>
      <c r="AE11" s="759"/>
      <c r="AF11" s="759">
        <f>IF(AA11&lt;0,0,AA11)</f>
        <v>982</v>
      </c>
      <c r="AG11" s="759">
        <f>IF((AC11-AE11-AF11)&lt;0,0,(AC11-AE11-AF11))</f>
        <v>1998</v>
      </c>
      <c r="AH11" s="759">
        <f>+AD11-AC11</f>
        <v>0</v>
      </c>
      <c r="AI11" s="759">
        <v>2610</v>
      </c>
      <c r="AJ11" s="759">
        <v>958</v>
      </c>
      <c r="AK11" s="759">
        <v>1199</v>
      </c>
      <c r="AL11" s="759">
        <v>839</v>
      </c>
      <c r="AM11" s="759">
        <f>AN11+AO11+AP11</f>
        <v>1369</v>
      </c>
      <c r="AN11" s="759"/>
      <c r="AO11" s="759">
        <v>1314</v>
      </c>
      <c r="AP11" s="759">
        <v>55</v>
      </c>
      <c r="AQ11" s="759">
        <f>AM11-AL11</f>
        <v>530</v>
      </c>
      <c r="AR11" s="759">
        <v>1930</v>
      </c>
      <c r="AS11" s="759">
        <v>735</v>
      </c>
      <c r="AT11" s="759">
        <f>+AU11+AV11+AW11</f>
        <v>735</v>
      </c>
      <c r="AU11" s="759"/>
      <c r="AV11" s="759">
        <f>IF(AQ11&lt;0,0,AQ11)</f>
        <v>530</v>
      </c>
      <c r="AW11" s="759">
        <f>IF((AS11-AU11-AV11)&lt;0,0,(AS11-AU11-AV11))</f>
        <v>205</v>
      </c>
      <c r="AX11" s="759">
        <f>+AT11-AS11</f>
        <v>0</v>
      </c>
      <c r="AY11" s="759">
        <v>2378</v>
      </c>
      <c r="AZ11" s="759">
        <v>2382</v>
      </c>
      <c r="BA11" s="758">
        <v>3430</v>
      </c>
      <c r="BB11" s="758">
        <v>2750</v>
      </c>
      <c r="BC11" s="758">
        <f t="shared" ref="BC11:BC17" si="5">BD11+BE11+BF11</f>
        <v>6696</v>
      </c>
      <c r="BD11" s="758"/>
      <c r="BE11" s="758">
        <v>6696</v>
      </c>
      <c r="BF11" s="758"/>
      <c r="BG11" s="758">
        <f>BC11-BB11</f>
        <v>3946</v>
      </c>
      <c r="BH11" s="758">
        <v>3430</v>
      </c>
      <c r="BI11" s="758">
        <v>2750</v>
      </c>
      <c r="BJ11" s="758">
        <f>+BK11+BL11+BM11</f>
        <v>3946</v>
      </c>
      <c r="BK11" s="758"/>
      <c r="BL11" s="759">
        <f>IF(BG11&lt;0,0,BG11)</f>
        <v>3946</v>
      </c>
      <c r="BM11" s="759">
        <f>IF((BI11-BK11-BL11)&lt;0,0,(BI11-BK11-BL11))</f>
        <v>0</v>
      </c>
      <c r="BN11" s="758">
        <f>+BJ11-BI11</f>
        <v>1196</v>
      </c>
      <c r="BO11" s="758">
        <v>2605</v>
      </c>
      <c r="BP11" s="758">
        <v>2845</v>
      </c>
      <c r="BQ11" s="759">
        <v>2605</v>
      </c>
      <c r="BR11" s="759">
        <v>2845</v>
      </c>
      <c r="BS11" s="759">
        <f>BT11+BU11+BV11</f>
        <v>3710</v>
      </c>
      <c r="BT11" s="759">
        <v>3493</v>
      </c>
      <c r="BU11" s="759">
        <v>217</v>
      </c>
      <c r="BV11" s="759"/>
      <c r="BW11" s="759">
        <f>+BS11-BR11</f>
        <v>865</v>
      </c>
      <c r="BX11" s="759">
        <v>2605</v>
      </c>
      <c r="BY11" s="759">
        <v>2845</v>
      </c>
      <c r="BZ11" s="759">
        <f>SUM(CA11:CC11)</f>
        <v>2845</v>
      </c>
      <c r="CA11" s="759"/>
      <c r="CB11" s="759">
        <f>IF(BW11&lt;0,0,BW11)</f>
        <v>865</v>
      </c>
      <c r="CC11" s="759">
        <f>IF((BY11-CA11-CB11)&lt;0,0,(BY11-CA11-CB11))</f>
        <v>1980</v>
      </c>
      <c r="CD11" s="759">
        <f>+BZ11-BY11</f>
        <v>0</v>
      </c>
      <c r="CE11" s="759">
        <v>4340</v>
      </c>
      <c r="CF11" s="759">
        <v>2929</v>
      </c>
      <c r="CG11" s="759">
        <v>4340</v>
      </c>
      <c r="CH11" s="759">
        <v>2930</v>
      </c>
      <c r="CI11" s="759">
        <f>CJ11+CK11+CL11</f>
        <v>2930</v>
      </c>
      <c r="CJ11" s="759"/>
      <c r="CK11" s="759">
        <v>1665</v>
      </c>
      <c r="CL11" s="759">
        <v>1265</v>
      </c>
      <c r="CM11" s="759">
        <f>CI11-CH11</f>
        <v>0</v>
      </c>
      <c r="CN11" s="759">
        <v>4340</v>
      </c>
      <c r="CO11" s="759">
        <v>2930</v>
      </c>
      <c r="CP11" s="759">
        <f>+CQ11+CR11+CS11</f>
        <v>2930</v>
      </c>
      <c r="CQ11" s="759"/>
      <c r="CR11" s="759">
        <f>IF(CM11&lt;0,0,CM11)</f>
        <v>0</v>
      </c>
      <c r="CS11" s="759">
        <f>IF((CO11-CQ11-CR11)&lt;0,0,(CO11-CQ11-CR11))</f>
        <v>2930</v>
      </c>
      <c r="CT11" s="759">
        <f>+CP11-CO11</f>
        <v>0</v>
      </c>
      <c r="CU11" s="759">
        <v>737</v>
      </c>
      <c r="CV11" s="759">
        <v>808</v>
      </c>
      <c r="CW11" s="759">
        <v>1966</v>
      </c>
      <c r="CX11" s="759">
        <v>810</v>
      </c>
      <c r="CY11" s="759">
        <f>CZ11+DA11+DB11</f>
        <v>6330</v>
      </c>
      <c r="CZ11" s="759"/>
      <c r="DA11" s="759">
        <v>6330</v>
      </c>
      <c r="DB11" s="759"/>
      <c r="DC11" s="759">
        <f>CY11-CX11</f>
        <v>5520</v>
      </c>
      <c r="DD11" s="759">
        <v>1966</v>
      </c>
      <c r="DE11" s="759">
        <v>810</v>
      </c>
      <c r="DF11" s="759">
        <f>SUM(DG11:DI11)</f>
        <v>5520</v>
      </c>
      <c r="DG11" s="759"/>
      <c r="DH11" s="759">
        <f>IF(DC11&lt;0,0,DC11)</f>
        <v>5520</v>
      </c>
      <c r="DI11" s="759">
        <f>IF((DE11-DG11-DH11)&lt;0,0,(DE11-DG11-DH11))</f>
        <v>0</v>
      </c>
      <c r="DJ11" s="759">
        <f>+DF11-DE11</f>
        <v>4710</v>
      </c>
      <c r="DK11" s="759">
        <v>4748</v>
      </c>
      <c r="DL11" s="759">
        <v>3649</v>
      </c>
      <c r="DM11" s="759">
        <v>3906</v>
      </c>
      <c r="DN11" s="759">
        <v>2401</v>
      </c>
      <c r="DO11" s="759">
        <f>DP11+DQ11+DR11</f>
        <v>3755</v>
      </c>
      <c r="DP11" s="759"/>
      <c r="DQ11" s="759">
        <v>1358</v>
      </c>
      <c r="DR11" s="759">
        <v>2397</v>
      </c>
      <c r="DS11" s="759">
        <f>DO11-DN11</f>
        <v>1354</v>
      </c>
      <c r="DT11" s="759">
        <v>3906</v>
      </c>
      <c r="DU11" s="759">
        <v>2401</v>
      </c>
      <c r="DV11" s="759">
        <f>+DW11+DX11+DY11</f>
        <v>2401</v>
      </c>
      <c r="DW11" s="759"/>
      <c r="DX11" s="759">
        <f>IF(DS11&lt;0,0,DS11)</f>
        <v>1354</v>
      </c>
      <c r="DY11" s="759">
        <f>IF((DU11-DW11-DX11)&lt;0,0,(DU11-DW11-DX11))</f>
        <v>1047</v>
      </c>
      <c r="DZ11" s="759">
        <f>+DV11-DU11</f>
        <v>0</v>
      </c>
      <c r="EA11" s="759">
        <v>2300</v>
      </c>
      <c r="EB11" s="759">
        <v>1828</v>
      </c>
      <c r="EC11" s="759">
        <v>2185</v>
      </c>
      <c r="ED11" s="759">
        <v>1782</v>
      </c>
      <c r="EE11" s="759">
        <f>EF11+EG11+EH11</f>
        <v>1923</v>
      </c>
      <c r="EF11" s="759"/>
      <c r="EG11" s="759">
        <v>3</v>
      </c>
      <c r="EH11" s="759">
        <v>1920</v>
      </c>
      <c r="EI11" s="759">
        <f>+EE11-ED11</f>
        <v>141</v>
      </c>
      <c r="EJ11" s="759">
        <v>2185</v>
      </c>
      <c r="EK11" s="759">
        <v>1782</v>
      </c>
      <c r="EL11" s="759">
        <f>SUM(EM11:EO11)</f>
        <v>1782</v>
      </c>
      <c r="EM11" s="759"/>
      <c r="EN11" s="759">
        <f>IF(EI11&lt;0,0,EI11)</f>
        <v>141</v>
      </c>
      <c r="EO11" s="759">
        <f>IF((EK11-EM11-EN11)&lt;0,0,(EK11-EM11-EN11))</f>
        <v>1641</v>
      </c>
      <c r="EP11" s="759">
        <f>+EL11-EK11</f>
        <v>0</v>
      </c>
      <c r="EQ11" s="759">
        <v>2034</v>
      </c>
      <c r="ER11" s="759">
        <v>1826</v>
      </c>
      <c r="ES11" s="759">
        <v>1098</v>
      </c>
      <c r="ET11" s="759">
        <v>819</v>
      </c>
      <c r="EU11" s="759">
        <f>SUM(EV11:EX11)</f>
        <v>1779</v>
      </c>
      <c r="EV11" s="759">
        <v>0</v>
      </c>
      <c r="EW11" s="759">
        <v>1392</v>
      </c>
      <c r="EX11" s="759">
        <v>387</v>
      </c>
      <c r="EY11" s="759">
        <f>EU11-ET11</f>
        <v>960</v>
      </c>
      <c r="EZ11" s="759">
        <v>1102</v>
      </c>
      <c r="FA11" s="759">
        <v>838</v>
      </c>
      <c r="FB11" s="759">
        <f>SUM(FC11:FE11)</f>
        <v>960</v>
      </c>
      <c r="FC11" s="759"/>
      <c r="FD11" s="759">
        <f>IF(EY11&lt;0,0,EY11)</f>
        <v>960</v>
      </c>
      <c r="FE11" s="759">
        <f>IF((FA11-FC11-FD11)&lt;0,0,(FA11-FC11-FD11))</f>
        <v>0</v>
      </c>
      <c r="FF11" s="759">
        <f>+FB11-FA11</f>
        <v>122</v>
      </c>
      <c r="FG11" s="759">
        <v>1760</v>
      </c>
      <c r="FH11" s="759">
        <v>2163</v>
      </c>
      <c r="FI11" s="759">
        <v>1314</v>
      </c>
      <c r="FJ11" s="759">
        <v>1730</v>
      </c>
      <c r="FK11" s="759">
        <f>SUM(FL11:FN11)</f>
        <v>2626</v>
      </c>
      <c r="FL11" s="759">
        <v>0</v>
      </c>
      <c r="FM11" s="759">
        <v>46</v>
      </c>
      <c r="FN11" s="759">
        <v>2580</v>
      </c>
      <c r="FO11" s="759">
        <f>+FK11-FJ11</f>
        <v>896</v>
      </c>
      <c r="FP11" s="759">
        <v>1314</v>
      </c>
      <c r="FQ11" s="759">
        <v>1730</v>
      </c>
      <c r="FR11" s="759">
        <f>SUM(FS11:FU11)</f>
        <v>1730</v>
      </c>
      <c r="FS11" s="759"/>
      <c r="FT11" s="759">
        <f>IF(FO11&lt;0,0,FO11)</f>
        <v>896</v>
      </c>
      <c r="FU11" s="759">
        <f>IF((FQ11-FS11-FT11)&lt;0,0,(FQ11-FS11-FT11))</f>
        <v>834</v>
      </c>
      <c r="FV11" s="759">
        <f>FR11-FQ11</f>
        <v>0</v>
      </c>
      <c r="FW11" s="759">
        <v>1113</v>
      </c>
      <c r="FX11" s="759">
        <v>884</v>
      </c>
      <c r="FY11" s="759">
        <v>1029</v>
      </c>
      <c r="FZ11" s="759">
        <v>745</v>
      </c>
      <c r="GA11" s="759">
        <f>SUM(GB11:GD11)</f>
        <v>879</v>
      </c>
      <c r="GB11" s="759">
        <v>0</v>
      </c>
      <c r="GC11" s="759">
        <v>68</v>
      </c>
      <c r="GD11" s="759">
        <v>811</v>
      </c>
      <c r="GE11" s="759">
        <f>+GA11-FZ11</f>
        <v>134</v>
      </c>
      <c r="GF11" s="759">
        <v>1150</v>
      </c>
      <c r="GG11" s="759">
        <v>860</v>
      </c>
      <c r="GH11" s="759">
        <f>SUM(GI11:GK11)</f>
        <v>860</v>
      </c>
      <c r="GI11" s="759"/>
      <c r="GJ11" s="759">
        <f>IF(GE11&lt;0,0,GE11)</f>
        <v>134</v>
      </c>
      <c r="GK11" s="759">
        <f>IF((GG11-GI11-GJ11)&lt;0,0,(GG11-GI11-GJ11))</f>
        <v>726</v>
      </c>
      <c r="GL11" s="759">
        <f>+GH11-GG11</f>
        <v>0</v>
      </c>
      <c r="GM11" s="759">
        <v>1469</v>
      </c>
      <c r="GN11" s="759">
        <v>525</v>
      </c>
      <c r="GO11" s="759">
        <v>1355</v>
      </c>
      <c r="GP11" s="759">
        <v>781</v>
      </c>
      <c r="GQ11" s="759">
        <f>+GR11+GS11+GT11</f>
        <v>2299</v>
      </c>
      <c r="GR11" s="759"/>
      <c r="GS11" s="759">
        <v>2299</v>
      </c>
      <c r="GT11" s="759"/>
      <c r="GU11" s="759">
        <f>+GQ11-GP11</f>
        <v>1518</v>
      </c>
      <c r="GV11" s="759">
        <v>1792</v>
      </c>
      <c r="GW11" s="759">
        <v>1020</v>
      </c>
      <c r="GX11" s="759">
        <f>SUM(GY11:HA11)</f>
        <v>1518</v>
      </c>
      <c r="GY11" s="759">
        <v>0</v>
      </c>
      <c r="GZ11" s="759">
        <f>IF(GU11&lt;0,0,GU11)</f>
        <v>1518</v>
      </c>
      <c r="HA11" s="759">
        <f>IF((GW11-GY11-GZ11)&lt;0,0,(GW11-GY11-GZ11))</f>
        <v>0</v>
      </c>
      <c r="HB11" s="759">
        <f>+GX11-GW11</f>
        <v>498</v>
      </c>
    </row>
    <row r="12" spans="1:210" ht="47.25" x14ac:dyDescent="0.2">
      <c r="A12" s="422">
        <v>2</v>
      </c>
      <c r="B12" s="423" t="s">
        <v>587</v>
      </c>
      <c r="C12" s="757">
        <f>SUM(S12,AI12,AY12,BO12,CE12,CU12,DK12,EA12,EQ12,FG12,FW12,GM12)</f>
        <v>163</v>
      </c>
      <c r="D12" s="757">
        <f t="shared" si="4"/>
        <v>1459</v>
      </c>
      <c r="E12" s="757">
        <f t="shared" si="4"/>
        <v>233</v>
      </c>
      <c r="F12" s="757">
        <f t="shared" si="4"/>
        <v>1848</v>
      </c>
      <c r="G12" s="757">
        <f t="shared" si="4"/>
        <v>3226</v>
      </c>
      <c r="H12" s="757">
        <f t="shared" si="4"/>
        <v>1175</v>
      </c>
      <c r="I12" s="757">
        <f t="shared" si="4"/>
        <v>1049</v>
      </c>
      <c r="J12" s="757">
        <f t="shared" si="4"/>
        <v>1002</v>
      </c>
      <c r="K12" s="757">
        <f t="shared" si="4"/>
        <v>1378</v>
      </c>
      <c r="L12" s="757">
        <f t="shared" si="4"/>
        <v>215</v>
      </c>
      <c r="M12" s="757">
        <f t="shared" si="4"/>
        <v>1790</v>
      </c>
      <c r="N12" s="757">
        <f t="shared" si="4"/>
        <v>3191</v>
      </c>
      <c r="O12" s="757">
        <f t="shared" si="4"/>
        <v>1175</v>
      </c>
      <c r="P12" s="757">
        <f t="shared" si="4"/>
        <v>1578</v>
      </c>
      <c r="Q12" s="757">
        <f t="shared" si="4"/>
        <v>438</v>
      </c>
      <c r="R12" s="757">
        <f t="shared" si="4"/>
        <v>1401</v>
      </c>
      <c r="S12" s="758">
        <v>16</v>
      </c>
      <c r="T12" s="758">
        <v>149</v>
      </c>
      <c r="U12" s="759">
        <v>20</v>
      </c>
      <c r="V12" s="759">
        <v>215</v>
      </c>
      <c r="W12" s="759">
        <f t="shared" ref="W12:W17" si="6">X12+Y12+Z12</f>
        <v>155</v>
      </c>
      <c r="X12" s="759">
        <v>78</v>
      </c>
      <c r="Y12" s="759"/>
      <c r="Z12" s="759">
        <v>77</v>
      </c>
      <c r="AA12" s="759">
        <f>+W12-V12</f>
        <v>-60</v>
      </c>
      <c r="AB12" s="759">
        <v>20</v>
      </c>
      <c r="AC12" s="759">
        <v>220</v>
      </c>
      <c r="AD12" s="759">
        <f>AE12+AF12+AG12</f>
        <v>220</v>
      </c>
      <c r="AE12" s="759">
        <v>78</v>
      </c>
      <c r="AF12" s="759">
        <f>IF(AA12&lt;0,0,AA12)</f>
        <v>0</v>
      </c>
      <c r="AG12" s="759">
        <f>IF((AC12-AE12-AF12)&lt;0,0,(AC12-AE12-AF12))</f>
        <v>142</v>
      </c>
      <c r="AH12" s="759">
        <f>+AD12-AC12</f>
        <v>0</v>
      </c>
      <c r="AI12" s="759">
        <v>5</v>
      </c>
      <c r="AJ12" s="759">
        <v>52</v>
      </c>
      <c r="AK12" s="759">
        <v>7</v>
      </c>
      <c r="AL12" s="759">
        <v>77</v>
      </c>
      <c r="AM12" s="759">
        <f>AN12+AO12+AP12</f>
        <v>47</v>
      </c>
      <c r="AN12" s="759">
        <v>29</v>
      </c>
      <c r="AO12" s="759">
        <v>18</v>
      </c>
      <c r="AP12" s="759"/>
      <c r="AQ12" s="759">
        <f>AM12-AL12</f>
        <v>-30</v>
      </c>
      <c r="AR12" s="759">
        <v>7</v>
      </c>
      <c r="AS12" s="759">
        <v>77</v>
      </c>
      <c r="AT12" s="759">
        <f t="shared" ref="AT12:AT17" si="7">+AU12+AV12+AW12</f>
        <v>77</v>
      </c>
      <c r="AU12" s="759">
        <v>29</v>
      </c>
      <c r="AV12" s="759">
        <f>IF(AQ12&lt;0,0,AQ12)</f>
        <v>0</v>
      </c>
      <c r="AW12" s="759">
        <f>IF((AS12-AU12-AV12)&lt;0,0,(AS12-AU12-AV12))</f>
        <v>48</v>
      </c>
      <c r="AX12" s="759">
        <f>+AT12-AS12</f>
        <v>0</v>
      </c>
      <c r="AY12" s="759">
        <v>11</v>
      </c>
      <c r="AZ12" s="759">
        <v>105</v>
      </c>
      <c r="BA12" s="758">
        <v>14</v>
      </c>
      <c r="BB12" s="758">
        <v>145</v>
      </c>
      <c r="BC12" s="758">
        <f t="shared" si="5"/>
        <v>325</v>
      </c>
      <c r="BD12" s="758">
        <v>117</v>
      </c>
      <c r="BE12" s="758">
        <v>180</v>
      </c>
      <c r="BF12" s="758">
        <v>28</v>
      </c>
      <c r="BG12" s="758">
        <f>BC12-BB12</f>
        <v>180</v>
      </c>
      <c r="BH12" s="758">
        <v>14</v>
      </c>
      <c r="BI12" s="758">
        <v>145</v>
      </c>
      <c r="BJ12" s="758">
        <f>+BK12+BL12+BM12</f>
        <v>297</v>
      </c>
      <c r="BK12" s="758">
        <v>117</v>
      </c>
      <c r="BL12" s="759">
        <f>IF(BG12&lt;0,0,BG12)</f>
        <v>180</v>
      </c>
      <c r="BM12" s="759">
        <f>IF((BI12-BK12-BL12)&lt;0,0,(BI12-BK12-BL12))</f>
        <v>0</v>
      </c>
      <c r="BN12" s="758">
        <f>+BJ12-BI12</f>
        <v>152</v>
      </c>
      <c r="BO12" s="758">
        <v>10</v>
      </c>
      <c r="BP12" s="758">
        <v>92</v>
      </c>
      <c r="BQ12" s="759">
        <v>13</v>
      </c>
      <c r="BR12" s="759">
        <v>191</v>
      </c>
      <c r="BS12" s="759">
        <f>BT12+BU12+BV12</f>
        <v>302</v>
      </c>
      <c r="BT12" s="759">
        <v>68</v>
      </c>
      <c r="BU12" s="759">
        <v>43</v>
      </c>
      <c r="BV12" s="759">
        <v>191</v>
      </c>
      <c r="BW12" s="759">
        <f>+BS12-BR12</f>
        <v>111</v>
      </c>
      <c r="BX12" s="759">
        <v>11</v>
      </c>
      <c r="BY12" s="759">
        <v>195</v>
      </c>
      <c r="BZ12" s="759">
        <f>SUM(CA12:CC12)</f>
        <v>195</v>
      </c>
      <c r="CA12" s="759">
        <v>68</v>
      </c>
      <c r="CB12" s="759">
        <f>IF(BW12&lt;0,0,BW12)</f>
        <v>111</v>
      </c>
      <c r="CC12" s="759">
        <f>IF((BY12-CA12-CB12)&lt;0,0,(BY12-CA12-CB12))</f>
        <v>16</v>
      </c>
      <c r="CD12" s="759">
        <f>+BZ12-BY12</f>
        <v>0</v>
      </c>
      <c r="CE12" s="759">
        <v>4</v>
      </c>
      <c r="CF12" s="759">
        <v>40</v>
      </c>
      <c r="CG12" s="759">
        <v>6</v>
      </c>
      <c r="CH12" s="759">
        <v>55</v>
      </c>
      <c r="CI12" s="759">
        <f>CJ12+CK12+CL12</f>
        <v>58</v>
      </c>
      <c r="CJ12" s="759">
        <v>29</v>
      </c>
      <c r="CK12" s="759">
        <v>2</v>
      </c>
      <c r="CL12" s="759">
        <v>27</v>
      </c>
      <c r="CM12" s="759">
        <f>CI12-CH12</f>
        <v>3</v>
      </c>
      <c r="CN12" s="759">
        <v>3</v>
      </c>
      <c r="CO12" s="759">
        <v>55</v>
      </c>
      <c r="CP12" s="759">
        <f>+CQ12+CR12+CS12</f>
        <v>55</v>
      </c>
      <c r="CQ12" s="759">
        <v>29</v>
      </c>
      <c r="CR12" s="759">
        <f>IF(CM12&lt;0,0,CM12)</f>
        <v>3</v>
      </c>
      <c r="CS12" s="759">
        <f>IF((CO12-CQ12-CR12)&lt;0,0,(CO12-CQ12-CR12))</f>
        <v>23</v>
      </c>
      <c r="CT12" s="759">
        <f>+CP12-CO12</f>
        <v>0</v>
      </c>
      <c r="CU12" s="759">
        <v>0</v>
      </c>
      <c r="CV12" s="759">
        <v>0</v>
      </c>
      <c r="CW12" s="759"/>
      <c r="CX12" s="759"/>
      <c r="CY12" s="759">
        <f>CZ12+DA12+DB12</f>
        <v>0</v>
      </c>
      <c r="CZ12" s="759"/>
      <c r="DA12" s="759"/>
      <c r="DB12" s="759"/>
      <c r="DC12" s="759">
        <f>CY12-CX12</f>
        <v>0</v>
      </c>
      <c r="DD12" s="759"/>
      <c r="DE12" s="759"/>
      <c r="DF12" s="759">
        <f>SUM(DG12:DI12)</f>
        <v>0</v>
      </c>
      <c r="DG12" s="759"/>
      <c r="DH12" s="759">
        <f>IF(DC12&lt;0,0,DC12)</f>
        <v>0</v>
      </c>
      <c r="DI12" s="759">
        <f>IF((DE12-DG12-DH12)&lt;0,0,(DE12-DG12-DH12))</f>
        <v>0</v>
      </c>
      <c r="DJ12" s="759">
        <f>+DF12-DE12</f>
        <v>0</v>
      </c>
      <c r="DK12" s="759">
        <v>59</v>
      </c>
      <c r="DL12" s="759">
        <v>480</v>
      </c>
      <c r="DM12" s="759">
        <v>99</v>
      </c>
      <c r="DN12" s="759">
        <v>511</v>
      </c>
      <c r="DO12" s="759">
        <f>DP12+DQ12+DR12</f>
        <v>850</v>
      </c>
      <c r="DP12" s="759">
        <v>204</v>
      </c>
      <c r="DQ12" s="759"/>
      <c r="DR12" s="759">
        <v>646</v>
      </c>
      <c r="DS12" s="759">
        <f>DO12-DN12</f>
        <v>339</v>
      </c>
      <c r="DT12" s="759">
        <v>80</v>
      </c>
      <c r="DU12" s="759">
        <v>414</v>
      </c>
      <c r="DV12" s="759">
        <f>+DW12+DX12+DY12</f>
        <v>543</v>
      </c>
      <c r="DW12" s="759">
        <v>204</v>
      </c>
      <c r="DX12" s="759">
        <f>IF(DS12&lt;0,0,DS12)</f>
        <v>339</v>
      </c>
      <c r="DY12" s="759">
        <f>IF((DU12-DW12-DX12)&lt;0,0,(DU12-DW12-DX12))</f>
        <v>0</v>
      </c>
      <c r="DZ12" s="759">
        <f>+DV12-DU12</f>
        <v>129</v>
      </c>
      <c r="EA12" s="759">
        <v>0</v>
      </c>
      <c r="EB12" s="759">
        <v>0</v>
      </c>
      <c r="EC12" s="759"/>
      <c r="ED12" s="759"/>
      <c r="EE12" s="759">
        <f>EF12+EG12+EH12</f>
        <v>0</v>
      </c>
      <c r="EF12" s="759"/>
      <c r="EG12" s="759"/>
      <c r="EH12" s="759"/>
      <c r="EI12" s="759">
        <f>+EE12-ED12</f>
        <v>0</v>
      </c>
      <c r="EJ12" s="759"/>
      <c r="EK12" s="759"/>
      <c r="EL12" s="759">
        <f>SUM(EM12:EO12)</f>
        <v>0</v>
      </c>
      <c r="EM12" s="759"/>
      <c r="EN12" s="759">
        <f>IF(EI12&lt;0,0,EI12)</f>
        <v>0</v>
      </c>
      <c r="EO12" s="759">
        <f>IF((EK12-EM12-EN12)&lt;0,0,(EK12-EM12-EN12))</f>
        <v>0</v>
      </c>
      <c r="EP12" s="759">
        <f>+EL12-EK12</f>
        <v>0</v>
      </c>
      <c r="EQ12" s="759">
        <v>39</v>
      </c>
      <c r="ER12" s="759">
        <v>351</v>
      </c>
      <c r="ES12" s="759">
        <v>42</v>
      </c>
      <c r="ET12" s="759">
        <v>431</v>
      </c>
      <c r="EU12" s="759">
        <f t="shared" ref="EU12:EU17" si="8">SUM(EV12:EX12)</f>
        <v>352</v>
      </c>
      <c r="EV12" s="759">
        <v>291</v>
      </c>
      <c r="EW12" s="759">
        <v>61</v>
      </c>
      <c r="EX12" s="759"/>
      <c r="EY12" s="759">
        <f>EU12-ET12</f>
        <v>-79</v>
      </c>
      <c r="EZ12" s="759">
        <v>42</v>
      </c>
      <c r="FA12" s="759">
        <v>431</v>
      </c>
      <c r="FB12" s="759">
        <f>SUM(FC12:FE12)</f>
        <v>431</v>
      </c>
      <c r="FC12" s="759">
        <v>291</v>
      </c>
      <c r="FD12" s="759">
        <f>IF(EY12&lt;0,0,EY12)</f>
        <v>0</v>
      </c>
      <c r="FE12" s="759">
        <f>IF((FA12-FC12-FD12)&lt;0,0,(FA12-FC12-FD12))</f>
        <v>140</v>
      </c>
      <c r="FF12" s="759">
        <f>+FB12-FA12</f>
        <v>0</v>
      </c>
      <c r="FG12" s="759">
        <v>2</v>
      </c>
      <c r="FH12" s="759">
        <v>20</v>
      </c>
      <c r="FI12" s="759">
        <v>2</v>
      </c>
      <c r="FJ12" s="759">
        <v>20</v>
      </c>
      <c r="FK12" s="759">
        <f t="shared" ref="FK12:FK17" si="9">SUM(FL12:FN12)</f>
        <v>10</v>
      </c>
      <c r="FL12" s="759">
        <v>10</v>
      </c>
      <c r="FM12" s="759"/>
      <c r="FN12" s="759"/>
      <c r="FO12" s="759">
        <f>+FK12-FJ12</f>
        <v>-10</v>
      </c>
      <c r="FP12" s="759">
        <v>2</v>
      </c>
      <c r="FQ12" s="759">
        <v>20</v>
      </c>
      <c r="FR12" s="759">
        <f>SUM(FS12:FU12)</f>
        <v>20</v>
      </c>
      <c r="FS12" s="759">
        <v>10</v>
      </c>
      <c r="FT12" s="759">
        <f>IF(FO12&lt;0,0,FO12)</f>
        <v>0</v>
      </c>
      <c r="FU12" s="759">
        <f>IF((FQ12-FS12-FT12)&lt;0,0,(FQ12-FS12-FT12))</f>
        <v>10</v>
      </c>
      <c r="FV12" s="759">
        <f t="shared" ref="FV12:FV17" si="10">FR12-FQ12</f>
        <v>0</v>
      </c>
      <c r="FW12" s="759">
        <v>11</v>
      </c>
      <c r="FX12" s="759">
        <v>110</v>
      </c>
      <c r="FY12" s="759">
        <v>22</v>
      </c>
      <c r="FZ12" s="759">
        <v>120</v>
      </c>
      <c r="GA12" s="759">
        <f t="shared" ref="GA12:GA17" si="11">SUM(GB12:GD12)</f>
        <v>1065</v>
      </c>
      <c r="GB12" s="759">
        <v>320</v>
      </c>
      <c r="GC12" s="759">
        <v>745</v>
      </c>
      <c r="GD12" s="759"/>
      <c r="GE12" s="759">
        <f>+GA12-FZ12</f>
        <v>945</v>
      </c>
      <c r="GF12" s="759">
        <v>28</v>
      </c>
      <c r="GG12" s="759">
        <v>145</v>
      </c>
      <c r="GH12" s="759">
        <f>SUM(GI12:GK12)</f>
        <v>1265</v>
      </c>
      <c r="GI12" s="759">
        <v>320</v>
      </c>
      <c r="GJ12" s="759">
        <f>IF(GE12&lt;0,0,GE12)</f>
        <v>945</v>
      </c>
      <c r="GK12" s="759">
        <f>IF((GG12-GI12-GJ12)&lt;0,0,(GG12-GI12-GJ12))</f>
        <v>0</v>
      </c>
      <c r="GL12" s="759">
        <f>+GH12-GG12</f>
        <v>1120</v>
      </c>
      <c r="GM12" s="759">
        <v>6</v>
      </c>
      <c r="GN12" s="759">
        <v>60</v>
      </c>
      <c r="GO12" s="759">
        <v>8</v>
      </c>
      <c r="GP12" s="759">
        <v>83</v>
      </c>
      <c r="GQ12" s="759">
        <f t="shared" ref="GQ12:GQ17" si="12">+GR12+GS12+GT12</f>
        <v>62</v>
      </c>
      <c r="GR12" s="759">
        <v>29</v>
      </c>
      <c r="GS12" s="759"/>
      <c r="GT12" s="759">
        <v>33</v>
      </c>
      <c r="GU12" s="759">
        <f>+GQ12-GP12</f>
        <v>-21</v>
      </c>
      <c r="GV12" s="759">
        <v>8</v>
      </c>
      <c r="GW12" s="759">
        <v>88</v>
      </c>
      <c r="GX12" s="759">
        <f>SUM(GY12:HA12)</f>
        <v>88</v>
      </c>
      <c r="GY12" s="759">
        <f>GR12</f>
        <v>29</v>
      </c>
      <c r="GZ12" s="759">
        <f>IF(GU12&lt;0,0,GU12)</f>
        <v>0</v>
      </c>
      <c r="HA12" s="759">
        <f>IF((GW12-GY12-GZ12)&lt;0,0,(GW12-GY12-GZ12))</f>
        <v>59</v>
      </c>
      <c r="HB12" s="759">
        <f t="shared" ref="HB12:HB17" si="13">+GX12-GW12</f>
        <v>0</v>
      </c>
    </row>
    <row r="13" spans="1:210" ht="47.25" x14ac:dyDescent="0.2">
      <c r="A13" s="422">
        <v>3</v>
      </c>
      <c r="B13" s="421" t="s">
        <v>586</v>
      </c>
      <c r="C13" s="757">
        <f>SUM(S13,AI13,AY13,BO13,CE13,CU13,DK13,EA13,EQ13,FG13,FW13,GM13)</f>
        <v>7860</v>
      </c>
      <c r="D13" s="757">
        <f t="shared" si="4"/>
        <v>6826</v>
      </c>
      <c r="E13" s="757">
        <f t="shared" si="4"/>
        <v>6636</v>
      </c>
      <c r="F13" s="757">
        <f t="shared" si="4"/>
        <v>5601</v>
      </c>
      <c r="G13" s="757">
        <f t="shared" si="4"/>
        <v>13017</v>
      </c>
      <c r="H13" s="757">
        <f t="shared" si="4"/>
        <v>7055</v>
      </c>
      <c r="I13" s="757">
        <f t="shared" si="4"/>
        <v>5593</v>
      </c>
      <c r="J13" s="757">
        <f t="shared" si="4"/>
        <v>369</v>
      </c>
      <c r="K13" s="757">
        <f t="shared" si="4"/>
        <v>7416</v>
      </c>
      <c r="L13" s="757">
        <f t="shared" si="4"/>
        <v>6242</v>
      </c>
      <c r="M13" s="757">
        <f t="shared" si="4"/>
        <v>7658</v>
      </c>
      <c r="N13" s="757">
        <f t="shared" si="4"/>
        <v>14936</v>
      </c>
      <c r="O13" s="757">
        <f t="shared" si="4"/>
        <v>7055</v>
      </c>
      <c r="P13" s="757">
        <f t="shared" si="4"/>
        <v>7578</v>
      </c>
      <c r="Q13" s="757">
        <f t="shared" si="4"/>
        <v>303</v>
      </c>
      <c r="R13" s="757">
        <f t="shared" si="4"/>
        <v>7278</v>
      </c>
      <c r="S13" s="758">
        <v>1306</v>
      </c>
      <c r="T13" s="758">
        <v>1724</v>
      </c>
      <c r="U13" s="759">
        <v>1845</v>
      </c>
      <c r="V13" s="759">
        <v>870</v>
      </c>
      <c r="W13" s="759">
        <f>X13+Y13+Z13</f>
        <v>2377</v>
      </c>
      <c r="X13" s="759">
        <v>1709</v>
      </c>
      <c r="Y13" s="759">
        <v>668</v>
      </c>
      <c r="Z13" s="759"/>
      <c r="AA13" s="759">
        <f>+W13-V13</f>
        <v>1507</v>
      </c>
      <c r="AB13" s="759">
        <v>1151</v>
      </c>
      <c r="AC13" s="759">
        <v>1440</v>
      </c>
      <c r="AD13" s="759">
        <f>AE13+AF13+AG13</f>
        <v>3216</v>
      </c>
      <c r="AE13" s="759">
        <v>1709</v>
      </c>
      <c r="AF13" s="759">
        <f>IF(AA13&lt;0,0,AA13)</f>
        <v>1507</v>
      </c>
      <c r="AG13" s="759">
        <f>IF((AC13-AE13-AF13)&lt;0,0,(AC13-AE13-AF13))</f>
        <v>0</v>
      </c>
      <c r="AH13" s="759">
        <f>+AD13-AC13</f>
        <v>1776</v>
      </c>
      <c r="AI13" s="759">
        <v>1505</v>
      </c>
      <c r="AJ13" s="759">
        <v>819</v>
      </c>
      <c r="AK13" s="759">
        <v>799</v>
      </c>
      <c r="AL13" s="759">
        <v>964</v>
      </c>
      <c r="AM13" s="759">
        <f>AN13+AO13+AP13</f>
        <v>1332</v>
      </c>
      <c r="AN13" s="759">
        <v>982</v>
      </c>
      <c r="AO13" s="759">
        <v>350</v>
      </c>
      <c r="AP13" s="759"/>
      <c r="AQ13" s="759">
        <f>AM13-AL13</f>
        <v>368</v>
      </c>
      <c r="AR13" s="759">
        <v>799</v>
      </c>
      <c r="AS13" s="759">
        <v>1000</v>
      </c>
      <c r="AT13" s="759">
        <f t="shared" si="7"/>
        <v>1350</v>
      </c>
      <c r="AU13" s="759">
        <v>982</v>
      </c>
      <c r="AV13" s="759">
        <f>IF(AQ13&lt;0,0,AQ13)</f>
        <v>368</v>
      </c>
      <c r="AW13" s="759">
        <f>IF((AS13-AU13-AV13)&lt;0,0,(AS13-AU13-AV13))</f>
        <v>0</v>
      </c>
      <c r="AX13" s="759">
        <f>+AT13-AS13</f>
        <v>350</v>
      </c>
      <c r="AY13" s="759">
        <v>1908</v>
      </c>
      <c r="AZ13" s="759">
        <v>1928</v>
      </c>
      <c r="BA13" s="758">
        <v>1654</v>
      </c>
      <c r="BB13" s="758">
        <v>991</v>
      </c>
      <c r="BC13" s="758">
        <f>BD13+BE13+BF13</f>
        <v>2276</v>
      </c>
      <c r="BD13" s="758">
        <v>1603</v>
      </c>
      <c r="BE13" s="758">
        <v>490</v>
      </c>
      <c r="BF13" s="758">
        <v>183</v>
      </c>
      <c r="BG13" s="758">
        <f>+BC13-BB13</f>
        <v>1285</v>
      </c>
      <c r="BH13" s="758">
        <v>1480</v>
      </c>
      <c r="BI13" s="758">
        <v>1851</v>
      </c>
      <c r="BJ13" s="758">
        <f>+BK13+BL13+BM13</f>
        <v>2888</v>
      </c>
      <c r="BK13" s="758">
        <v>1603</v>
      </c>
      <c r="BL13" s="759">
        <f>IF(BG13&lt;0,0,BG13)</f>
        <v>1285</v>
      </c>
      <c r="BM13" s="759">
        <f>IF((BI13-BK13-BL13)&lt;0,0,(BI13-BK13-BL13))</f>
        <v>0</v>
      </c>
      <c r="BN13" s="758">
        <f>+BJ13-BI13</f>
        <v>1037</v>
      </c>
      <c r="BO13" s="758">
        <v>432</v>
      </c>
      <c r="BP13" s="758">
        <v>443</v>
      </c>
      <c r="BQ13" s="759">
        <v>558</v>
      </c>
      <c r="BR13" s="759">
        <v>662</v>
      </c>
      <c r="BS13" s="759">
        <f>BT13+BU13+BV13</f>
        <v>1137</v>
      </c>
      <c r="BT13" s="759">
        <v>488</v>
      </c>
      <c r="BU13" s="759">
        <v>649</v>
      </c>
      <c r="BV13" s="759"/>
      <c r="BW13" s="759">
        <f>+BS13-BR13</f>
        <v>475</v>
      </c>
      <c r="BX13" s="759">
        <v>558</v>
      </c>
      <c r="BY13" s="759">
        <v>698</v>
      </c>
      <c r="BZ13" s="759">
        <f>SUM(CA13:CC13)</f>
        <v>963</v>
      </c>
      <c r="CA13" s="759">
        <v>488</v>
      </c>
      <c r="CB13" s="759">
        <f>IF(BW13&lt;0,0,BW13)</f>
        <v>475</v>
      </c>
      <c r="CC13" s="759">
        <f>IF((BY13-CA13-CB13)&lt;0,0,(BY13-CA13-CB13))</f>
        <v>0</v>
      </c>
      <c r="CD13" s="759">
        <f>+BZ13-BY13</f>
        <v>265</v>
      </c>
      <c r="CE13" s="759">
        <v>691</v>
      </c>
      <c r="CF13" s="759">
        <v>371</v>
      </c>
      <c r="CG13" s="759">
        <v>331</v>
      </c>
      <c r="CH13" s="759">
        <v>393</v>
      </c>
      <c r="CI13" s="759">
        <f>CJ13+CK13+CL13</f>
        <v>1589</v>
      </c>
      <c r="CJ13" s="759">
        <v>463</v>
      </c>
      <c r="CK13" s="759">
        <v>1126</v>
      </c>
      <c r="CL13" s="759"/>
      <c r="CM13" s="759">
        <f>CI13-CH13</f>
        <v>1196</v>
      </c>
      <c r="CN13" s="759">
        <v>615</v>
      </c>
      <c r="CO13" s="759">
        <v>769</v>
      </c>
      <c r="CP13" s="759">
        <f>+CQ13+CR13+CS13</f>
        <v>1659</v>
      </c>
      <c r="CQ13" s="759">
        <v>463</v>
      </c>
      <c r="CR13" s="759">
        <f>IF(CM13&lt;0,0,CM13)</f>
        <v>1196</v>
      </c>
      <c r="CS13" s="759">
        <f>IF((CO13-CQ13-CR13)&lt;0,0,(CO13-CQ13-CR13))</f>
        <v>0</v>
      </c>
      <c r="CT13" s="759">
        <f>+CP13-CO13</f>
        <v>890</v>
      </c>
      <c r="CU13" s="759">
        <v>53</v>
      </c>
      <c r="CV13" s="759">
        <v>56</v>
      </c>
      <c r="CW13" s="759">
        <v>50</v>
      </c>
      <c r="CX13" s="759">
        <v>60</v>
      </c>
      <c r="CY13" s="759">
        <f>CZ13+DA13+DB13</f>
        <v>196</v>
      </c>
      <c r="CZ13" s="759">
        <v>97</v>
      </c>
      <c r="DA13" s="759"/>
      <c r="DB13" s="759">
        <v>99</v>
      </c>
      <c r="DC13" s="759">
        <f>CY13-CX13</f>
        <v>136</v>
      </c>
      <c r="DD13" s="759">
        <v>72</v>
      </c>
      <c r="DE13" s="759">
        <v>90</v>
      </c>
      <c r="DF13" s="759">
        <f>SUM(DG13:DI13)</f>
        <v>233</v>
      </c>
      <c r="DG13" s="759">
        <v>97</v>
      </c>
      <c r="DH13" s="759">
        <f>IF(DC13&lt;0,0,DC13)</f>
        <v>136</v>
      </c>
      <c r="DI13" s="759">
        <f>IF((DE13-DG13-DH13)&lt;0,0,(DE13-DG13-DH13))</f>
        <v>0</v>
      </c>
      <c r="DJ13" s="759">
        <f>+DF13-DE13</f>
        <v>143</v>
      </c>
      <c r="DK13" s="759">
        <v>923</v>
      </c>
      <c r="DL13" s="759">
        <v>504</v>
      </c>
      <c r="DM13" s="759">
        <v>479</v>
      </c>
      <c r="DN13" s="759">
        <v>568</v>
      </c>
      <c r="DO13" s="759">
        <f>DP13+DQ13+DR13</f>
        <v>664</v>
      </c>
      <c r="DP13" s="759">
        <v>347</v>
      </c>
      <c r="DQ13" s="759">
        <v>317</v>
      </c>
      <c r="DR13" s="759"/>
      <c r="DS13" s="759">
        <f>DO13-DN13</f>
        <v>96</v>
      </c>
      <c r="DT13" s="759">
        <v>599</v>
      </c>
      <c r="DU13" s="759">
        <v>599</v>
      </c>
      <c r="DV13" s="759">
        <f>+DW13+DX13+DY13</f>
        <v>599</v>
      </c>
      <c r="DW13" s="759">
        <v>347</v>
      </c>
      <c r="DX13" s="759">
        <f>IF(DS13&lt;0,0,DS13)</f>
        <v>96</v>
      </c>
      <c r="DY13" s="759">
        <f>IF((DU13-DW13-DX13)&lt;0,0,(DU13-DW13-DX13))</f>
        <v>156</v>
      </c>
      <c r="DZ13" s="759">
        <f>+DV13-DU13</f>
        <v>0</v>
      </c>
      <c r="EA13" s="759">
        <v>241</v>
      </c>
      <c r="EB13" s="759">
        <v>268</v>
      </c>
      <c r="EC13" s="759">
        <v>138</v>
      </c>
      <c r="ED13" s="759">
        <v>164</v>
      </c>
      <c r="EE13" s="759">
        <f>EF13+EG13+EH13</f>
        <v>399</v>
      </c>
      <c r="EF13" s="759">
        <v>312</v>
      </c>
      <c r="EG13" s="759">
        <v>87</v>
      </c>
      <c r="EH13" s="759"/>
      <c r="EI13" s="759">
        <f>+EE13-ED13</f>
        <v>235</v>
      </c>
      <c r="EJ13" s="759">
        <v>138</v>
      </c>
      <c r="EK13" s="759">
        <v>173</v>
      </c>
      <c r="EL13" s="759">
        <f>SUM(EM13:EO13)</f>
        <v>547</v>
      </c>
      <c r="EM13" s="759">
        <v>312</v>
      </c>
      <c r="EN13" s="759">
        <f>IF(EI13&lt;0,0,EI13)</f>
        <v>235</v>
      </c>
      <c r="EO13" s="759">
        <f>IF((EK13-EM13-EN13)&lt;0,0,(EK13-EM13-EN13))</f>
        <v>0</v>
      </c>
      <c r="EP13" s="759">
        <f>+EL13-EK13</f>
        <v>374</v>
      </c>
      <c r="EQ13" s="759">
        <v>195</v>
      </c>
      <c r="ER13" s="759">
        <v>117</v>
      </c>
      <c r="ES13" s="759">
        <v>178</v>
      </c>
      <c r="ET13" s="759">
        <v>211</v>
      </c>
      <c r="EU13" s="759">
        <f t="shared" si="8"/>
        <v>49</v>
      </c>
      <c r="EV13" s="759">
        <v>97</v>
      </c>
      <c r="EW13" s="759">
        <v>-135</v>
      </c>
      <c r="EX13" s="759">
        <v>87</v>
      </c>
      <c r="EY13" s="759">
        <f>EU13-ET13</f>
        <v>-162</v>
      </c>
      <c r="EZ13" s="759">
        <v>195</v>
      </c>
      <c r="FA13" s="759">
        <v>244</v>
      </c>
      <c r="FB13" s="759">
        <f>SUM(FC13:FE13)</f>
        <v>244</v>
      </c>
      <c r="FC13" s="759">
        <v>97</v>
      </c>
      <c r="FD13" s="759">
        <f>IF(EY13&lt;0,0,EY13)</f>
        <v>0</v>
      </c>
      <c r="FE13" s="759">
        <f>IF((FA13-FC13-FD13)&lt;0,0,(FA13-FC13-FD13))</f>
        <v>147</v>
      </c>
      <c r="FF13" s="759">
        <f>+FB13-FA13</f>
        <v>0</v>
      </c>
      <c r="FG13" s="759">
        <v>221</v>
      </c>
      <c r="FH13" s="759">
        <v>346</v>
      </c>
      <c r="FI13" s="759">
        <v>390</v>
      </c>
      <c r="FJ13" s="759">
        <v>463</v>
      </c>
      <c r="FK13" s="759">
        <f t="shared" si="9"/>
        <v>1390</v>
      </c>
      <c r="FL13" s="759">
        <v>440</v>
      </c>
      <c r="FM13" s="759">
        <v>950</v>
      </c>
      <c r="FN13" s="759"/>
      <c r="FO13" s="759">
        <f>+FK13-FJ13</f>
        <v>927</v>
      </c>
      <c r="FP13" s="759">
        <v>390</v>
      </c>
      <c r="FQ13" s="759">
        <v>488</v>
      </c>
      <c r="FR13" s="759">
        <f>SUM(FS13:FU13)</f>
        <v>1367</v>
      </c>
      <c r="FS13" s="759">
        <v>440</v>
      </c>
      <c r="FT13" s="759">
        <f>IF(FO13&lt;0,0,FO13)</f>
        <v>927</v>
      </c>
      <c r="FU13" s="759">
        <f>IF((FQ13-FS13-FT13)&lt;0,0,(FQ13-FS13-FT13))</f>
        <v>0</v>
      </c>
      <c r="FV13" s="759">
        <f t="shared" si="10"/>
        <v>879</v>
      </c>
      <c r="FW13" s="759">
        <v>221</v>
      </c>
      <c r="FX13" s="759">
        <v>115</v>
      </c>
      <c r="FY13" s="759">
        <v>77</v>
      </c>
      <c r="FZ13" s="759">
        <v>92</v>
      </c>
      <c r="GA13" s="759">
        <f t="shared" si="11"/>
        <v>360</v>
      </c>
      <c r="GB13" s="759">
        <v>170</v>
      </c>
      <c r="GC13" s="759">
        <v>190</v>
      </c>
      <c r="GD13" s="759"/>
      <c r="GE13" s="759">
        <f>+GA13-FZ13</f>
        <v>268</v>
      </c>
      <c r="GF13" s="759">
        <v>80</v>
      </c>
      <c r="GG13" s="759">
        <v>100</v>
      </c>
      <c r="GH13" s="759">
        <f>SUM(GI13:GK13)</f>
        <v>438</v>
      </c>
      <c r="GI13" s="759">
        <v>170</v>
      </c>
      <c r="GJ13" s="759">
        <f>IF(GE13&lt;0,0,GE13)</f>
        <v>268</v>
      </c>
      <c r="GK13" s="759">
        <f>IF((GG13-GI13-GJ13)&lt;0,0,(GG13-GI13-GJ13))</f>
        <v>0</v>
      </c>
      <c r="GL13" s="759">
        <f>+GH13-GG13</f>
        <v>338</v>
      </c>
      <c r="GM13" s="759">
        <v>164</v>
      </c>
      <c r="GN13" s="759">
        <v>135</v>
      </c>
      <c r="GO13" s="759">
        <v>137</v>
      </c>
      <c r="GP13" s="759">
        <v>163</v>
      </c>
      <c r="GQ13" s="759">
        <f t="shared" si="12"/>
        <v>1248</v>
      </c>
      <c r="GR13" s="759">
        <v>347</v>
      </c>
      <c r="GS13" s="759">
        <v>901</v>
      </c>
      <c r="GT13" s="759"/>
      <c r="GU13" s="759">
        <f>+GQ13-GP13</f>
        <v>1085</v>
      </c>
      <c r="GV13" s="759">
        <v>165</v>
      </c>
      <c r="GW13" s="759">
        <v>206</v>
      </c>
      <c r="GX13" s="759">
        <f>SUM(GY13:HA13)</f>
        <v>1432</v>
      </c>
      <c r="GY13" s="759">
        <f>GR13</f>
        <v>347</v>
      </c>
      <c r="GZ13" s="759">
        <f>IF(GU13&lt;0,0,GU13)</f>
        <v>1085</v>
      </c>
      <c r="HA13" s="759">
        <f>IF((GW13-GY13-GZ13)&lt;0,0,(GW13-GY13-GZ13))</f>
        <v>0</v>
      </c>
      <c r="HB13" s="759">
        <f t="shared" si="13"/>
        <v>1226</v>
      </c>
    </row>
    <row r="14" spans="1:210" ht="15.75" x14ac:dyDescent="0.2">
      <c r="A14" s="424" t="s">
        <v>294</v>
      </c>
      <c r="B14" s="425" t="s">
        <v>624</v>
      </c>
      <c r="C14" s="760">
        <f t="shared" ref="C14:BJ14" si="14">SUM(C15:C17)</f>
        <v>57096</v>
      </c>
      <c r="D14" s="760">
        <f t="shared" si="14"/>
        <v>272201</v>
      </c>
      <c r="E14" s="760">
        <f t="shared" si="14"/>
        <v>61316</v>
      </c>
      <c r="F14" s="760">
        <f t="shared" si="14"/>
        <v>287995</v>
      </c>
      <c r="G14" s="760">
        <f t="shared" si="14"/>
        <v>268054</v>
      </c>
      <c r="H14" s="760">
        <f t="shared" si="14"/>
        <v>185647</v>
      </c>
      <c r="I14" s="760">
        <f t="shared" si="14"/>
        <v>9529</v>
      </c>
      <c r="J14" s="760">
        <f t="shared" si="14"/>
        <v>72878</v>
      </c>
      <c r="K14" s="760">
        <f t="shared" si="14"/>
        <v>-19941</v>
      </c>
      <c r="L14" s="760">
        <f t="shared" si="14"/>
        <v>61745</v>
      </c>
      <c r="M14" s="760">
        <f t="shared" si="14"/>
        <v>289779</v>
      </c>
      <c r="N14" s="760">
        <f t="shared" si="14"/>
        <v>289779</v>
      </c>
      <c r="O14" s="760">
        <f t="shared" si="14"/>
        <v>185647</v>
      </c>
      <c r="P14" s="760">
        <f t="shared" si="14"/>
        <v>5971</v>
      </c>
      <c r="Q14" s="760">
        <f t="shared" si="14"/>
        <v>98161</v>
      </c>
      <c r="R14" s="760">
        <f t="shared" si="14"/>
        <v>0</v>
      </c>
      <c r="S14" s="760">
        <f t="shared" si="14"/>
        <v>4997</v>
      </c>
      <c r="T14" s="760">
        <f t="shared" si="14"/>
        <v>24214</v>
      </c>
      <c r="U14" s="760">
        <f t="shared" si="14"/>
        <v>5879</v>
      </c>
      <c r="V14" s="760">
        <f t="shared" si="14"/>
        <v>25965</v>
      </c>
      <c r="W14" s="760">
        <f t="shared" si="14"/>
        <v>29738</v>
      </c>
      <c r="X14" s="760">
        <f t="shared" si="14"/>
        <v>16000</v>
      </c>
      <c r="Y14" s="760">
        <f t="shared" si="14"/>
        <v>3268</v>
      </c>
      <c r="Z14" s="760">
        <f t="shared" si="14"/>
        <v>10470</v>
      </c>
      <c r="AA14" s="760">
        <f t="shared" si="14"/>
        <v>3773</v>
      </c>
      <c r="AB14" s="760">
        <f t="shared" si="14"/>
        <v>6245</v>
      </c>
      <c r="AC14" s="760">
        <f t="shared" si="14"/>
        <v>27750</v>
      </c>
      <c r="AD14" s="760">
        <f t="shared" si="14"/>
        <v>27750</v>
      </c>
      <c r="AE14" s="760">
        <f t="shared" si="14"/>
        <v>16000</v>
      </c>
      <c r="AF14" s="760">
        <f t="shared" si="14"/>
        <v>3773</v>
      </c>
      <c r="AG14" s="760">
        <f t="shared" si="14"/>
        <v>7977</v>
      </c>
      <c r="AH14" s="760">
        <f t="shared" si="14"/>
        <v>0</v>
      </c>
      <c r="AI14" s="760">
        <f t="shared" si="14"/>
        <v>2340</v>
      </c>
      <c r="AJ14" s="760">
        <f t="shared" si="14"/>
        <v>9806</v>
      </c>
      <c r="AK14" s="760">
        <f t="shared" si="14"/>
        <v>2574</v>
      </c>
      <c r="AL14" s="760">
        <f t="shared" si="14"/>
        <v>10951</v>
      </c>
      <c r="AM14" s="760">
        <f t="shared" si="14"/>
        <v>9490</v>
      </c>
      <c r="AN14" s="760">
        <f t="shared" si="14"/>
        <v>9490</v>
      </c>
      <c r="AO14" s="760">
        <f t="shared" si="14"/>
        <v>0</v>
      </c>
      <c r="AP14" s="760">
        <f t="shared" si="14"/>
        <v>0</v>
      </c>
      <c r="AQ14" s="760">
        <f t="shared" si="14"/>
        <v>-1461</v>
      </c>
      <c r="AR14" s="760">
        <f t="shared" si="14"/>
        <v>2574</v>
      </c>
      <c r="AS14" s="760">
        <f t="shared" si="14"/>
        <v>10950</v>
      </c>
      <c r="AT14" s="760">
        <f t="shared" si="14"/>
        <v>10950</v>
      </c>
      <c r="AU14" s="760">
        <f t="shared" si="14"/>
        <v>9490</v>
      </c>
      <c r="AV14" s="760">
        <f t="shared" si="14"/>
        <v>0</v>
      </c>
      <c r="AW14" s="760">
        <f t="shared" si="14"/>
        <v>1460</v>
      </c>
      <c r="AX14" s="760">
        <f t="shared" si="14"/>
        <v>0</v>
      </c>
      <c r="AY14" s="760">
        <f t="shared" si="14"/>
        <v>2097</v>
      </c>
      <c r="AZ14" s="760">
        <f t="shared" si="14"/>
        <v>9914</v>
      </c>
      <c r="BA14" s="760">
        <f t="shared" si="14"/>
        <v>2178</v>
      </c>
      <c r="BB14" s="760">
        <f t="shared" si="14"/>
        <v>11460</v>
      </c>
      <c r="BC14" s="760">
        <f t="shared" si="14"/>
        <v>11460</v>
      </c>
      <c r="BD14" s="760">
        <f t="shared" si="14"/>
        <v>8300</v>
      </c>
      <c r="BE14" s="760">
        <f t="shared" si="14"/>
        <v>0</v>
      </c>
      <c r="BF14" s="760">
        <f t="shared" si="14"/>
        <v>3160</v>
      </c>
      <c r="BG14" s="760">
        <f t="shared" si="14"/>
        <v>0</v>
      </c>
      <c r="BH14" s="760">
        <f t="shared" si="14"/>
        <v>2178</v>
      </c>
      <c r="BI14" s="760">
        <f t="shared" si="14"/>
        <v>11460</v>
      </c>
      <c r="BJ14" s="760">
        <f t="shared" si="14"/>
        <v>11460</v>
      </c>
      <c r="BK14" s="760">
        <f t="shared" ref="BK14:DV14" si="15">SUM(BK15:BK17)</f>
        <v>8300</v>
      </c>
      <c r="BL14" s="760">
        <f t="shared" si="15"/>
        <v>0</v>
      </c>
      <c r="BM14" s="760">
        <f t="shared" si="15"/>
        <v>3160</v>
      </c>
      <c r="BN14" s="760">
        <f t="shared" si="15"/>
        <v>0</v>
      </c>
      <c r="BO14" s="760">
        <f t="shared" si="15"/>
        <v>2963</v>
      </c>
      <c r="BP14" s="760">
        <f t="shared" si="15"/>
        <v>17099</v>
      </c>
      <c r="BQ14" s="760">
        <f t="shared" si="15"/>
        <v>3366</v>
      </c>
      <c r="BR14" s="760">
        <f t="shared" si="15"/>
        <v>16181</v>
      </c>
      <c r="BS14" s="760">
        <f t="shared" si="15"/>
        <v>16287</v>
      </c>
      <c r="BT14" s="760">
        <f t="shared" si="15"/>
        <v>11527</v>
      </c>
      <c r="BU14" s="760">
        <f t="shared" si="15"/>
        <v>106</v>
      </c>
      <c r="BV14" s="760">
        <f t="shared" si="15"/>
        <v>4654</v>
      </c>
      <c r="BW14" s="760">
        <f t="shared" si="15"/>
        <v>106</v>
      </c>
      <c r="BX14" s="760">
        <f t="shared" si="15"/>
        <v>3366</v>
      </c>
      <c r="BY14" s="760">
        <f t="shared" si="15"/>
        <v>16181</v>
      </c>
      <c r="BZ14" s="760">
        <f t="shared" si="15"/>
        <v>16181</v>
      </c>
      <c r="CA14" s="760">
        <f t="shared" si="15"/>
        <v>11527</v>
      </c>
      <c r="CB14" s="760">
        <f t="shared" si="15"/>
        <v>106</v>
      </c>
      <c r="CC14" s="760">
        <f t="shared" si="15"/>
        <v>4548</v>
      </c>
      <c r="CD14" s="760">
        <f t="shared" si="15"/>
        <v>0</v>
      </c>
      <c r="CE14" s="760">
        <f t="shared" si="15"/>
        <v>5978</v>
      </c>
      <c r="CF14" s="760">
        <f t="shared" si="15"/>
        <v>26905</v>
      </c>
      <c r="CG14" s="760">
        <f t="shared" si="15"/>
        <v>6411</v>
      </c>
      <c r="CH14" s="760">
        <f t="shared" si="15"/>
        <v>31185</v>
      </c>
      <c r="CI14" s="760">
        <f t="shared" si="15"/>
        <v>27989</v>
      </c>
      <c r="CJ14" s="760">
        <f t="shared" si="15"/>
        <v>20210</v>
      </c>
      <c r="CK14" s="760">
        <f t="shared" si="15"/>
        <v>2479</v>
      </c>
      <c r="CL14" s="760">
        <f t="shared" si="15"/>
        <v>5300</v>
      </c>
      <c r="CM14" s="760">
        <f t="shared" si="15"/>
        <v>-3196</v>
      </c>
      <c r="CN14" s="760">
        <f t="shared" si="15"/>
        <v>6411</v>
      </c>
      <c r="CO14" s="760">
        <f t="shared" si="15"/>
        <v>31185</v>
      </c>
      <c r="CP14" s="760">
        <f t="shared" si="15"/>
        <v>31185</v>
      </c>
      <c r="CQ14" s="760">
        <f t="shared" si="15"/>
        <v>20210</v>
      </c>
      <c r="CR14" s="760">
        <f t="shared" si="15"/>
        <v>0</v>
      </c>
      <c r="CS14" s="760">
        <f t="shared" si="15"/>
        <v>10975</v>
      </c>
      <c r="CT14" s="760">
        <f t="shared" si="15"/>
        <v>0</v>
      </c>
      <c r="CU14" s="760">
        <f t="shared" si="15"/>
        <v>4703</v>
      </c>
      <c r="CV14" s="760">
        <f t="shared" si="15"/>
        <v>22507</v>
      </c>
      <c r="CW14" s="760">
        <f t="shared" si="15"/>
        <v>4703</v>
      </c>
      <c r="CX14" s="760">
        <f t="shared" si="15"/>
        <v>22507</v>
      </c>
      <c r="CY14" s="760">
        <f t="shared" si="15"/>
        <v>20600</v>
      </c>
      <c r="CZ14" s="760">
        <f t="shared" si="15"/>
        <v>14950</v>
      </c>
      <c r="DA14" s="760">
        <f t="shared" si="15"/>
        <v>0</v>
      </c>
      <c r="DB14" s="760">
        <f t="shared" si="15"/>
        <v>5650</v>
      </c>
      <c r="DC14" s="760">
        <f t="shared" si="15"/>
        <v>-1907</v>
      </c>
      <c r="DD14" s="760">
        <f t="shared" si="15"/>
        <v>4703</v>
      </c>
      <c r="DE14" s="760">
        <f t="shared" si="15"/>
        <v>22507</v>
      </c>
      <c r="DF14" s="760">
        <f t="shared" si="15"/>
        <v>22507</v>
      </c>
      <c r="DG14" s="760">
        <f t="shared" si="15"/>
        <v>14950</v>
      </c>
      <c r="DH14" s="760">
        <f t="shared" si="15"/>
        <v>0</v>
      </c>
      <c r="DI14" s="760">
        <f t="shared" si="15"/>
        <v>7557</v>
      </c>
      <c r="DJ14" s="760">
        <f t="shared" si="15"/>
        <v>0</v>
      </c>
      <c r="DK14" s="760">
        <f t="shared" si="15"/>
        <v>6536</v>
      </c>
      <c r="DL14" s="760">
        <f t="shared" si="15"/>
        <v>30140</v>
      </c>
      <c r="DM14" s="760">
        <f t="shared" si="15"/>
        <v>6547</v>
      </c>
      <c r="DN14" s="760">
        <f t="shared" si="15"/>
        <v>30902</v>
      </c>
      <c r="DO14" s="760">
        <f t="shared" si="15"/>
        <v>27514</v>
      </c>
      <c r="DP14" s="760">
        <f t="shared" si="15"/>
        <v>21000</v>
      </c>
      <c r="DQ14" s="760">
        <f t="shared" si="15"/>
        <v>0</v>
      </c>
      <c r="DR14" s="760">
        <f t="shared" si="15"/>
        <v>6514</v>
      </c>
      <c r="DS14" s="760">
        <f t="shared" si="15"/>
        <v>-3388</v>
      </c>
      <c r="DT14" s="760">
        <f t="shared" si="15"/>
        <v>6547</v>
      </c>
      <c r="DU14" s="760">
        <f t="shared" si="15"/>
        <v>30902</v>
      </c>
      <c r="DV14" s="760">
        <f t="shared" si="15"/>
        <v>30902</v>
      </c>
      <c r="DW14" s="760">
        <f t="shared" ref="DW14:GH14" si="16">SUM(DW15:DW17)</f>
        <v>21000</v>
      </c>
      <c r="DX14" s="760">
        <f t="shared" si="16"/>
        <v>0</v>
      </c>
      <c r="DY14" s="760">
        <f t="shared" si="16"/>
        <v>9902</v>
      </c>
      <c r="DZ14" s="760">
        <f t="shared" si="16"/>
        <v>0</v>
      </c>
      <c r="EA14" s="760">
        <f t="shared" si="16"/>
        <v>3666</v>
      </c>
      <c r="EB14" s="760">
        <f t="shared" si="16"/>
        <v>17016</v>
      </c>
      <c r="EC14" s="760">
        <f t="shared" si="16"/>
        <v>4250</v>
      </c>
      <c r="ED14" s="760">
        <f t="shared" si="16"/>
        <v>19000</v>
      </c>
      <c r="EE14" s="760">
        <f t="shared" si="16"/>
        <v>15930</v>
      </c>
      <c r="EF14" s="760">
        <f t="shared" si="16"/>
        <v>13680</v>
      </c>
      <c r="EG14" s="760">
        <f t="shared" si="16"/>
        <v>0</v>
      </c>
      <c r="EH14" s="760">
        <f t="shared" si="16"/>
        <v>2250</v>
      </c>
      <c r="EI14" s="760">
        <f t="shared" si="16"/>
        <v>-3070</v>
      </c>
      <c r="EJ14" s="760">
        <f t="shared" si="16"/>
        <v>4250</v>
      </c>
      <c r="EK14" s="760">
        <f t="shared" si="16"/>
        <v>19000</v>
      </c>
      <c r="EL14" s="760">
        <f t="shared" si="16"/>
        <v>19000</v>
      </c>
      <c r="EM14" s="760">
        <f t="shared" si="16"/>
        <v>13680</v>
      </c>
      <c r="EN14" s="760">
        <f t="shared" si="16"/>
        <v>0</v>
      </c>
      <c r="EO14" s="760">
        <f t="shared" si="16"/>
        <v>5320</v>
      </c>
      <c r="EP14" s="760">
        <f t="shared" si="16"/>
        <v>0</v>
      </c>
      <c r="EQ14" s="760">
        <f t="shared" si="16"/>
        <v>6906</v>
      </c>
      <c r="ER14" s="760">
        <f t="shared" si="16"/>
        <v>33177</v>
      </c>
      <c r="ES14" s="760">
        <f t="shared" si="16"/>
        <v>7016</v>
      </c>
      <c r="ET14" s="760">
        <f t="shared" si="16"/>
        <v>33524</v>
      </c>
      <c r="EU14" s="760">
        <f t="shared" si="16"/>
        <v>35616</v>
      </c>
      <c r="EV14" s="760">
        <f t="shared" si="16"/>
        <v>20270</v>
      </c>
      <c r="EW14" s="760">
        <f t="shared" si="16"/>
        <v>3676</v>
      </c>
      <c r="EX14" s="760">
        <f t="shared" si="16"/>
        <v>11670</v>
      </c>
      <c r="EY14" s="760">
        <f t="shared" si="16"/>
        <v>2092</v>
      </c>
      <c r="EZ14" s="760">
        <f t="shared" si="16"/>
        <v>7064</v>
      </c>
      <c r="FA14" s="760">
        <f t="shared" si="16"/>
        <v>33524</v>
      </c>
      <c r="FB14" s="760">
        <f t="shared" si="16"/>
        <v>33524</v>
      </c>
      <c r="FC14" s="760">
        <f t="shared" si="16"/>
        <v>20270</v>
      </c>
      <c r="FD14" s="760">
        <f t="shared" si="16"/>
        <v>2092</v>
      </c>
      <c r="FE14" s="760">
        <f t="shared" si="16"/>
        <v>11162</v>
      </c>
      <c r="FF14" s="760">
        <f t="shared" si="16"/>
        <v>0</v>
      </c>
      <c r="FG14" s="760">
        <f t="shared" si="16"/>
        <v>6670</v>
      </c>
      <c r="FH14" s="760">
        <f t="shared" si="16"/>
        <v>33420</v>
      </c>
      <c r="FI14" s="760">
        <f t="shared" si="16"/>
        <v>6670</v>
      </c>
      <c r="FJ14" s="760">
        <f t="shared" si="16"/>
        <v>33420</v>
      </c>
      <c r="FK14" s="760">
        <f t="shared" si="16"/>
        <v>28740</v>
      </c>
      <c r="FL14" s="760">
        <f t="shared" si="16"/>
        <v>20520</v>
      </c>
      <c r="FM14" s="760">
        <f t="shared" si="16"/>
        <v>0</v>
      </c>
      <c r="FN14" s="760">
        <f t="shared" si="16"/>
        <v>8220</v>
      </c>
      <c r="FO14" s="760">
        <f t="shared" si="16"/>
        <v>-4680</v>
      </c>
      <c r="FP14" s="760">
        <f t="shared" si="16"/>
        <v>6670</v>
      </c>
      <c r="FQ14" s="760">
        <f t="shared" si="16"/>
        <v>33420</v>
      </c>
      <c r="FR14" s="760">
        <f t="shared" si="16"/>
        <v>33420</v>
      </c>
      <c r="FS14" s="760">
        <f t="shared" si="16"/>
        <v>20520</v>
      </c>
      <c r="FT14" s="760">
        <f t="shared" si="16"/>
        <v>0</v>
      </c>
      <c r="FU14" s="760">
        <f t="shared" si="16"/>
        <v>12900</v>
      </c>
      <c r="FV14" s="760">
        <f t="shared" si="16"/>
        <v>0</v>
      </c>
      <c r="FW14" s="760">
        <f t="shared" si="16"/>
        <v>3728</v>
      </c>
      <c r="FX14" s="760">
        <f t="shared" si="16"/>
        <v>19923</v>
      </c>
      <c r="FY14" s="760">
        <f t="shared" si="16"/>
        <v>4339</v>
      </c>
      <c r="FZ14" s="760">
        <f t="shared" si="16"/>
        <v>19920</v>
      </c>
      <c r="GA14" s="760">
        <f t="shared" si="16"/>
        <v>16610</v>
      </c>
      <c r="GB14" s="760">
        <f t="shared" si="16"/>
        <v>10200</v>
      </c>
      <c r="GC14" s="760">
        <f t="shared" si="16"/>
        <v>0</v>
      </c>
      <c r="GD14" s="760">
        <f t="shared" si="16"/>
        <v>6410</v>
      </c>
      <c r="GE14" s="760">
        <f t="shared" si="16"/>
        <v>-3310</v>
      </c>
      <c r="GF14" s="760">
        <f t="shared" si="16"/>
        <v>4339</v>
      </c>
      <c r="GG14" s="760">
        <f t="shared" si="16"/>
        <v>19920</v>
      </c>
      <c r="GH14" s="760">
        <f t="shared" si="16"/>
        <v>19920</v>
      </c>
      <c r="GI14" s="760">
        <f t="shared" ref="GI14:HB14" si="17">SUM(GI15:GI17)</f>
        <v>10200</v>
      </c>
      <c r="GJ14" s="760">
        <f t="shared" si="17"/>
        <v>0</v>
      </c>
      <c r="GK14" s="760">
        <f t="shared" si="17"/>
        <v>9720</v>
      </c>
      <c r="GL14" s="760">
        <f t="shared" si="17"/>
        <v>0</v>
      </c>
      <c r="GM14" s="760">
        <f t="shared" si="17"/>
        <v>6512</v>
      </c>
      <c r="GN14" s="760">
        <f t="shared" si="17"/>
        <v>28080</v>
      </c>
      <c r="GO14" s="760">
        <f t="shared" si="17"/>
        <v>7383</v>
      </c>
      <c r="GP14" s="760">
        <f t="shared" si="17"/>
        <v>32980</v>
      </c>
      <c r="GQ14" s="760">
        <f t="shared" si="17"/>
        <v>28080</v>
      </c>
      <c r="GR14" s="760">
        <f t="shared" si="17"/>
        <v>19500</v>
      </c>
      <c r="GS14" s="760">
        <f t="shared" si="17"/>
        <v>0</v>
      </c>
      <c r="GT14" s="760">
        <f t="shared" si="17"/>
        <v>8580</v>
      </c>
      <c r="GU14" s="760">
        <f t="shared" si="17"/>
        <v>-4900</v>
      </c>
      <c r="GV14" s="760">
        <f t="shared" si="17"/>
        <v>7398</v>
      </c>
      <c r="GW14" s="760">
        <f t="shared" si="17"/>
        <v>32980</v>
      </c>
      <c r="GX14" s="760">
        <f t="shared" si="17"/>
        <v>32980</v>
      </c>
      <c r="GY14" s="760">
        <f t="shared" si="17"/>
        <v>19500</v>
      </c>
      <c r="GZ14" s="760">
        <f t="shared" si="17"/>
        <v>0</v>
      </c>
      <c r="HA14" s="760">
        <f t="shared" si="17"/>
        <v>13480</v>
      </c>
      <c r="HB14" s="760">
        <f t="shared" si="17"/>
        <v>0</v>
      </c>
    </row>
    <row r="15" spans="1:210" ht="110.25" x14ac:dyDescent="0.2">
      <c r="A15" s="422">
        <v>1</v>
      </c>
      <c r="B15" s="421" t="s">
        <v>622</v>
      </c>
      <c r="C15" s="757">
        <f t="shared" ref="C15:R17" si="18">SUM(S15,AI15,AY15,BO15,CE15,CU15,DK15,EA15,EQ15,FG15,FW15,GM15)</f>
        <v>57096</v>
      </c>
      <c r="D15" s="757">
        <f t="shared" si="18"/>
        <v>272201</v>
      </c>
      <c r="E15" s="757">
        <f t="shared" si="18"/>
        <v>61316</v>
      </c>
      <c r="F15" s="757">
        <f t="shared" si="18"/>
        <v>287995</v>
      </c>
      <c r="G15" s="757">
        <f t="shared" si="18"/>
        <v>268054</v>
      </c>
      <c r="H15" s="757">
        <f t="shared" si="18"/>
        <v>185647</v>
      </c>
      <c r="I15" s="757">
        <f t="shared" si="18"/>
        <v>9529</v>
      </c>
      <c r="J15" s="757">
        <f t="shared" si="18"/>
        <v>72878</v>
      </c>
      <c r="K15" s="757">
        <f t="shared" si="18"/>
        <v>-19941</v>
      </c>
      <c r="L15" s="757">
        <f t="shared" si="18"/>
        <v>61745</v>
      </c>
      <c r="M15" s="757">
        <f t="shared" si="18"/>
        <v>289779</v>
      </c>
      <c r="N15" s="757">
        <f t="shared" si="18"/>
        <v>289779</v>
      </c>
      <c r="O15" s="757">
        <f t="shared" si="18"/>
        <v>185647</v>
      </c>
      <c r="P15" s="757">
        <f t="shared" si="18"/>
        <v>5971</v>
      </c>
      <c r="Q15" s="757">
        <f t="shared" si="18"/>
        <v>98161</v>
      </c>
      <c r="R15" s="757">
        <f t="shared" si="18"/>
        <v>0</v>
      </c>
      <c r="S15" s="758">
        <v>4997</v>
      </c>
      <c r="T15" s="758">
        <v>24214</v>
      </c>
      <c r="U15" s="772">
        <v>5879</v>
      </c>
      <c r="V15" s="759">
        <v>25965</v>
      </c>
      <c r="W15" s="759">
        <f t="shared" si="6"/>
        <v>29738</v>
      </c>
      <c r="X15" s="759">
        <v>16000</v>
      </c>
      <c r="Y15" s="759">
        <v>3268</v>
      </c>
      <c r="Z15" s="759">
        <v>10470</v>
      </c>
      <c r="AA15" s="759">
        <f>+W15-V15</f>
        <v>3773</v>
      </c>
      <c r="AB15" s="772">
        <v>6245</v>
      </c>
      <c r="AC15" s="759">
        <v>27750</v>
      </c>
      <c r="AD15" s="759">
        <f>AE15+AF15+AG15</f>
        <v>27750</v>
      </c>
      <c r="AE15" s="759">
        <v>16000</v>
      </c>
      <c r="AF15" s="759">
        <f>IF(AA15&lt;0,0,AA15)</f>
        <v>3773</v>
      </c>
      <c r="AG15" s="759">
        <f>IF((AC15-AE15-AF15)&lt;0,0,(AC15-AE15-AF15))</f>
        <v>7977</v>
      </c>
      <c r="AH15" s="759">
        <f>+AD15-AC15</f>
        <v>0</v>
      </c>
      <c r="AI15" s="759">
        <v>2340</v>
      </c>
      <c r="AJ15" s="759">
        <v>9806</v>
      </c>
      <c r="AK15" s="759">
        <v>2574</v>
      </c>
      <c r="AL15" s="759">
        <v>10951</v>
      </c>
      <c r="AM15" s="759">
        <f>+AN15+AO15+AP15</f>
        <v>9490</v>
      </c>
      <c r="AN15" s="759">
        <v>9490</v>
      </c>
      <c r="AO15" s="759"/>
      <c r="AP15" s="759"/>
      <c r="AQ15" s="759">
        <f>AM15-AL15</f>
        <v>-1461</v>
      </c>
      <c r="AR15" s="759">
        <v>2574</v>
      </c>
      <c r="AS15" s="759">
        <v>10950</v>
      </c>
      <c r="AT15" s="759">
        <f t="shared" si="7"/>
        <v>10950</v>
      </c>
      <c r="AU15" s="759">
        <v>9490</v>
      </c>
      <c r="AV15" s="759">
        <f>IF(AQ15&lt;0,0,AQ15)</f>
        <v>0</v>
      </c>
      <c r="AW15" s="759">
        <f>IF((AS15-AU15-AV15)&lt;0,0,(AS15-AU15-AV15))</f>
        <v>1460</v>
      </c>
      <c r="AX15" s="759">
        <f>+AT15-AS15</f>
        <v>0</v>
      </c>
      <c r="AY15" s="759">
        <v>2097</v>
      </c>
      <c r="AZ15" s="759">
        <v>9914</v>
      </c>
      <c r="BA15" s="758">
        <v>2178</v>
      </c>
      <c r="BB15" s="758">
        <v>11460</v>
      </c>
      <c r="BC15" s="758">
        <f t="shared" si="5"/>
        <v>11460</v>
      </c>
      <c r="BD15" s="758">
        <v>8300</v>
      </c>
      <c r="BE15" s="758"/>
      <c r="BF15" s="758">
        <v>3160</v>
      </c>
      <c r="BG15" s="758">
        <f>+BC15-BB15</f>
        <v>0</v>
      </c>
      <c r="BH15" s="758">
        <v>2178</v>
      </c>
      <c r="BI15" s="758">
        <v>11460</v>
      </c>
      <c r="BJ15" s="758">
        <f>+BK15+BL15+BM15</f>
        <v>11460</v>
      </c>
      <c r="BK15" s="758">
        <v>8300</v>
      </c>
      <c r="BL15" s="759">
        <f>IF(BG15&lt;0,0,BG15)</f>
        <v>0</v>
      </c>
      <c r="BM15" s="759">
        <f>IF((BI15-BK15-BL15)&lt;0,0,(BI15-BK15-BL15))</f>
        <v>3160</v>
      </c>
      <c r="BN15" s="758">
        <f>+BJ15-BI15</f>
        <v>0</v>
      </c>
      <c r="BO15" s="758">
        <v>2963</v>
      </c>
      <c r="BP15" s="758">
        <v>17099</v>
      </c>
      <c r="BQ15" s="759">
        <v>3366</v>
      </c>
      <c r="BR15" s="759">
        <v>16181</v>
      </c>
      <c r="BS15" s="759">
        <f>BT15+BU15+BV15</f>
        <v>16287</v>
      </c>
      <c r="BT15" s="759">
        <v>11527</v>
      </c>
      <c r="BU15" s="759">
        <v>106</v>
      </c>
      <c r="BV15" s="759">
        <v>4654</v>
      </c>
      <c r="BW15" s="759">
        <f>+BS15-BR15</f>
        <v>106</v>
      </c>
      <c r="BX15" s="759">
        <v>3366</v>
      </c>
      <c r="BY15" s="759">
        <v>16181</v>
      </c>
      <c r="BZ15" s="759">
        <f>SUM(CA15:CC15)</f>
        <v>16181</v>
      </c>
      <c r="CA15" s="759">
        <v>11527</v>
      </c>
      <c r="CB15" s="759">
        <f>IF(BW15&lt;0,0,BW15)</f>
        <v>106</v>
      </c>
      <c r="CC15" s="759">
        <f>IF((BY15-CA15-CB15)&lt;0,0,(BY15-CA15-CB15))</f>
        <v>4548</v>
      </c>
      <c r="CD15" s="759">
        <f>+BZ15-BY15</f>
        <v>0</v>
      </c>
      <c r="CE15" s="759">
        <v>5978</v>
      </c>
      <c r="CF15" s="759">
        <v>26905</v>
      </c>
      <c r="CG15" s="759">
        <v>6411</v>
      </c>
      <c r="CH15" s="759">
        <v>31185</v>
      </c>
      <c r="CI15" s="759">
        <f>CJ15+CK15+CL15</f>
        <v>27989</v>
      </c>
      <c r="CJ15" s="759">
        <v>20210</v>
      </c>
      <c r="CK15" s="759">
        <v>2479</v>
      </c>
      <c r="CL15" s="759">
        <v>5300</v>
      </c>
      <c r="CM15" s="759">
        <f>CI15-CH15</f>
        <v>-3196</v>
      </c>
      <c r="CN15" s="759">
        <v>6411</v>
      </c>
      <c r="CO15" s="759">
        <v>31185</v>
      </c>
      <c r="CP15" s="759">
        <f>+CQ15+CR15+CS15</f>
        <v>31185</v>
      </c>
      <c r="CQ15" s="759">
        <v>20210</v>
      </c>
      <c r="CR15" s="759">
        <f>IF(CM15&lt;0,0,CM15)</f>
        <v>0</v>
      </c>
      <c r="CS15" s="759">
        <f>IF((CO15-CQ15-CR15)&lt;0,0,(CO15-CQ15-CR15))</f>
        <v>10975</v>
      </c>
      <c r="CT15" s="759">
        <f>+CP15-CO15</f>
        <v>0</v>
      </c>
      <c r="CU15" s="759">
        <v>4703</v>
      </c>
      <c r="CV15" s="759">
        <v>22507</v>
      </c>
      <c r="CW15" s="759">
        <v>4703</v>
      </c>
      <c r="CX15" s="759">
        <v>22507</v>
      </c>
      <c r="CY15" s="759">
        <f>CZ15+DA15+DB15</f>
        <v>20600</v>
      </c>
      <c r="CZ15" s="759">
        <v>14950</v>
      </c>
      <c r="DA15" s="759"/>
      <c r="DB15" s="759">
        <v>5650</v>
      </c>
      <c r="DC15" s="759">
        <f>CY15-CX15</f>
        <v>-1907</v>
      </c>
      <c r="DD15" s="759">
        <v>4703</v>
      </c>
      <c r="DE15" s="759">
        <v>22507</v>
      </c>
      <c r="DF15" s="759">
        <f>SUM(DG15:DI15)</f>
        <v>22507</v>
      </c>
      <c r="DG15" s="759">
        <v>14950</v>
      </c>
      <c r="DH15" s="759">
        <f>IF(DC15&lt;0,0,DC15)</f>
        <v>0</v>
      </c>
      <c r="DI15" s="759">
        <f>IF((DE15-DG15-DH15)&lt;0,0,(DE15-DG15-DH15))</f>
        <v>7557</v>
      </c>
      <c r="DJ15" s="759">
        <f>+DF15-DE15</f>
        <v>0</v>
      </c>
      <c r="DK15" s="759">
        <v>6536</v>
      </c>
      <c r="DL15" s="759">
        <v>30140</v>
      </c>
      <c r="DM15" s="759">
        <v>6547</v>
      </c>
      <c r="DN15" s="759">
        <v>30902</v>
      </c>
      <c r="DO15" s="759">
        <f>DP15+DQ15+DR15</f>
        <v>27514</v>
      </c>
      <c r="DP15" s="759">
        <v>21000</v>
      </c>
      <c r="DQ15" s="759"/>
      <c r="DR15" s="759">
        <v>6514</v>
      </c>
      <c r="DS15" s="759">
        <f>DO15-DN15</f>
        <v>-3388</v>
      </c>
      <c r="DT15" s="759">
        <v>6547</v>
      </c>
      <c r="DU15" s="759">
        <v>30902</v>
      </c>
      <c r="DV15" s="759">
        <f>+DW15+DX15+DY15</f>
        <v>30902</v>
      </c>
      <c r="DW15" s="759">
        <v>21000</v>
      </c>
      <c r="DX15" s="759">
        <f>IF(DS15&lt;0,0,DS15)</f>
        <v>0</v>
      </c>
      <c r="DY15" s="759">
        <f>IF((DU15-DW15-DX15)&lt;0,0,(DU15-DW15-DX15))</f>
        <v>9902</v>
      </c>
      <c r="DZ15" s="759">
        <f>+DV15-DU15</f>
        <v>0</v>
      </c>
      <c r="EA15" s="759">
        <v>3666</v>
      </c>
      <c r="EB15" s="759">
        <v>17016</v>
      </c>
      <c r="EC15" s="759">
        <v>4250</v>
      </c>
      <c r="ED15" s="759">
        <v>19000</v>
      </c>
      <c r="EE15" s="759">
        <f>EF15+EG15+EH15</f>
        <v>15930</v>
      </c>
      <c r="EF15" s="759">
        <v>13680</v>
      </c>
      <c r="EG15" s="759"/>
      <c r="EH15" s="759">
        <v>2250</v>
      </c>
      <c r="EI15" s="759">
        <f>+EE15-ED15</f>
        <v>-3070</v>
      </c>
      <c r="EJ15" s="759">
        <v>4250</v>
      </c>
      <c r="EK15" s="759">
        <v>19000</v>
      </c>
      <c r="EL15" s="759">
        <f>SUM(EM15:EO15)</f>
        <v>19000</v>
      </c>
      <c r="EM15" s="759">
        <v>13680</v>
      </c>
      <c r="EN15" s="759">
        <f>IF(EI15&lt;0,0,EI15)</f>
        <v>0</v>
      </c>
      <c r="EO15" s="759">
        <f>IF((EK15-EM15-EN15)&lt;0,0,(EK15-EM15-EN15))</f>
        <v>5320</v>
      </c>
      <c r="EP15" s="759">
        <f>+EL15-EK15</f>
        <v>0</v>
      </c>
      <c r="EQ15" s="759">
        <v>6906</v>
      </c>
      <c r="ER15" s="759">
        <v>33177</v>
      </c>
      <c r="ES15" s="772">
        <v>7016</v>
      </c>
      <c r="ET15" s="759">
        <v>33524</v>
      </c>
      <c r="EU15" s="759">
        <f t="shared" si="8"/>
        <v>35616</v>
      </c>
      <c r="EV15" s="759">
        <v>20270</v>
      </c>
      <c r="EW15" s="759">
        <v>3676</v>
      </c>
      <c r="EX15" s="759">
        <v>11670</v>
      </c>
      <c r="EY15" s="759">
        <f>EU15-ET15</f>
        <v>2092</v>
      </c>
      <c r="EZ15" s="772">
        <v>7064</v>
      </c>
      <c r="FA15" s="759">
        <v>33524</v>
      </c>
      <c r="FB15" s="759">
        <f>SUM(FC15:FE15)</f>
        <v>33524</v>
      </c>
      <c r="FC15" s="759">
        <v>20270</v>
      </c>
      <c r="FD15" s="759">
        <f>IF(EY15&lt;0,0,EY15)</f>
        <v>2092</v>
      </c>
      <c r="FE15" s="759">
        <f>IF((FA15-FC15-FD15)&lt;0,0,(FA15-FC15-FD15))</f>
        <v>11162</v>
      </c>
      <c r="FF15" s="759">
        <f>+FB15-FA15</f>
        <v>0</v>
      </c>
      <c r="FG15" s="759">
        <v>6670</v>
      </c>
      <c r="FH15" s="759">
        <v>33420</v>
      </c>
      <c r="FI15" s="759">
        <v>6670</v>
      </c>
      <c r="FJ15" s="759">
        <v>33420</v>
      </c>
      <c r="FK15" s="759">
        <f t="shared" si="9"/>
        <v>28740</v>
      </c>
      <c r="FL15" s="759">
        <v>20520</v>
      </c>
      <c r="FM15" s="759"/>
      <c r="FN15" s="759">
        <v>8220</v>
      </c>
      <c r="FO15" s="759">
        <f>+FK15-FJ15</f>
        <v>-4680</v>
      </c>
      <c r="FP15" s="759">
        <v>6670</v>
      </c>
      <c r="FQ15" s="759">
        <v>33420</v>
      </c>
      <c r="FR15" s="759">
        <f>SUM(FS15:FU15)</f>
        <v>33420</v>
      </c>
      <c r="FS15" s="759">
        <v>20520</v>
      </c>
      <c r="FT15" s="759">
        <f>IF(FO15&lt;0,0,FO15)</f>
        <v>0</v>
      </c>
      <c r="FU15" s="759">
        <f>IF((FQ15-FS15-FT15)&lt;0,0,(FQ15-FS15-FT15))</f>
        <v>12900</v>
      </c>
      <c r="FV15" s="759">
        <f t="shared" si="10"/>
        <v>0</v>
      </c>
      <c r="FW15" s="759">
        <v>3728</v>
      </c>
      <c r="FX15" s="759">
        <v>19923</v>
      </c>
      <c r="FY15" s="759">
        <v>4339</v>
      </c>
      <c r="FZ15" s="759">
        <v>19920</v>
      </c>
      <c r="GA15" s="759">
        <f t="shared" si="11"/>
        <v>16610</v>
      </c>
      <c r="GB15" s="759">
        <v>10200</v>
      </c>
      <c r="GC15" s="759"/>
      <c r="GD15" s="759">
        <v>6410</v>
      </c>
      <c r="GE15" s="759">
        <f>+GA15-FZ15</f>
        <v>-3310</v>
      </c>
      <c r="GF15" s="759">
        <v>4339</v>
      </c>
      <c r="GG15" s="759">
        <v>19920</v>
      </c>
      <c r="GH15" s="759">
        <f>SUM(GI15:GK15)</f>
        <v>19920</v>
      </c>
      <c r="GI15" s="759">
        <f>GB15</f>
        <v>10200</v>
      </c>
      <c r="GJ15" s="759">
        <f>IF(GE15&lt;0,0,GE15)</f>
        <v>0</v>
      </c>
      <c r="GK15" s="759">
        <f>IF((GG15-GI15-GJ15)&lt;0,0,(GG15-GI15-GJ15))</f>
        <v>9720</v>
      </c>
      <c r="GL15" s="759">
        <f>+GH15-GG15</f>
        <v>0</v>
      </c>
      <c r="GM15" s="759">
        <v>6512</v>
      </c>
      <c r="GN15" s="759">
        <v>28080</v>
      </c>
      <c r="GO15" s="759">
        <v>7383</v>
      </c>
      <c r="GP15" s="772">
        <v>32980</v>
      </c>
      <c r="GQ15" s="759">
        <f t="shared" si="12"/>
        <v>28080</v>
      </c>
      <c r="GR15" s="759">
        <v>19500</v>
      </c>
      <c r="GS15" s="759"/>
      <c r="GT15" s="759">
        <v>8580</v>
      </c>
      <c r="GU15" s="759">
        <f>+GQ15-GP15</f>
        <v>-4900</v>
      </c>
      <c r="GV15" s="759">
        <v>7398</v>
      </c>
      <c r="GW15" s="772">
        <v>32980</v>
      </c>
      <c r="GX15" s="759">
        <f>SUM(GY15:HA15)</f>
        <v>32980</v>
      </c>
      <c r="GY15" s="759">
        <v>19500</v>
      </c>
      <c r="GZ15" s="759">
        <f>IF(GU15&lt;0,0,GU15)</f>
        <v>0</v>
      </c>
      <c r="HA15" s="759">
        <f>IF((GW15-GY15-GZ15)&lt;0,0,(GW15-GY15-GZ15))</f>
        <v>13480</v>
      </c>
      <c r="HB15" s="759">
        <f t="shared" si="13"/>
        <v>0</v>
      </c>
    </row>
    <row r="16" spans="1:210" ht="15.75" x14ac:dyDescent="0.2">
      <c r="A16" s="422">
        <v>2</v>
      </c>
      <c r="B16" s="421" t="s">
        <v>584</v>
      </c>
      <c r="C16" s="757">
        <f t="shared" si="18"/>
        <v>0</v>
      </c>
      <c r="D16" s="757">
        <f t="shared" si="18"/>
        <v>0</v>
      </c>
      <c r="E16" s="757">
        <f t="shared" si="18"/>
        <v>0</v>
      </c>
      <c r="F16" s="757">
        <f t="shared" si="18"/>
        <v>0</v>
      </c>
      <c r="G16" s="757">
        <f t="shared" si="18"/>
        <v>0</v>
      </c>
      <c r="H16" s="757">
        <f t="shared" si="18"/>
        <v>0</v>
      </c>
      <c r="I16" s="757">
        <f t="shared" si="18"/>
        <v>0</v>
      </c>
      <c r="J16" s="757">
        <f t="shared" si="18"/>
        <v>0</v>
      </c>
      <c r="K16" s="757">
        <f t="shared" si="18"/>
        <v>0</v>
      </c>
      <c r="L16" s="757">
        <f t="shared" si="18"/>
        <v>0</v>
      </c>
      <c r="M16" s="757">
        <f t="shared" si="18"/>
        <v>0</v>
      </c>
      <c r="N16" s="757">
        <f t="shared" si="18"/>
        <v>0</v>
      </c>
      <c r="O16" s="757">
        <f t="shared" si="18"/>
        <v>0</v>
      </c>
      <c r="P16" s="757">
        <f t="shared" si="18"/>
        <v>0</v>
      </c>
      <c r="Q16" s="757">
        <f t="shared" si="18"/>
        <v>0</v>
      </c>
      <c r="R16" s="757">
        <f t="shared" si="18"/>
        <v>0</v>
      </c>
      <c r="S16" s="758"/>
      <c r="T16" s="758"/>
      <c r="U16" s="759"/>
      <c r="V16" s="759">
        <f>U16*49000*12/1000000</f>
        <v>0</v>
      </c>
      <c r="W16" s="759">
        <f t="shared" si="6"/>
        <v>0</v>
      </c>
      <c r="X16" s="759"/>
      <c r="Y16" s="759">
        <f>V16</f>
        <v>0</v>
      </c>
      <c r="Z16" s="759"/>
      <c r="AA16" s="759">
        <f>+W16-V16</f>
        <v>0</v>
      </c>
      <c r="AB16" s="759"/>
      <c r="AC16" s="759"/>
      <c r="AD16" s="759"/>
      <c r="AE16" s="759"/>
      <c r="AF16" s="759">
        <f>IF(AA16&lt;0,0,AA16)</f>
        <v>0</v>
      </c>
      <c r="AG16" s="759">
        <f>IF((AC16-AE16-AF16)&lt;0,0,(AC16-AE16-AF16))</f>
        <v>0</v>
      </c>
      <c r="AH16" s="759">
        <f>+AD16-AC16</f>
        <v>0</v>
      </c>
      <c r="AI16" s="759"/>
      <c r="AJ16" s="759"/>
      <c r="AK16" s="759"/>
      <c r="AL16" s="759">
        <f>AK16*49000*12/1000000</f>
        <v>0</v>
      </c>
      <c r="AM16" s="759"/>
      <c r="AN16" s="759"/>
      <c r="AO16" s="759"/>
      <c r="AP16" s="759"/>
      <c r="AQ16" s="759">
        <f>AM16-AL16</f>
        <v>0</v>
      </c>
      <c r="AR16" s="759"/>
      <c r="AS16" s="759"/>
      <c r="AT16" s="759">
        <f t="shared" si="7"/>
        <v>0</v>
      </c>
      <c r="AU16" s="759"/>
      <c r="AV16" s="759">
        <f>IF(AQ16&lt;0,0,AQ16)</f>
        <v>0</v>
      </c>
      <c r="AW16" s="759">
        <f>IF((AS16-AU16-AV16)&lt;0,0,(AS16-AU16-AV16))</f>
        <v>0</v>
      </c>
      <c r="AX16" s="759">
        <f>+AT16-AS16</f>
        <v>0</v>
      </c>
      <c r="AY16" s="759"/>
      <c r="AZ16" s="759"/>
      <c r="BA16" s="758"/>
      <c r="BB16" s="758">
        <f>BA16*49000*12/1000000</f>
        <v>0</v>
      </c>
      <c r="BC16" s="758">
        <f t="shared" si="5"/>
        <v>0</v>
      </c>
      <c r="BD16" s="758"/>
      <c r="BE16" s="758">
        <f>BB16</f>
        <v>0</v>
      </c>
      <c r="BF16" s="758"/>
      <c r="BG16" s="758">
        <f>+BC16-BB16</f>
        <v>0</v>
      </c>
      <c r="BH16" s="758"/>
      <c r="BI16" s="758"/>
      <c r="BJ16" s="758">
        <f>+BK16+BL16+BM16</f>
        <v>0</v>
      </c>
      <c r="BK16" s="758"/>
      <c r="BL16" s="759">
        <f>IF(BG16&lt;0,0,BG16)</f>
        <v>0</v>
      </c>
      <c r="BM16" s="759">
        <f>IF((BI16-BK16-BL16)&lt;0,0,(BI16-BK16-BL16))</f>
        <v>0</v>
      </c>
      <c r="BN16" s="758">
        <f>+BJ16-BI16</f>
        <v>0</v>
      </c>
      <c r="BO16" s="758"/>
      <c r="BP16" s="758"/>
      <c r="BQ16" s="759"/>
      <c r="BR16" s="759">
        <f>BQ16*49000*12/1000000</f>
        <v>0</v>
      </c>
      <c r="BS16" s="759">
        <f>BT16+BU16+BV16</f>
        <v>0</v>
      </c>
      <c r="BT16" s="759"/>
      <c r="BU16" s="759">
        <f>BR16</f>
        <v>0</v>
      </c>
      <c r="BV16" s="759"/>
      <c r="BW16" s="759">
        <f>+BS16-BR16</f>
        <v>0</v>
      </c>
      <c r="BX16" s="759"/>
      <c r="BY16" s="759"/>
      <c r="BZ16" s="759">
        <f>SUM(CA16:CC16)</f>
        <v>0</v>
      </c>
      <c r="CA16" s="759"/>
      <c r="CB16" s="759">
        <f>IF(BW16&lt;0,0,BW16)</f>
        <v>0</v>
      </c>
      <c r="CC16" s="759">
        <f>IF((BY16-CA16-CB16)&lt;0,0,(BY16-CA16-CB16))</f>
        <v>0</v>
      </c>
      <c r="CD16" s="759">
        <f>+BZ16-BY16</f>
        <v>0</v>
      </c>
      <c r="CE16" s="759"/>
      <c r="CF16" s="759"/>
      <c r="CG16" s="759"/>
      <c r="CH16" s="759">
        <f>CG16*49000*12/1000000</f>
        <v>0</v>
      </c>
      <c r="CI16" s="759">
        <f>CJ16+CK16+CL16</f>
        <v>0</v>
      </c>
      <c r="CJ16" s="759"/>
      <c r="CK16" s="759">
        <f>CH16</f>
        <v>0</v>
      </c>
      <c r="CL16" s="759"/>
      <c r="CM16" s="759">
        <f>CI16-CH16</f>
        <v>0</v>
      </c>
      <c r="CN16" s="759"/>
      <c r="CO16" s="759"/>
      <c r="CP16" s="759">
        <f>+CQ16+CR16+CS16</f>
        <v>0</v>
      </c>
      <c r="CQ16" s="759"/>
      <c r="CR16" s="759">
        <f>IF(CM16&lt;0,0,CM16)</f>
        <v>0</v>
      </c>
      <c r="CS16" s="759">
        <f>IF((CO16-CQ16-CR16)&lt;0,0,(CO16-CQ16-CR16))</f>
        <v>0</v>
      </c>
      <c r="CT16" s="759">
        <f>+CP16-CO16</f>
        <v>0</v>
      </c>
      <c r="CU16" s="759"/>
      <c r="CV16" s="759"/>
      <c r="CW16" s="759">
        <v>0</v>
      </c>
      <c r="CX16" s="759">
        <f>CW16*49000*12/1000000</f>
        <v>0</v>
      </c>
      <c r="CY16" s="759">
        <f>CZ16+DA16+DB16</f>
        <v>0</v>
      </c>
      <c r="CZ16" s="759"/>
      <c r="DA16" s="759">
        <f>CX16</f>
        <v>0</v>
      </c>
      <c r="DB16" s="759"/>
      <c r="DC16" s="759">
        <f>CY16-CX16</f>
        <v>0</v>
      </c>
      <c r="DD16" s="759"/>
      <c r="DE16" s="759"/>
      <c r="DF16" s="759">
        <f>SUM(DG16:DI16)</f>
        <v>0</v>
      </c>
      <c r="DG16" s="759"/>
      <c r="DH16" s="759">
        <f>IF(DC16&lt;0,0,DC16)</f>
        <v>0</v>
      </c>
      <c r="DI16" s="759">
        <f>IF((DE16-DG16-DH16)&lt;0,0,(DE16-DG16-DH16))</f>
        <v>0</v>
      </c>
      <c r="DJ16" s="759">
        <f>+DF16-DE16</f>
        <v>0</v>
      </c>
      <c r="DK16" s="759"/>
      <c r="DL16" s="759"/>
      <c r="DM16" s="759"/>
      <c r="DN16" s="759">
        <f>DM16*49000*12/1000000</f>
        <v>0</v>
      </c>
      <c r="DO16" s="759">
        <f>DP16+DQ16+DR16</f>
        <v>0</v>
      </c>
      <c r="DP16" s="759"/>
      <c r="DQ16" s="759">
        <f>DN16</f>
        <v>0</v>
      </c>
      <c r="DR16" s="759"/>
      <c r="DS16" s="759">
        <f>DO16-DN16</f>
        <v>0</v>
      </c>
      <c r="DT16" s="759"/>
      <c r="DU16" s="759"/>
      <c r="DV16" s="759">
        <f>+DW16+DX16+DY16</f>
        <v>0</v>
      </c>
      <c r="DW16" s="759"/>
      <c r="DX16" s="759">
        <f>IF(DS16&lt;0,0,DS16)</f>
        <v>0</v>
      </c>
      <c r="DY16" s="759">
        <f>IF((DU16-DW16-DX16)&lt;0,0,(DU16-DW16-DX16))</f>
        <v>0</v>
      </c>
      <c r="DZ16" s="759">
        <f>+DV16-DU16</f>
        <v>0</v>
      </c>
      <c r="EA16" s="759"/>
      <c r="EB16" s="759"/>
      <c r="EC16" s="759"/>
      <c r="ED16" s="759">
        <f>EC16*49000*12/1000000</f>
        <v>0</v>
      </c>
      <c r="EE16" s="759">
        <f>EF16+EG16+EH16</f>
        <v>0</v>
      </c>
      <c r="EF16" s="759"/>
      <c r="EG16" s="759">
        <f>ED16</f>
        <v>0</v>
      </c>
      <c r="EH16" s="759"/>
      <c r="EI16" s="759">
        <f>+EE16-ED16</f>
        <v>0</v>
      </c>
      <c r="EJ16" s="759"/>
      <c r="EK16" s="759"/>
      <c r="EL16" s="759">
        <f>SUM(EM16:EO16)</f>
        <v>0</v>
      </c>
      <c r="EM16" s="759"/>
      <c r="EN16" s="759">
        <f>IF(EI16&lt;0,0,EI16)</f>
        <v>0</v>
      </c>
      <c r="EO16" s="759">
        <f>IF((EK16-EM16-EN16)&lt;0,0,(EK16-EM16-EN16))</f>
        <v>0</v>
      </c>
      <c r="EP16" s="759">
        <f>+EL16-EK16</f>
        <v>0</v>
      </c>
      <c r="EQ16" s="759"/>
      <c r="ER16" s="759"/>
      <c r="ES16" s="759">
        <v>0</v>
      </c>
      <c r="ET16" s="759">
        <f>ES16*49000*12/1000000</f>
        <v>0</v>
      </c>
      <c r="EU16" s="759">
        <f t="shared" si="8"/>
        <v>0</v>
      </c>
      <c r="EV16" s="759"/>
      <c r="EW16" s="759">
        <f>ET16</f>
        <v>0</v>
      </c>
      <c r="EX16" s="759"/>
      <c r="EY16" s="759">
        <f>EU16-ET16</f>
        <v>0</v>
      </c>
      <c r="EZ16" s="759"/>
      <c r="FA16" s="759"/>
      <c r="FB16" s="759">
        <f>SUM(FC16:FE16)</f>
        <v>0</v>
      </c>
      <c r="FC16" s="759"/>
      <c r="FD16" s="759">
        <f>IF(EY16&lt;0,0,EY16)</f>
        <v>0</v>
      </c>
      <c r="FE16" s="759">
        <f>IF((FA16-FC16-FD16)&lt;0,0,(FA16-FC16-FD16))</f>
        <v>0</v>
      </c>
      <c r="FF16" s="759">
        <f>+FB16-FA16</f>
        <v>0</v>
      </c>
      <c r="FG16" s="759"/>
      <c r="FH16" s="759"/>
      <c r="FI16" s="759"/>
      <c r="FJ16" s="759">
        <f>FI16*49000*12/1000000</f>
        <v>0</v>
      </c>
      <c r="FK16" s="759">
        <f t="shared" si="9"/>
        <v>0</v>
      </c>
      <c r="FL16" s="759"/>
      <c r="FM16" s="759">
        <f>FJ16</f>
        <v>0</v>
      </c>
      <c r="FN16" s="759"/>
      <c r="FO16" s="759">
        <f>+FK16-FJ16</f>
        <v>0</v>
      </c>
      <c r="FP16" s="759"/>
      <c r="FQ16" s="759"/>
      <c r="FR16" s="759">
        <f>SUM(FS16:FU16)</f>
        <v>0</v>
      </c>
      <c r="FS16" s="759"/>
      <c r="FT16" s="759">
        <f>IF(FO16&lt;0,0,FO16)</f>
        <v>0</v>
      </c>
      <c r="FU16" s="759">
        <f>IF((FQ16-FS16-FT16)&lt;0,0,(FQ16-FS16-FT16))</f>
        <v>0</v>
      </c>
      <c r="FV16" s="759">
        <f t="shared" si="10"/>
        <v>0</v>
      </c>
      <c r="FW16" s="759"/>
      <c r="FX16" s="759"/>
      <c r="FY16" s="759"/>
      <c r="FZ16" s="759">
        <f>FY16*49000*12/1000000</f>
        <v>0</v>
      </c>
      <c r="GA16" s="759">
        <f t="shared" si="11"/>
        <v>0</v>
      </c>
      <c r="GB16" s="759"/>
      <c r="GC16" s="759"/>
      <c r="GD16" s="759"/>
      <c r="GE16" s="759">
        <f>+GA16-FZ16</f>
        <v>0</v>
      </c>
      <c r="GF16" s="759"/>
      <c r="GG16" s="759"/>
      <c r="GH16" s="759">
        <f>SUM(GI16:GK16)</f>
        <v>0</v>
      </c>
      <c r="GI16" s="759"/>
      <c r="GJ16" s="759">
        <f>IF(GE16&lt;0,0,GE16)</f>
        <v>0</v>
      </c>
      <c r="GK16" s="759">
        <f>IF((GG16-GI16-GJ16)&lt;0,0,(GG16-GI16-GJ16))</f>
        <v>0</v>
      </c>
      <c r="GL16" s="759">
        <f>+GH16-GG16</f>
        <v>0</v>
      </c>
      <c r="GM16" s="759">
        <v>0</v>
      </c>
      <c r="GN16" s="759"/>
      <c r="GO16" s="759"/>
      <c r="GP16" s="759">
        <f>GO16*49000*12/1000000</f>
        <v>0</v>
      </c>
      <c r="GQ16" s="759">
        <f t="shared" si="12"/>
        <v>0</v>
      </c>
      <c r="GR16" s="759"/>
      <c r="GS16" s="759"/>
      <c r="GT16" s="759"/>
      <c r="GU16" s="759">
        <f>+GQ16-GP16</f>
        <v>0</v>
      </c>
      <c r="GV16" s="759"/>
      <c r="GW16" s="759"/>
      <c r="GX16" s="759">
        <f>SUM(GY16:HA16)</f>
        <v>0</v>
      </c>
      <c r="GY16" s="759"/>
      <c r="GZ16" s="759">
        <f>IF(GU16&lt;0,0,GU16)</f>
        <v>0</v>
      </c>
      <c r="HA16" s="759">
        <f>IF((GW16-GY16-GZ16)&lt;0,0,(GW16-GY16-GZ16))</f>
        <v>0</v>
      </c>
      <c r="HB16" s="759">
        <f t="shared" si="13"/>
        <v>0</v>
      </c>
    </row>
    <row r="17" spans="1:210" ht="31.5" x14ac:dyDescent="0.2">
      <c r="A17" s="752">
        <v>3</v>
      </c>
      <c r="B17" s="753" t="s">
        <v>585</v>
      </c>
      <c r="C17" s="761">
        <f t="shared" si="18"/>
        <v>0</v>
      </c>
      <c r="D17" s="761">
        <f t="shared" si="18"/>
        <v>0</v>
      </c>
      <c r="E17" s="761">
        <f t="shared" si="18"/>
        <v>0</v>
      </c>
      <c r="F17" s="761">
        <f t="shared" si="18"/>
        <v>0</v>
      </c>
      <c r="G17" s="761">
        <f t="shared" si="18"/>
        <v>0</v>
      </c>
      <c r="H17" s="761">
        <f t="shared" si="18"/>
        <v>0</v>
      </c>
      <c r="I17" s="761">
        <f t="shared" si="18"/>
        <v>0</v>
      </c>
      <c r="J17" s="761">
        <f t="shared" si="18"/>
        <v>0</v>
      </c>
      <c r="K17" s="761">
        <f t="shared" si="18"/>
        <v>0</v>
      </c>
      <c r="L17" s="761">
        <f t="shared" si="18"/>
        <v>0</v>
      </c>
      <c r="M17" s="761">
        <f t="shared" si="18"/>
        <v>0</v>
      </c>
      <c r="N17" s="761">
        <f t="shared" si="18"/>
        <v>0</v>
      </c>
      <c r="O17" s="761">
        <f t="shared" si="18"/>
        <v>0</v>
      </c>
      <c r="P17" s="761">
        <f t="shared" si="18"/>
        <v>0</v>
      </c>
      <c r="Q17" s="761">
        <f t="shared" si="18"/>
        <v>0</v>
      </c>
      <c r="R17" s="761">
        <f t="shared" si="18"/>
        <v>0</v>
      </c>
      <c r="S17" s="762"/>
      <c r="T17" s="762"/>
      <c r="U17" s="763"/>
      <c r="V17" s="763">
        <f>U17*80000/1000000</f>
        <v>0</v>
      </c>
      <c r="W17" s="763">
        <f t="shared" si="6"/>
        <v>0</v>
      </c>
      <c r="X17" s="763"/>
      <c r="Y17" s="763"/>
      <c r="Z17" s="763"/>
      <c r="AA17" s="763">
        <f>+W17-V17</f>
        <v>0</v>
      </c>
      <c r="AB17" s="763"/>
      <c r="AC17" s="763">
        <f>AB17*80000/1000000</f>
        <v>0</v>
      </c>
      <c r="AD17" s="763">
        <f>AE17+AF17+AG17</f>
        <v>0</v>
      </c>
      <c r="AE17" s="763"/>
      <c r="AF17" s="759">
        <f>IF(AA17&lt;0,0,AA17)</f>
        <v>0</v>
      </c>
      <c r="AG17" s="759">
        <f>IF((AC17-AE17-AF17)&lt;0,0,(AC17-AE17-AF17))</f>
        <v>0</v>
      </c>
      <c r="AH17" s="763">
        <f>+AD17-AC17</f>
        <v>0</v>
      </c>
      <c r="AI17" s="763"/>
      <c r="AJ17" s="763"/>
      <c r="AK17" s="763"/>
      <c r="AL17" s="763">
        <f>AK17*80000/1000000</f>
        <v>0</v>
      </c>
      <c r="AM17" s="763"/>
      <c r="AN17" s="763"/>
      <c r="AO17" s="763"/>
      <c r="AP17" s="763"/>
      <c r="AQ17" s="763">
        <f>AM17-AL17</f>
        <v>0</v>
      </c>
      <c r="AR17" s="763"/>
      <c r="AS17" s="763">
        <f>AR17*80000/1000000</f>
        <v>0</v>
      </c>
      <c r="AT17" s="759">
        <f t="shared" si="7"/>
        <v>0</v>
      </c>
      <c r="AU17" s="763"/>
      <c r="AV17" s="759">
        <f>IF(AQ17&lt;0,0,AQ17)</f>
        <v>0</v>
      </c>
      <c r="AW17" s="759">
        <f>IF((AS17-AU17-AV17)&lt;0,0,(AS17-AU17-AV17))</f>
        <v>0</v>
      </c>
      <c r="AX17" s="763">
        <f>+AT17-AS17</f>
        <v>0</v>
      </c>
      <c r="AY17" s="763"/>
      <c r="AZ17" s="763"/>
      <c r="BA17" s="762"/>
      <c r="BB17" s="762">
        <f>BA17*80000/1000000</f>
        <v>0</v>
      </c>
      <c r="BC17" s="762">
        <f t="shared" si="5"/>
        <v>0</v>
      </c>
      <c r="BD17" s="762"/>
      <c r="BE17" s="762"/>
      <c r="BF17" s="762"/>
      <c r="BG17" s="762">
        <f>+BC17-BB17</f>
        <v>0</v>
      </c>
      <c r="BH17" s="762"/>
      <c r="BI17" s="762"/>
      <c r="BJ17" s="758">
        <f>+BK17+BL17+BM17</f>
        <v>0</v>
      </c>
      <c r="BK17" s="762"/>
      <c r="BL17" s="759">
        <f>IF(BG17&lt;0,0,BG17)</f>
        <v>0</v>
      </c>
      <c r="BM17" s="759">
        <f>IF((BI17-BK17-BL17)&lt;0,0,(BI17-BK17-BL17))</f>
        <v>0</v>
      </c>
      <c r="BN17" s="762">
        <f>+BJ17-BI17</f>
        <v>0</v>
      </c>
      <c r="BO17" s="762"/>
      <c r="BP17" s="762"/>
      <c r="BQ17" s="763"/>
      <c r="BR17" s="763"/>
      <c r="BS17" s="763">
        <f>BT17+BU17+BV17</f>
        <v>0</v>
      </c>
      <c r="BT17" s="763"/>
      <c r="BU17" s="763"/>
      <c r="BV17" s="763"/>
      <c r="BW17" s="763">
        <f>+BS17-BR17</f>
        <v>0</v>
      </c>
      <c r="BX17" s="763"/>
      <c r="BY17" s="763"/>
      <c r="BZ17" s="759">
        <f>SUM(CA17:CC17)</f>
        <v>0</v>
      </c>
      <c r="CA17" s="763"/>
      <c r="CB17" s="759">
        <f>IF(BW17&lt;0,0,BW17)</f>
        <v>0</v>
      </c>
      <c r="CC17" s="759">
        <f>IF((BY17-CA17-CB17)&lt;0,0,(BY17-CA17-CB17))</f>
        <v>0</v>
      </c>
      <c r="CD17" s="763">
        <f>+BZ17-BY17</f>
        <v>0</v>
      </c>
      <c r="CE17" s="763"/>
      <c r="CF17" s="763"/>
      <c r="CG17" s="763"/>
      <c r="CH17" s="763"/>
      <c r="CI17" s="763">
        <f>CJ17+CK17+CL17</f>
        <v>0</v>
      </c>
      <c r="CJ17" s="763"/>
      <c r="CK17" s="763"/>
      <c r="CL17" s="763"/>
      <c r="CM17" s="763">
        <f>CI17-CH17</f>
        <v>0</v>
      </c>
      <c r="CN17" s="763"/>
      <c r="CO17" s="763"/>
      <c r="CP17" s="759">
        <f>+CQ17+CR17+CS17</f>
        <v>0</v>
      </c>
      <c r="CQ17" s="763"/>
      <c r="CR17" s="759">
        <f>IF(CM17&lt;0,0,CM17)</f>
        <v>0</v>
      </c>
      <c r="CS17" s="759">
        <f>IF((CO17-CQ17-CR17)&lt;0,0,(CO17-CQ17-CR17))</f>
        <v>0</v>
      </c>
      <c r="CT17" s="763">
        <f>+CP17-CO17</f>
        <v>0</v>
      </c>
      <c r="CU17" s="763"/>
      <c r="CV17" s="763"/>
      <c r="CW17" s="763"/>
      <c r="CX17" s="763"/>
      <c r="CY17" s="763">
        <f>CZ17+DA17+DB17</f>
        <v>0</v>
      </c>
      <c r="CZ17" s="763"/>
      <c r="DA17" s="763"/>
      <c r="DB17" s="763"/>
      <c r="DC17" s="763">
        <f>CY17-CX17</f>
        <v>0</v>
      </c>
      <c r="DD17" s="763"/>
      <c r="DE17" s="763"/>
      <c r="DF17" s="759">
        <f>SUM(DG17:DI17)</f>
        <v>0</v>
      </c>
      <c r="DG17" s="763"/>
      <c r="DH17" s="759">
        <f>IF(DC17&lt;0,0,DC17)</f>
        <v>0</v>
      </c>
      <c r="DI17" s="759">
        <f>IF((DE17-DG17-DH17)&lt;0,0,(DE17-DG17-DH17))</f>
        <v>0</v>
      </c>
      <c r="DJ17" s="763">
        <f>+DF17-DE17</f>
        <v>0</v>
      </c>
      <c r="DK17" s="763"/>
      <c r="DL17" s="763"/>
      <c r="DM17" s="763"/>
      <c r="DN17" s="763"/>
      <c r="DO17" s="759">
        <f>DP17+DQ17+DR17</f>
        <v>0</v>
      </c>
      <c r="DP17" s="763"/>
      <c r="DQ17" s="763"/>
      <c r="DR17" s="763"/>
      <c r="DS17" s="763">
        <f>DO17-DN17</f>
        <v>0</v>
      </c>
      <c r="DT17" s="763"/>
      <c r="DU17" s="763"/>
      <c r="DV17" s="759">
        <f>+DW17+DX17+DY17</f>
        <v>0</v>
      </c>
      <c r="DW17" s="763"/>
      <c r="DX17" s="759">
        <f>IF(DS17&lt;0,0,DS17)</f>
        <v>0</v>
      </c>
      <c r="DY17" s="759">
        <f>IF((DU17-DW17-DX17)&lt;0,0,(DU17-DW17-DX17))</f>
        <v>0</v>
      </c>
      <c r="DZ17" s="763">
        <f>+DV17-DU17</f>
        <v>0</v>
      </c>
      <c r="EA17" s="763"/>
      <c r="EB17" s="763"/>
      <c r="EC17" s="763"/>
      <c r="ED17" s="763"/>
      <c r="EE17" s="763">
        <f>EF17+EG17+EH17</f>
        <v>0</v>
      </c>
      <c r="EF17" s="763"/>
      <c r="EG17" s="763"/>
      <c r="EH17" s="763"/>
      <c r="EI17" s="763">
        <f>+EE17-ED17</f>
        <v>0</v>
      </c>
      <c r="EJ17" s="763"/>
      <c r="EK17" s="763"/>
      <c r="EL17" s="759">
        <f>SUM(EM17:EO17)</f>
        <v>0</v>
      </c>
      <c r="EM17" s="763"/>
      <c r="EN17" s="759">
        <f>IF(EI17&lt;0,0,EI17)</f>
        <v>0</v>
      </c>
      <c r="EO17" s="759">
        <f>IF((EK17-EM17-EN17)&lt;0,0,(EK17-EM17-EN17))</f>
        <v>0</v>
      </c>
      <c r="EP17" s="763">
        <f>+EL17-EK17</f>
        <v>0</v>
      </c>
      <c r="EQ17" s="763"/>
      <c r="ER17" s="763"/>
      <c r="ES17" s="763"/>
      <c r="ET17" s="763"/>
      <c r="EU17" s="763">
        <f t="shared" si="8"/>
        <v>0</v>
      </c>
      <c r="EV17" s="763"/>
      <c r="EW17" s="763"/>
      <c r="EX17" s="763"/>
      <c r="EY17" s="763">
        <f>EU17-ET17</f>
        <v>0</v>
      </c>
      <c r="EZ17" s="763"/>
      <c r="FA17" s="763"/>
      <c r="FB17" s="759">
        <f>SUM(FC17:FE17)</f>
        <v>0</v>
      </c>
      <c r="FC17" s="763"/>
      <c r="FD17" s="759">
        <f>IF(EY17&lt;0,0,EY17)</f>
        <v>0</v>
      </c>
      <c r="FE17" s="759">
        <f>IF((FA17-FC17-FD17)&lt;0,0,(FA17-FC17-FD17))</f>
        <v>0</v>
      </c>
      <c r="FF17" s="763">
        <f>+FB17-FA17</f>
        <v>0</v>
      </c>
      <c r="FG17" s="763"/>
      <c r="FH17" s="763"/>
      <c r="FI17" s="763"/>
      <c r="FJ17" s="763"/>
      <c r="FK17" s="763">
        <f t="shared" si="9"/>
        <v>0</v>
      </c>
      <c r="FL17" s="763"/>
      <c r="FM17" s="763"/>
      <c r="FN17" s="763"/>
      <c r="FO17" s="763">
        <f>+FK17-FJ17</f>
        <v>0</v>
      </c>
      <c r="FP17" s="763"/>
      <c r="FQ17" s="763"/>
      <c r="FR17" s="759">
        <f>SUM(FS17:FU17)</f>
        <v>0</v>
      </c>
      <c r="FS17" s="763"/>
      <c r="FT17" s="759">
        <f>IF(FO17&lt;0,0,FO17)</f>
        <v>0</v>
      </c>
      <c r="FU17" s="759">
        <f>IF((FQ17-FS17-FT17)&lt;0,0,(FQ17-FS17-FT17))</f>
        <v>0</v>
      </c>
      <c r="FV17" s="763">
        <f t="shared" si="10"/>
        <v>0</v>
      </c>
      <c r="FW17" s="763"/>
      <c r="FX17" s="763"/>
      <c r="FY17" s="763"/>
      <c r="FZ17" s="763"/>
      <c r="GA17" s="763">
        <f t="shared" si="11"/>
        <v>0</v>
      </c>
      <c r="GB17" s="763"/>
      <c r="GC17" s="763"/>
      <c r="GD17" s="763"/>
      <c r="GE17" s="763">
        <f>+GA17-FZ17</f>
        <v>0</v>
      </c>
      <c r="GF17" s="763"/>
      <c r="GG17" s="763"/>
      <c r="GH17" s="759">
        <f>SUM(GI17:GK17)</f>
        <v>0</v>
      </c>
      <c r="GI17" s="763"/>
      <c r="GJ17" s="759">
        <f>IF(GE17&lt;0,0,GE17)</f>
        <v>0</v>
      </c>
      <c r="GK17" s="759">
        <f>IF((GG17-GI17-GJ17)&lt;0,0,(GG17-GI17-GJ17))</f>
        <v>0</v>
      </c>
      <c r="GL17" s="763">
        <f>+GH17-GG17</f>
        <v>0</v>
      </c>
      <c r="GM17" s="763">
        <v>0</v>
      </c>
      <c r="GN17" s="763"/>
      <c r="GO17" s="763"/>
      <c r="GP17" s="763"/>
      <c r="GQ17" s="763">
        <f t="shared" si="12"/>
        <v>0</v>
      </c>
      <c r="GR17" s="763"/>
      <c r="GS17" s="763"/>
      <c r="GT17" s="763"/>
      <c r="GU17" s="763">
        <f>+GQ17-GP17</f>
        <v>0</v>
      </c>
      <c r="GV17" s="763"/>
      <c r="GW17" s="763"/>
      <c r="GX17" s="759">
        <f>SUM(GY17:HA17)</f>
        <v>0</v>
      </c>
      <c r="GY17" s="763"/>
      <c r="GZ17" s="759">
        <f>IF(GU17&lt;0,0,GU17)</f>
        <v>0</v>
      </c>
      <c r="HA17" s="759">
        <f>IF((GW17-GY17-GZ17)&lt;0,0,(GW17-GY17-GZ17))</f>
        <v>0</v>
      </c>
      <c r="HB17" s="763">
        <f t="shared" si="13"/>
        <v>0</v>
      </c>
    </row>
    <row r="18" spans="1:210" ht="42" customHeight="1" x14ac:dyDescent="0.2">
      <c r="A18" s="1074" t="s">
        <v>625</v>
      </c>
      <c r="B18" s="1074"/>
      <c r="C18" s="764">
        <f>SUM(C10,C14)</f>
        <v>94787</v>
      </c>
      <c r="D18" s="764">
        <f>SUM(D10,D14)</f>
        <v>304907</v>
      </c>
      <c r="E18" s="764">
        <f>SUM(E10,E14)</f>
        <v>96682</v>
      </c>
      <c r="F18" s="764">
        <f t="shared" ref="F18:BQ18" si="19">SUM(F10,F14)</f>
        <v>316926</v>
      </c>
      <c r="G18" s="764">
        <f t="shared" si="19"/>
        <v>322625</v>
      </c>
      <c r="H18" s="764">
        <f t="shared" si="19"/>
        <v>197370</v>
      </c>
      <c r="I18" s="764">
        <f t="shared" si="19"/>
        <v>39798</v>
      </c>
      <c r="J18" s="764">
        <f t="shared" si="19"/>
        <v>85457</v>
      </c>
      <c r="K18" s="764">
        <f t="shared" si="19"/>
        <v>5699</v>
      </c>
      <c r="L18" s="764">
        <f t="shared" si="19"/>
        <v>97868</v>
      </c>
      <c r="M18" s="764">
        <f t="shared" si="19"/>
        <v>320908</v>
      </c>
      <c r="N18" s="764">
        <f t="shared" si="19"/>
        <v>336113</v>
      </c>
      <c r="O18" s="764">
        <f t="shared" si="19"/>
        <v>193877</v>
      </c>
      <c r="P18" s="764">
        <f t="shared" si="19"/>
        <v>31973</v>
      </c>
      <c r="Q18" s="764">
        <f t="shared" si="19"/>
        <v>110263</v>
      </c>
      <c r="R18" s="764">
        <f t="shared" si="19"/>
        <v>15205</v>
      </c>
      <c r="S18" s="764">
        <f t="shared" si="19"/>
        <v>9893</v>
      </c>
      <c r="T18" s="764">
        <f t="shared" si="19"/>
        <v>29711</v>
      </c>
      <c r="U18" s="764">
        <f t="shared" si="19"/>
        <v>11814</v>
      </c>
      <c r="V18" s="764">
        <f t="shared" si="19"/>
        <v>30100</v>
      </c>
      <c r="W18" s="764">
        <f t="shared" si="19"/>
        <v>36302</v>
      </c>
      <c r="X18" s="764">
        <f t="shared" si="19"/>
        <v>17787</v>
      </c>
      <c r="Y18" s="764">
        <f t="shared" si="19"/>
        <v>6175</v>
      </c>
      <c r="Z18" s="764">
        <f t="shared" si="19"/>
        <v>12340</v>
      </c>
      <c r="AA18" s="764">
        <f t="shared" si="19"/>
        <v>6202</v>
      </c>
      <c r="AB18" s="764">
        <f t="shared" si="19"/>
        <v>11362</v>
      </c>
      <c r="AC18" s="764">
        <f t="shared" si="19"/>
        <v>32390</v>
      </c>
      <c r="AD18" s="764">
        <f t="shared" si="19"/>
        <v>34166</v>
      </c>
      <c r="AE18" s="764">
        <f t="shared" si="19"/>
        <v>17787</v>
      </c>
      <c r="AF18" s="764">
        <f t="shared" si="19"/>
        <v>6262</v>
      </c>
      <c r="AG18" s="764">
        <f t="shared" si="19"/>
        <v>10117</v>
      </c>
      <c r="AH18" s="764">
        <f t="shared" si="19"/>
        <v>1776</v>
      </c>
      <c r="AI18" s="764">
        <f t="shared" si="19"/>
        <v>6460</v>
      </c>
      <c r="AJ18" s="764">
        <f t="shared" si="19"/>
        <v>11635</v>
      </c>
      <c r="AK18" s="764">
        <f t="shared" si="19"/>
        <v>4579</v>
      </c>
      <c r="AL18" s="764">
        <f t="shared" si="19"/>
        <v>12831</v>
      </c>
      <c r="AM18" s="764">
        <f t="shared" si="19"/>
        <v>12238</v>
      </c>
      <c r="AN18" s="764">
        <f t="shared" si="19"/>
        <v>10501</v>
      </c>
      <c r="AO18" s="764">
        <f t="shared" si="19"/>
        <v>1682</v>
      </c>
      <c r="AP18" s="764">
        <f t="shared" si="19"/>
        <v>55</v>
      </c>
      <c r="AQ18" s="764">
        <f t="shared" si="19"/>
        <v>-593</v>
      </c>
      <c r="AR18" s="764">
        <f t="shared" si="19"/>
        <v>5310</v>
      </c>
      <c r="AS18" s="764">
        <f t="shared" si="19"/>
        <v>12762</v>
      </c>
      <c r="AT18" s="764">
        <f t="shared" si="19"/>
        <v>13112</v>
      </c>
      <c r="AU18" s="764">
        <f t="shared" si="19"/>
        <v>10501</v>
      </c>
      <c r="AV18" s="764">
        <f t="shared" si="19"/>
        <v>898</v>
      </c>
      <c r="AW18" s="764">
        <f t="shared" si="19"/>
        <v>1713</v>
      </c>
      <c r="AX18" s="764">
        <f t="shared" si="19"/>
        <v>350</v>
      </c>
      <c r="AY18" s="764">
        <f t="shared" si="19"/>
        <v>6394</v>
      </c>
      <c r="AZ18" s="764">
        <f t="shared" si="19"/>
        <v>14329</v>
      </c>
      <c r="BA18" s="764">
        <f t="shared" si="19"/>
        <v>7276</v>
      </c>
      <c r="BB18" s="764">
        <f t="shared" si="19"/>
        <v>15346</v>
      </c>
      <c r="BC18" s="764">
        <f t="shared" si="19"/>
        <v>20757</v>
      </c>
      <c r="BD18" s="764">
        <f t="shared" si="19"/>
        <v>10020</v>
      </c>
      <c r="BE18" s="764">
        <f t="shared" si="19"/>
        <v>7366</v>
      </c>
      <c r="BF18" s="764">
        <f t="shared" si="19"/>
        <v>3371</v>
      </c>
      <c r="BG18" s="764">
        <f t="shared" si="19"/>
        <v>5411</v>
      </c>
      <c r="BH18" s="764">
        <f t="shared" si="19"/>
        <v>7102</v>
      </c>
      <c r="BI18" s="764">
        <f t="shared" si="19"/>
        <v>16206</v>
      </c>
      <c r="BJ18" s="764">
        <f t="shared" si="19"/>
        <v>18591</v>
      </c>
      <c r="BK18" s="764">
        <f t="shared" si="19"/>
        <v>10020</v>
      </c>
      <c r="BL18" s="764">
        <f t="shared" si="19"/>
        <v>5411</v>
      </c>
      <c r="BM18" s="764">
        <f t="shared" si="19"/>
        <v>3160</v>
      </c>
      <c r="BN18" s="764">
        <f t="shared" si="19"/>
        <v>2385</v>
      </c>
      <c r="BO18" s="764">
        <f t="shared" si="19"/>
        <v>6010</v>
      </c>
      <c r="BP18" s="764">
        <f t="shared" si="19"/>
        <v>20479</v>
      </c>
      <c r="BQ18" s="764">
        <f t="shared" si="19"/>
        <v>6542</v>
      </c>
      <c r="BR18" s="764">
        <f t="shared" ref="BR18:EC18" si="20">SUM(BR10,BR14)</f>
        <v>19879</v>
      </c>
      <c r="BS18" s="764">
        <f t="shared" si="20"/>
        <v>21436</v>
      </c>
      <c r="BT18" s="764">
        <f t="shared" si="20"/>
        <v>15576</v>
      </c>
      <c r="BU18" s="764">
        <f t="shared" si="20"/>
        <v>1015</v>
      </c>
      <c r="BV18" s="764">
        <f t="shared" si="20"/>
        <v>4845</v>
      </c>
      <c r="BW18" s="764">
        <f t="shared" si="20"/>
        <v>1557</v>
      </c>
      <c r="BX18" s="764">
        <f t="shared" si="20"/>
        <v>6540</v>
      </c>
      <c r="BY18" s="764">
        <f t="shared" si="20"/>
        <v>19919</v>
      </c>
      <c r="BZ18" s="764">
        <f t="shared" si="20"/>
        <v>20184</v>
      </c>
      <c r="CA18" s="764">
        <f t="shared" si="20"/>
        <v>12083</v>
      </c>
      <c r="CB18" s="764">
        <f t="shared" si="20"/>
        <v>1557</v>
      </c>
      <c r="CC18" s="764">
        <f t="shared" si="20"/>
        <v>6544</v>
      </c>
      <c r="CD18" s="764">
        <f t="shared" si="20"/>
        <v>265</v>
      </c>
      <c r="CE18" s="764">
        <f t="shared" si="20"/>
        <v>11013</v>
      </c>
      <c r="CF18" s="764">
        <f t="shared" si="20"/>
        <v>30245</v>
      </c>
      <c r="CG18" s="764">
        <f t="shared" si="20"/>
        <v>11088</v>
      </c>
      <c r="CH18" s="764">
        <f t="shared" si="20"/>
        <v>34563</v>
      </c>
      <c r="CI18" s="764">
        <f t="shared" si="20"/>
        <v>32566</v>
      </c>
      <c r="CJ18" s="764">
        <f t="shared" si="20"/>
        <v>20702</v>
      </c>
      <c r="CK18" s="764">
        <f t="shared" si="20"/>
        <v>5272</v>
      </c>
      <c r="CL18" s="764">
        <f t="shared" si="20"/>
        <v>6592</v>
      </c>
      <c r="CM18" s="764">
        <f t="shared" si="20"/>
        <v>-1997</v>
      </c>
      <c r="CN18" s="764">
        <f t="shared" si="20"/>
        <v>11369</v>
      </c>
      <c r="CO18" s="764">
        <f t="shared" si="20"/>
        <v>34939</v>
      </c>
      <c r="CP18" s="764">
        <f t="shared" si="20"/>
        <v>35829</v>
      </c>
      <c r="CQ18" s="764">
        <f t="shared" si="20"/>
        <v>20702</v>
      </c>
      <c r="CR18" s="764">
        <f t="shared" si="20"/>
        <v>1199</v>
      </c>
      <c r="CS18" s="764">
        <f t="shared" si="20"/>
        <v>13928</v>
      </c>
      <c r="CT18" s="764">
        <f t="shared" si="20"/>
        <v>890</v>
      </c>
      <c r="CU18" s="764">
        <f t="shared" si="20"/>
        <v>5493</v>
      </c>
      <c r="CV18" s="764">
        <f t="shared" si="20"/>
        <v>23371</v>
      </c>
      <c r="CW18" s="764">
        <f t="shared" si="20"/>
        <v>6719</v>
      </c>
      <c r="CX18" s="764">
        <f t="shared" si="20"/>
        <v>23377</v>
      </c>
      <c r="CY18" s="764">
        <f t="shared" si="20"/>
        <v>27126</v>
      </c>
      <c r="CZ18" s="764">
        <f t="shared" si="20"/>
        <v>15047</v>
      </c>
      <c r="DA18" s="764">
        <f t="shared" si="20"/>
        <v>6330</v>
      </c>
      <c r="DB18" s="764">
        <f t="shared" si="20"/>
        <v>5749</v>
      </c>
      <c r="DC18" s="764">
        <f t="shared" si="20"/>
        <v>3749</v>
      </c>
      <c r="DD18" s="764">
        <f t="shared" si="20"/>
        <v>6741</v>
      </c>
      <c r="DE18" s="764">
        <f t="shared" si="20"/>
        <v>23407</v>
      </c>
      <c r="DF18" s="764">
        <f t="shared" si="20"/>
        <v>28260</v>
      </c>
      <c r="DG18" s="764">
        <f t="shared" si="20"/>
        <v>15047</v>
      </c>
      <c r="DH18" s="764">
        <f t="shared" si="20"/>
        <v>5656</v>
      </c>
      <c r="DI18" s="764">
        <f t="shared" si="20"/>
        <v>7557</v>
      </c>
      <c r="DJ18" s="764">
        <f t="shared" si="20"/>
        <v>4853</v>
      </c>
      <c r="DK18" s="764">
        <f t="shared" si="20"/>
        <v>12266</v>
      </c>
      <c r="DL18" s="764">
        <f t="shared" si="20"/>
        <v>34773</v>
      </c>
      <c r="DM18" s="764">
        <f t="shared" si="20"/>
        <v>11031</v>
      </c>
      <c r="DN18" s="764">
        <f t="shared" si="20"/>
        <v>34382</v>
      </c>
      <c r="DO18" s="764">
        <f t="shared" si="20"/>
        <v>32783</v>
      </c>
      <c r="DP18" s="764">
        <f t="shared" si="20"/>
        <v>21551</v>
      </c>
      <c r="DQ18" s="764">
        <f t="shared" si="20"/>
        <v>1675</v>
      </c>
      <c r="DR18" s="764">
        <f t="shared" si="20"/>
        <v>9557</v>
      </c>
      <c r="DS18" s="764">
        <f t="shared" si="20"/>
        <v>-1599</v>
      </c>
      <c r="DT18" s="764">
        <f t="shared" si="20"/>
        <v>11132</v>
      </c>
      <c r="DU18" s="764">
        <f t="shared" si="20"/>
        <v>34316</v>
      </c>
      <c r="DV18" s="764">
        <f t="shared" si="20"/>
        <v>34445</v>
      </c>
      <c r="DW18" s="764">
        <f t="shared" si="20"/>
        <v>21551</v>
      </c>
      <c r="DX18" s="764">
        <f t="shared" si="20"/>
        <v>1789</v>
      </c>
      <c r="DY18" s="764">
        <f t="shared" si="20"/>
        <v>11105</v>
      </c>
      <c r="DZ18" s="764">
        <f t="shared" si="20"/>
        <v>129</v>
      </c>
      <c r="EA18" s="764">
        <f t="shared" si="20"/>
        <v>6207</v>
      </c>
      <c r="EB18" s="764">
        <f t="shared" si="20"/>
        <v>19112</v>
      </c>
      <c r="EC18" s="764">
        <f t="shared" si="20"/>
        <v>6573</v>
      </c>
      <c r="ED18" s="764">
        <f t="shared" ref="ED18:GO18" si="21">SUM(ED10,ED14)</f>
        <v>20946</v>
      </c>
      <c r="EE18" s="764">
        <f t="shared" si="21"/>
        <v>18252</v>
      </c>
      <c r="EF18" s="764">
        <f t="shared" si="21"/>
        <v>13992</v>
      </c>
      <c r="EG18" s="764">
        <f t="shared" si="21"/>
        <v>90</v>
      </c>
      <c r="EH18" s="764">
        <f t="shared" si="21"/>
        <v>4170</v>
      </c>
      <c r="EI18" s="764">
        <f t="shared" si="21"/>
        <v>-2694</v>
      </c>
      <c r="EJ18" s="764">
        <f t="shared" si="21"/>
        <v>6573</v>
      </c>
      <c r="EK18" s="764">
        <f t="shared" si="21"/>
        <v>20955</v>
      </c>
      <c r="EL18" s="764">
        <f t="shared" si="21"/>
        <v>21329</v>
      </c>
      <c r="EM18" s="764">
        <f t="shared" si="21"/>
        <v>13992</v>
      </c>
      <c r="EN18" s="764">
        <f t="shared" si="21"/>
        <v>376</v>
      </c>
      <c r="EO18" s="764">
        <f t="shared" si="21"/>
        <v>6961</v>
      </c>
      <c r="EP18" s="764">
        <f t="shared" si="21"/>
        <v>374</v>
      </c>
      <c r="EQ18" s="764"/>
      <c r="ER18" s="764"/>
      <c r="ES18" s="764">
        <f t="shared" si="21"/>
        <v>8334</v>
      </c>
      <c r="ET18" s="764">
        <f t="shared" si="21"/>
        <v>34985</v>
      </c>
      <c r="EU18" s="764">
        <f t="shared" si="21"/>
        <v>37796</v>
      </c>
      <c r="EV18" s="764">
        <f t="shared" si="21"/>
        <v>20658</v>
      </c>
      <c r="EW18" s="764">
        <f t="shared" si="21"/>
        <v>4994</v>
      </c>
      <c r="EX18" s="764">
        <f t="shared" si="21"/>
        <v>12144</v>
      </c>
      <c r="EY18" s="764">
        <f t="shared" si="21"/>
        <v>2811</v>
      </c>
      <c r="EZ18" s="764">
        <f t="shared" si="21"/>
        <v>8403</v>
      </c>
      <c r="FA18" s="764">
        <f t="shared" si="21"/>
        <v>35037</v>
      </c>
      <c r="FB18" s="764">
        <f>SUM(FB10,FB14)</f>
        <v>35159</v>
      </c>
      <c r="FC18" s="764">
        <f t="shared" si="21"/>
        <v>20658</v>
      </c>
      <c r="FD18" s="764">
        <f t="shared" si="21"/>
        <v>3052</v>
      </c>
      <c r="FE18" s="764">
        <f t="shared" si="21"/>
        <v>11449</v>
      </c>
      <c r="FF18" s="764">
        <f t="shared" si="21"/>
        <v>122</v>
      </c>
      <c r="FG18" s="764">
        <f t="shared" si="21"/>
        <v>8653</v>
      </c>
      <c r="FH18" s="764">
        <f t="shared" si="21"/>
        <v>35949</v>
      </c>
      <c r="FI18" s="764">
        <f t="shared" si="21"/>
        <v>8376</v>
      </c>
      <c r="FJ18" s="764">
        <f t="shared" si="21"/>
        <v>35633</v>
      </c>
      <c r="FK18" s="764">
        <f t="shared" si="21"/>
        <v>32766</v>
      </c>
      <c r="FL18" s="764">
        <f t="shared" si="21"/>
        <v>20970</v>
      </c>
      <c r="FM18" s="764">
        <f t="shared" si="21"/>
        <v>996</v>
      </c>
      <c r="FN18" s="764">
        <f t="shared" si="21"/>
        <v>10800</v>
      </c>
      <c r="FO18" s="764">
        <f t="shared" si="21"/>
        <v>-2867</v>
      </c>
      <c r="FP18" s="764">
        <f t="shared" si="21"/>
        <v>8376</v>
      </c>
      <c r="FQ18" s="764">
        <f t="shared" si="21"/>
        <v>35658</v>
      </c>
      <c r="FR18" s="764">
        <f t="shared" si="21"/>
        <v>36537</v>
      </c>
      <c r="FS18" s="764">
        <f t="shared" si="21"/>
        <v>20970</v>
      </c>
      <c r="FT18" s="764">
        <f t="shared" si="21"/>
        <v>1823</v>
      </c>
      <c r="FU18" s="764">
        <f t="shared" si="21"/>
        <v>13744</v>
      </c>
      <c r="FV18" s="764">
        <f t="shared" si="21"/>
        <v>879</v>
      </c>
      <c r="FW18" s="764">
        <f t="shared" si="21"/>
        <v>5073</v>
      </c>
      <c r="FX18" s="764">
        <f t="shared" si="21"/>
        <v>21032</v>
      </c>
      <c r="FY18" s="764">
        <f t="shared" si="21"/>
        <v>5467</v>
      </c>
      <c r="FZ18" s="764">
        <f t="shared" si="21"/>
        <v>20877</v>
      </c>
      <c r="GA18" s="764">
        <f t="shared" si="21"/>
        <v>18914</v>
      </c>
      <c r="GB18" s="764">
        <f t="shared" si="21"/>
        <v>10690</v>
      </c>
      <c r="GC18" s="764">
        <f t="shared" si="21"/>
        <v>1003</v>
      </c>
      <c r="GD18" s="764">
        <f t="shared" si="21"/>
        <v>7221</v>
      </c>
      <c r="GE18" s="764">
        <f t="shared" si="21"/>
        <v>-1963</v>
      </c>
      <c r="GF18" s="764">
        <f t="shared" si="21"/>
        <v>5597</v>
      </c>
      <c r="GG18" s="764">
        <f t="shared" si="21"/>
        <v>21025</v>
      </c>
      <c r="GH18" s="764">
        <f t="shared" si="21"/>
        <v>22483</v>
      </c>
      <c r="GI18" s="764">
        <f t="shared" si="21"/>
        <v>10690</v>
      </c>
      <c r="GJ18" s="764">
        <f t="shared" si="21"/>
        <v>1347</v>
      </c>
      <c r="GK18" s="764">
        <f t="shared" si="21"/>
        <v>10446</v>
      </c>
      <c r="GL18" s="764">
        <f t="shared" si="21"/>
        <v>1458</v>
      </c>
      <c r="GM18" s="764">
        <f t="shared" si="21"/>
        <v>8151</v>
      </c>
      <c r="GN18" s="764">
        <f t="shared" si="21"/>
        <v>28800</v>
      </c>
      <c r="GO18" s="764">
        <f t="shared" si="21"/>
        <v>8883</v>
      </c>
      <c r="GP18" s="764">
        <f t="shared" ref="GP18:HB18" si="22">SUM(GP10,GP14)</f>
        <v>34007</v>
      </c>
      <c r="GQ18" s="764">
        <f t="shared" si="22"/>
        <v>31689</v>
      </c>
      <c r="GR18" s="764">
        <f t="shared" si="22"/>
        <v>19876</v>
      </c>
      <c r="GS18" s="764">
        <f t="shared" si="22"/>
        <v>3200</v>
      </c>
      <c r="GT18" s="764">
        <f t="shared" si="22"/>
        <v>8613</v>
      </c>
      <c r="GU18" s="764">
        <f t="shared" si="22"/>
        <v>-2318</v>
      </c>
      <c r="GV18" s="764">
        <f t="shared" si="22"/>
        <v>9363</v>
      </c>
      <c r="GW18" s="764">
        <f t="shared" si="22"/>
        <v>34294</v>
      </c>
      <c r="GX18" s="764">
        <f t="shared" si="22"/>
        <v>36018</v>
      </c>
      <c r="GY18" s="764">
        <f t="shared" si="22"/>
        <v>19876</v>
      </c>
      <c r="GZ18" s="764">
        <f t="shared" si="22"/>
        <v>2603</v>
      </c>
      <c r="HA18" s="764">
        <f t="shared" si="22"/>
        <v>13539</v>
      </c>
      <c r="HB18" s="764">
        <f t="shared" si="22"/>
        <v>1724</v>
      </c>
    </row>
    <row r="19" spans="1:210" x14ac:dyDescent="0.2">
      <c r="FV19" s="771">
        <f>-FV18</f>
        <v>-879</v>
      </c>
    </row>
    <row r="20" spans="1:210" x14ac:dyDescent="0.2">
      <c r="Z20" s="771"/>
      <c r="AG20" s="771">
        <f>+AG18-AH18</f>
        <v>8341</v>
      </c>
      <c r="CS20" s="771"/>
      <c r="FV20" s="771">
        <f>+FV19+FU18</f>
        <v>12865</v>
      </c>
    </row>
    <row r="21" spans="1:210" x14ac:dyDescent="0.2">
      <c r="Q21" s="771">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40" customWidth="1"/>
    <col min="3" max="3" width="60.375" style="340" bestFit="1" customWidth="1"/>
    <col min="4" max="4" width="10.875" style="340" customWidth="1"/>
    <col min="5" max="6" width="10" style="340" customWidth="1"/>
    <col min="7" max="7" width="10.5" style="340" customWidth="1"/>
    <col min="8" max="8" width="10.625" style="340" customWidth="1"/>
    <col min="9" max="9" width="10.75" style="340" customWidth="1"/>
    <col min="10" max="10" width="10.25" style="340" customWidth="1"/>
    <col min="11" max="11" width="11.625" style="340" customWidth="1"/>
    <col min="12" max="12" width="11.75" style="340" customWidth="1"/>
    <col min="13" max="13" width="11.625" style="340" customWidth="1"/>
    <col min="14" max="14" width="11.875" style="340" customWidth="1"/>
    <col min="15" max="16" width="11.625" style="340" customWidth="1"/>
    <col min="17" max="16384" width="9" style="340"/>
  </cols>
  <sheetData>
    <row r="1" spans="1:16" hidden="1" x14ac:dyDescent="0.25">
      <c r="A1" s="337"/>
      <c r="B1" s="337"/>
      <c r="C1" s="338" t="s">
        <v>380</v>
      </c>
      <c r="D1" s="1077" t="s">
        <v>349</v>
      </c>
      <c r="E1" s="1077"/>
      <c r="F1" s="1077"/>
      <c r="G1" s="1077"/>
      <c r="H1" s="1077"/>
      <c r="I1" s="1077"/>
      <c r="J1" s="1077"/>
      <c r="K1" s="1077"/>
      <c r="L1" s="1077"/>
      <c r="M1" s="339"/>
      <c r="N1" s="339"/>
      <c r="O1" s="339"/>
      <c r="P1" s="339"/>
    </row>
    <row r="2" spans="1:16" hidden="1" x14ac:dyDescent="0.25">
      <c r="A2" s="337"/>
      <c r="B2" s="337"/>
      <c r="C2" s="338" t="s">
        <v>381</v>
      </c>
      <c r="D2" s="1077" t="s">
        <v>336</v>
      </c>
      <c r="E2" s="1077"/>
      <c r="F2" s="1077"/>
      <c r="G2" s="1077"/>
      <c r="H2" s="1077"/>
      <c r="I2" s="1077"/>
      <c r="J2" s="1077"/>
      <c r="K2" s="1077"/>
      <c r="L2" s="1077"/>
      <c r="M2" s="339"/>
      <c r="N2" s="339"/>
      <c r="O2" s="339"/>
      <c r="P2" s="339"/>
    </row>
    <row r="3" spans="1:16" hidden="1" x14ac:dyDescent="0.25">
      <c r="A3" s="337"/>
      <c r="B3" s="337"/>
      <c r="C3" s="338" t="s">
        <v>271</v>
      </c>
      <c r="D3" s="987" t="s">
        <v>350</v>
      </c>
      <c r="E3" s="987"/>
      <c r="F3" s="987"/>
      <c r="G3" s="987"/>
      <c r="H3" s="987"/>
      <c r="I3" s="987"/>
      <c r="J3" s="987"/>
      <c r="K3" s="987"/>
      <c r="L3" s="987"/>
      <c r="M3" s="339"/>
      <c r="N3" s="339"/>
      <c r="O3" s="339"/>
      <c r="P3" s="339"/>
    </row>
    <row r="4" spans="1:16" ht="40.5" customHeight="1" x14ac:dyDescent="0.25">
      <c r="A4" s="1078" t="s">
        <v>1009</v>
      </c>
      <c r="B4" s="1078"/>
      <c r="C4" s="1079"/>
      <c r="D4" s="1079"/>
      <c r="E4" s="1079"/>
      <c r="F4" s="1079"/>
      <c r="G4" s="1079"/>
      <c r="H4" s="1079"/>
      <c r="I4" s="1079"/>
      <c r="J4" s="1079"/>
      <c r="K4" s="1079"/>
      <c r="L4" s="1079"/>
      <c r="M4" s="1079"/>
      <c r="N4" s="1079"/>
      <c r="O4" s="1079"/>
      <c r="P4" s="1079"/>
    </row>
    <row r="5" spans="1:16" ht="18" customHeight="1" x14ac:dyDescent="0.25">
      <c r="D5" s="341"/>
      <c r="E5" s="341"/>
      <c r="F5" s="341"/>
      <c r="G5" s="341"/>
      <c r="H5" s="341"/>
      <c r="I5" s="341"/>
      <c r="J5" s="341"/>
      <c r="K5" s="341"/>
      <c r="L5" s="341"/>
      <c r="M5" s="341"/>
      <c r="N5" s="341"/>
      <c r="P5" s="341"/>
    </row>
    <row r="6" spans="1:16" s="342" customFormat="1" ht="15.75" customHeight="1" x14ac:dyDescent="0.25">
      <c r="A6" s="1080" t="s">
        <v>1</v>
      </c>
      <c r="B6" s="1081" t="s">
        <v>1</v>
      </c>
      <c r="C6" s="1080" t="s">
        <v>394</v>
      </c>
      <c r="D6" s="1080" t="s">
        <v>276</v>
      </c>
      <c r="E6" s="1080" t="s">
        <v>230</v>
      </c>
      <c r="F6" s="1080" t="s">
        <v>4</v>
      </c>
      <c r="G6" s="1080" t="s">
        <v>179</v>
      </c>
      <c r="H6" s="1080" t="s">
        <v>50</v>
      </c>
      <c r="I6" s="1080" t="s">
        <v>180</v>
      </c>
      <c r="J6" s="1080" t="s">
        <v>231</v>
      </c>
      <c r="K6" s="1080" t="s">
        <v>232</v>
      </c>
      <c r="L6" s="1080" t="s">
        <v>27</v>
      </c>
      <c r="M6" s="1080" t="s">
        <v>28</v>
      </c>
      <c r="N6" s="1080" t="s">
        <v>183</v>
      </c>
      <c r="O6" s="1080" t="s">
        <v>54</v>
      </c>
      <c r="P6" s="1080" t="s">
        <v>184</v>
      </c>
    </row>
    <row r="7" spans="1:16" s="342" customFormat="1" ht="38.25" customHeight="1" x14ac:dyDescent="0.25">
      <c r="A7" s="1080"/>
      <c r="B7" s="1082"/>
      <c r="C7" s="1080"/>
      <c r="D7" s="1080"/>
      <c r="E7" s="1080"/>
      <c r="F7" s="1080"/>
      <c r="G7" s="1080"/>
      <c r="H7" s="1080"/>
      <c r="I7" s="1080"/>
      <c r="J7" s="1080"/>
      <c r="K7" s="1080"/>
      <c r="L7" s="1080"/>
      <c r="M7" s="1080"/>
      <c r="N7" s="1080"/>
      <c r="O7" s="1080"/>
      <c r="P7" s="1080"/>
    </row>
    <row r="8" spans="1:16" s="344" customFormat="1" x14ac:dyDescent="0.25">
      <c r="A8" s="343" t="s">
        <v>281</v>
      </c>
      <c r="B8" s="362" t="s">
        <v>281</v>
      </c>
      <c r="C8" s="363" t="s">
        <v>568</v>
      </c>
      <c r="D8" s="808">
        <f>SUM(E8:P8)</f>
        <v>481199</v>
      </c>
      <c r="E8" s="808">
        <f>SUM(E9,E10,E13,E17,E18)</f>
        <v>18370</v>
      </c>
      <c r="F8" s="808">
        <f t="shared" ref="F8:P8" si="0">SUM(F9,F10,F13,F17,F18)</f>
        <v>11518</v>
      </c>
      <c r="G8" s="808">
        <f t="shared" si="0"/>
        <v>14870</v>
      </c>
      <c r="H8" s="808">
        <f t="shared" si="0"/>
        <v>7823</v>
      </c>
      <c r="I8" s="808">
        <f t="shared" si="0"/>
        <v>24698</v>
      </c>
      <c r="J8" s="808">
        <f t="shared" si="0"/>
        <v>247491</v>
      </c>
      <c r="K8" s="808">
        <f t="shared" si="0"/>
        <v>23958</v>
      </c>
      <c r="L8" s="808">
        <f t="shared" si="0"/>
        <v>30521</v>
      </c>
      <c r="M8" s="808">
        <f t="shared" si="0"/>
        <v>54570</v>
      </c>
      <c r="N8" s="808">
        <f t="shared" si="0"/>
        <v>20298</v>
      </c>
      <c r="O8" s="808">
        <f t="shared" si="0"/>
        <v>6582</v>
      </c>
      <c r="P8" s="808">
        <f t="shared" si="0"/>
        <v>20500</v>
      </c>
    </row>
    <row r="9" spans="1:16" x14ac:dyDescent="0.25">
      <c r="A9" s="345">
        <v>1</v>
      </c>
      <c r="B9" s="346" t="s">
        <v>569</v>
      </c>
      <c r="C9" s="347" t="s">
        <v>570</v>
      </c>
      <c r="D9" s="809">
        <f t="shared" ref="D9:D27" si="1">SUM(E9:P9)</f>
        <v>159826</v>
      </c>
      <c r="E9" s="809"/>
      <c r="F9" s="809"/>
      <c r="G9" s="809"/>
      <c r="H9" s="809"/>
      <c r="I9" s="809"/>
      <c r="J9" s="809">
        <f>INT(131563.645858292)</f>
        <v>131563</v>
      </c>
      <c r="K9" s="809"/>
      <c r="L9" s="809"/>
      <c r="M9" s="809">
        <f>INT(26555)</f>
        <v>26555</v>
      </c>
      <c r="N9" s="809">
        <f>INT(1708)</f>
        <v>1708</v>
      </c>
      <c r="O9" s="809"/>
      <c r="P9" s="809"/>
    </row>
    <row r="10" spans="1:16" x14ac:dyDescent="0.25">
      <c r="A10" s="345" t="s">
        <v>234</v>
      </c>
      <c r="B10" s="346" t="s">
        <v>233</v>
      </c>
      <c r="C10" s="347" t="s">
        <v>571</v>
      </c>
      <c r="D10" s="809">
        <f t="shared" si="1"/>
        <v>109425</v>
      </c>
      <c r="E10" s="809">
        <f>SUM(E11:E12)</f>
        <v>8359</v>
      </c>
      <c r="F10" s="809">
        <f t="shared" ref="F10:P10" si="2">SUM(F11:F12)</f>
        <v>5568</v>
      </c>
      <c r="G10" s="809">
        <f t="shared" si="2"/>
        <v>7539</v>
      </c>
      <c r="H10" s="809">
        <f t="shared" si="2"/>
        <v>6665</v>
      </c>
      <c r="I10" s="809">
        <f t="shared" si="2"/>
        <v>8380</v>
      </c>
      <c r="J10" s="809">
        <f t="shared" si="2"/>
        <v>12605</v>
      </c>
      <c r="K10" s="809">
        <f t="shared" si="2"/>
        <v>11827</v>
      </c>
      <c r="L10" s="809">
        <f t="shared" si="2"/>
        <v>10065</v>
      </c>
      <c r="M10" s="809">
        <f t="shared" si="2"/>
        <v>10432</v>
      </c>
      <c r="N10" s="809">
        <f t="shared" si="2"/>
        <v>8765</v>
      </c>
      <c r="O10" s="809">
        <f t="shared" si="2"/>
        <v>11714</v>
      </c>
      <c r="P10" s="809">
        <f t="shared" si="2"/>
        <v>7506</v>
      </c>
    </row>
    <row r="11" spans="1:16" s="361" customFormat="1" x14ac:dyDescent="0.25">
      <c r="A11" s="358"/>
      <c r="B11" s="359" t="s">
        <v>307</v>
      </c>
      <c r="C11" s="856" t="s">
        <v>1007</v>
      </c>
      <c r="D11" s="810">
        <f t="shared" si="1"/>
        <v>103205</v>
      </c>
      <c r="E11" s="857">
        <v>8359</v>
      </c>
      <c r="F11" s="857">
        <v>5568</v>
      </c>
      <c r="G11" s="857">
        <v>7369</v>
      </c>
      <c r="H11" s="857">
        <v>6665</v>
      </c>
      <c r="I11" s="857">
        <v>8320</v>
      </c>
      <c r="J11" s="857">
        <v>9155</v>
      </c>
      <c r="K11" s="857">
        <v>11107</v>
      </c>
      <c r="L11" s="857">
        <v>9395</v>
      </c>
      <c r="M11" s="857">
        <v>10132</v>
      </c>
      <c r="N11" s="857">
        <v>8015</v>
      </c>
      <c r="O11" s="857">
        <v>11714</v>
      </c>
      <c r="P11" s="857">
        <v>7406</v>
      </c>
    </row>
    <row r="12" spans="1:16" s="361" customFormat="1" x14ac:dyDescent="0.25">
      <c r="A12" s="358"/>
      <c r="B12" s="359" t="s">
        <v>308</v>
      </c>
      <c r="C12" s="858" t="s">
        <v>1008</v>
      </c>
      <c r="D12" s="810">
        <f t="shared" si="1"/>
        <v>6220</v>
      </c>
      <c r="E12" s="810">
        <v>0</v>
      </c>
      <c r="F12" s="810">
        <v>0</v>
      </c>
      <c r="G12" s="810">
        <v>170</v>
      </c>
      <c r="H12" s="810">
        <v>0</v>
      </c>
      <c r="I12" s="810">
        <v>60</v>
      </c>
      <c r="J12" s="810">
        <v>3450</v>
      </c>
      <c r="K12" s="810">
        <v>720</v>
      </c>
      <c r="L12" s="810">
        <v>670</v>
      </c>
      <c r="M12" s="810">
        <v>300</v>
      </c>
      <c r="N12" s="810">
        <v>750</v>
      </c>
      <c r="O12" s="810">
        <v>0</v>
      </c>
      <c r="P12" s="810">
        <v>100</v>
      </c>
    </row>
    <row r="13" spans="1:16" x14ac:dyDescent="0.25">
      <c r="A13" s="345" t="s">
        <v>233</v>
      </c>
      <c r="B13" s="346" t="s">
        <v>234</v>
      </c>
      <c r="C13" s="347" t="s">
        <v>572</v>
      </c>
      <c r="D13" s="809">
        <f t="shared" si="1"/>
        <v>160650</v>
      </c>
      <c r="E13" s="809">
        <f>SUM(E14:E16)</f>
        <v>4100</v>
      </c>
      <c r="F13" s="809">
        <f t="shared" ref="F13:P13" si="3">SUM(F14:F16)</f>
        <v>4490</v>
      </c>
      <c r="G13" s="809">
        <f t="shared" si="3"/>
        <v>3225</v>
      </c>
      <c r="H13" s="809">
        <f t="shared" si="3"/>
        <v>-1170</v>
      </c>
      <c r="I13" s="809">
        <f t="shared" si="3"/>
        <v>4900</v>
      </c>
      <c r="J13" s="809">
        <f t="shared" si="3"/>
        <v>101505</v>
      </c>
      <c r="K13" s="809">
        <f t="shared" si="3"/>
        <v>10485</v>
      </c>
      <c r="L13" s="809">
        <f t="shared" si="3"/>
        <v>16025</v>
      </c>
      <c r="M13" s="809">
        <f t="shared" si="3"/>
        <v>12190</v>
      </c>
      <c r="N13" s="809">
        <f t="shared" si="3"/>
        <v>8865</v>
      </c>
      <c r="O13" s="809">
        <f t="shared" si="3"/>
        <v>-7135</v>
      </c>
      <c r="P13" s="809">
        <f t="shared" si="3"/>
        <v>3170</v>
      </c>
    </row>
    <row r="14" spans="1:16" s="361" customFormat="1" ht="30" x14ac:dyDescent="0.25">
      <c r="A14" s="358"/>
      <c r="B14" s="359" t="s">
        <v>307</v>
      </c>
      <c r="C14" s="375" t="s">
        <v>980</v>
      </c>
      <c r="D14" s="810">
        <f>SUM(E14:P14)</f>
        <v>0</v>
      </c>
      <c r="E14" s="810"/>
      <c r="F14" s="810"/>
      <c r="G14" s="810"/>
      <c r="H14" s="810"/>
      <c r="I14" s="810"/>
      <c r="J14" s="810"/>
      <c r="K14" s="810"/>
      <c r="L14" s="810"/>
      <c r="M14" s="810"/>
      <c r="N14" s="810"/>
      <c r="O14" s="810"/>
      <c r="P14" s="810"/>
    </row>
    <row r="15" spans="1:16" s="361" customFormat="1" x14ac:dyDescent="0.25">
      <c r="A15" s="358"/>
      <c r="B15" s="359" t="s">
        <v>308</v>
      </c>
      <c r="C15" s="360" t="s">
        <v>1012</v>
      </c>
      <c r="D15" s="810">
        <f>SUM(E15:P15)</f>
        <v>94035</v>
      </c>
      <c r="E15" s="810">
        <v>-1600</v>
      </c>
      <c r="F15" s="810">
        <v>1025</v>
      </c>
      <c r="G15" s="810">
        <v>855</v>
      </c>
      <c r="H15" s="810">
        <v>-485</v>
      </c>
      <c r="I15" s="810">
        <v>325</v>
      </c>
      <c r="J15" s="810">
        <v>74330</v>
      </c>
      <c r="K15" s="810">
        <v>6360</v>
      </c>
      <c r="L15" s="810">
        <v>4510</v>
      </c>
      <c r="M15" s="810">
        <v>2015</v>
      </c>
      <c r="N15" s="810">
        <v>8180</v>
      </c>
      <c r="O15" s="810">
        <v>-1980</v>
      </c>
      <c r="P15" s="810">
        <v>500</v>
      </c>
    </row>
    <row r="16" spans="1:16" s="361" customFormat="1" x14ac:dyDescent="0.25">
      <c r="A16" s="358" t="s">
        <v>235</v>
      </c>
      <c r="B16" s="359" t="s">
        <v>309</v>
      </c>
      <c r="C16" s="360" t="s">
        <v>1011</v>
      </c>
      <c r="D16" s="810">
        <f>SUM(E16:P16)</f>
        <v>66615</v>
      </c>
      <c r="E16" s="810">
        <f>'Thu NSH'!V43</f>
        <v>5700</v>
      </c>
      <c r="F16" s="810">
        <f>'Thu NSH'!AH43</f>
        <v>3465</v>
      </c>
      <c r="G16" s="810">
        <f>'Thu NSH'!AT43</f>
        <v>2370</v>
      </c>
      <c r="H16" s="810">
        <f>'Thu NSH'!BF43</f>
        <v>-685</v>
      </c>
      <c r="I16" s="810">
        <f>'Thu NSH'!BR43</f>
        <v>4575</v>
      </c>
      <c r="J16" s="810">
        <f>'Thu NSH'!CD43</f>
        <v>27175</v>
      </c>
      <c r="K16" s="810">
        <f>'Thu NSH'!CP43</f>
        <v>4125</v>
      </c>
      <c r="L16" s="810">
        <f>'Thu NSH'!DB43</f>
        <v>11515</v>
      </c>
      <c r="M16" s="810">
        <f>'Thu NSH'!DN43</f>
        <v>10175</v>
      </c>
      <c r="N16" s="810">
        <f>'Thu NSH'!DZ43</f>
        <v>685</v>
      </c>
      <c r="O16" s="810">
        <f>'Thu NSH'!EL43</f>
        <v>-5155</v>
      </c>
      <c r="P16" s="810">
        <f>'Thu NSH'!EX43</f>
        <v>2670</v>
      </c>
    </row>
    <row r="17" spans="1:16" x14ac:dyDescent="0.25">
      <c r="A17" s="345"/>
      <c r="B17" s="346" t="s">
        <v>235</v>
      </c>
      <c r="C17" s="347" t="s">
        <v>1013</v>
      </c>
      <c r="D17" s="809">
        <f t="shared" si="1"/>
        <v>14324</v>
      </c>
      <c r="E17" s="809">
        <v>600</v>
      </c>
      <c r="F17" s="809">
        <v>1460</v>
      </c>
      <c r="G17" s="809">
        <v>880</v>
      </c>
      <c r="H17" s="809">
        <v>752</v>
      </c>
      <c r="I17" s="809">
        <v>560</v>
      </c>
      <c r="J17" s="758">
        <v>1818</v>
      </c>
      <c r="K17" s="809">
        <v>1646</v>
      </c>
      <c r="L17" s="809">
        <v>980</v>
      </c>
      <c r="M17" s="809">
        <v>1087</v>
      </c>
      <c r="N17" s="809">
        <v>960</v>
      </c>
      <c r="O17" s="809">
        <v>2003</v>
      </c>
      <c r="P17" s="809">
        <v>1578</v>
      </c>
    </row>
    <row r="18" spans="1:16" x14ac:dyDescent="0.25">
      <c r="A18" s="345" t="s">
        <v>236</v>
      </c>
      <c r="B18" s="346" t="s">
        <v>236</v>
      </c>
      <c r="C18" s="347" t="s">
        <v>1014</v>
      </c>
      <c r="D18" s="809">
        <f t="shared" si="1"/>
        <v>36974</v>
      </c>
      <c r="E18" s="809">
        <v>5311</v>
      </c>
      <c r="F18" s="809">
        <v>0</v>
      </c>
      <c r="G18" s="809">
        <v>3226</v>
      </c>
      <c r="H18" s="809">
        <v>1576</v>
      </c>
      <c r="I18" s="809">
        <v>10858</v>
      </c>
      <c r="J18" s="809">
        <v>0</v>
      </c>
      <c r="K18" s="809">
        <v>0</v>
      </c>
      <c r="L18" s="809">
        <v>3451</v>
      </c>
      <c r="M18" s="809">
        <v>4306</v>
      </c>
      <c r="N18" s="809">
        <v>0</v>
      </c>
      <c r="O18" s="809">
        <v>0</v>
      </c>
      <c r="P18" s="809">
        <v>8246</v>
      </c>
    </row>
    <row r="19" spans="1:16" s="344" customFormat="1" x14ac:dyDescent="0.25">
      <c r="A19" s="355"/>
      <c r="B19" s="348" t="s">
        <v>294</v>
      </c>
      <c r="C19" s="349" t="s">
        <v>573</v>
      </c>
      <c r="D19" s="811">
        <f t="shared" si="1"/>
        <v>418198</v>
      </c>
      <c r="E19" s="811">
        <f>SUM(E21,E24)</f>
        <v>34649</v>
      </c>
      <c r="F19" s="811">
        <f t="shared" ref="F19:P19" si="4">SUM(F21,F24)</f>
        <v>23099</v>
      </c>
      <c r="G19" s="811">
        <f t="shared" si="4"/>
        <v>30535</v>
      </c>
      <c r="H19" s="811">
        <f t="shared" si="4"/>
        <v>30152</v>
      </c>
      <c r="I19" s="811">
        <f t="shared" si="4"/>
        <v>37988</v>
      </c>
      <c r="J19" s="811">
        <f t="shared" si="4"/>
        <v>37315</v>
      </c>
      <c r="K19" s="811">
        <f t="shared" si="4"/>
        <v>52148</v>
      </c>
      <c r="L19" s="811">
        <f t="shared" si="4"/>
        <v>41771</v>
      </c>
      <c r="M19" s="811">
        <f t="shared" si="4"/>
        <v>39047</v>
      </c>
      <c r="N19" s="811">
        <f t="shared" si="4"/>
        <v>35462</v>
      </c>
      <c r="O19" s="811">
        <f t="shared" si="4"/>
        <v>22923</v>
      </c>
      <c r="P19" s="811">
        <f t="shared" si="4"/>
        <v>33109</v>
      </c>
    </row>
    <row r="20" spans="1:16" x14ac:dyDescent="0.25">
      <c r="A20" s="345"/>
      <c r="B20" s="346"/>
      <c r="C20" s="350" t="s">
        <v>164</v>
      </c>
      <c r="D20" s="809">
        <f t="shared" si="1"/>
        <v>0</v>
      </c>
      <c r="E20" s="809"/>
      <c r="F20" s="809"/>
      <c r="G20" s="809"/>
      <c r="H20" s="809"/>
      <c r="I20" s="809"/>
      <c r="J20" s="809"/>
      <c r="K20" s="809"/>
      <c r="L20" s="809"/>
      <c r="M20" s="809"/>
      <c r="N20" s="809"/>
      <c r="O20" s="809"/>
      <c r="P20" s="809"/>
    </row>
    <row r="21" spans="1:16" x14ac:dyDescent="0.25">
      <c r="A21" s="345"/>
      <c r="B21" s="346" t="s">
        <v>569</v>
      </c>
      <c r="C21" s="352" t="s">
        <v>1015</v>
      </c>
      <c r="D21" s="809">
        <f t="shared" si="1"/>
        <v>219227</v>
      </c>
      <c r="E21" s="855">
        <f>8540/6*12+148+1159+260</f>
        <v>18647</v>
      </c>
      <c r="F21" s="855">
        <f>5440/6*12+724+90+800</f>
        <v>12494</v>
      </c>
      <c r="G21" s="896">
        <f>(6982)/6*12+919+310+1000</f>
        <v>16193</v>
      </c>
      <c r="H21" s="855">
        <f>7005/6*12+1161+380</f>
        <v>15551</v>
      </c>
      <c r="I21" s="855">
        <f>9174/6*12+1315+400</f>
        <v>20063</v>
      </c>
      <c r="J21" s="855">
        <f>9027/6*12+138+1407+170</f>
        <v>19769</v>
      </c>
      <c r="K21" s="855">
        <f>10734/6*12+1776+551+1753+520</f>
        <v>26068</v>
      </c>
      <c r="L21" s="855">
        <f>9774/6*12+1278+400</f>
        <v>21226</v>
      </c>
      <c r="M21" s="855">
        <f>9600/6*12+1376+400</f>
        <v>20976</v>
      </c>
      <c r="N21" s="855">
        <f>8657/6*12+1254+380</f>
        <v>18948</v>
      </c>
      <c r="O21" s="855">
        <f>(5231)/6*12+138+892+70</f>
        <v>11562</v>
      </c>
      <c r="P21" s="855">
        <f>8047/6*12+1256+380</f>
        <v>17730</v>
      </c>
    </row>
    <row r="22" spans="1:16" x14ac:dyDescent="0.25">
      <c r="A22" s="345"/>
      <c r="B22" s="346" t="s">
        <v>449</v>
      </c>
      <c r="C22" s="350"/>
      <c r="D22" s="809">
        <f t="shared" si="1"/>
        <v>0</v>
      </c>
      <c r="E22" s="809"/>
      <c r="F22" s="809"/>
      <c r="G22" s="809"/>
      <c r="H22" s="809"/>
      <c r="I22" s="809"/>
      <c r="J22" s="809"/>
      <c r="K22" s="809"/>
      <c r="L22" s="809"/>
      <c r="M22" s="809"/>
      <c r="N22" s="809"/>
      <c r="O22" s="809"/>
      <c r="P22" s="809"/>
    </row>
    <row r="23" spans="1:16" x14ac:dyDescent="0.25">
      <c r="A23" s="345"/>
      <c r="B23" s="351" t="s">
        <v>449</v>
      </c>
      <c r="C23" s="352"/>
      <c r="D23" s="809">
        <f t="shared" si="1"/>
        <v>0</v>
      </c>
      <c r="E23" s="809"/>
      <c r="F23" s="809"/>
      <c r="G23" s="809"/>
      <c r="H23" s="809"/>
      <c r="I23" s="809"/>
      <c r="J23" s="809"/>
      <c r="K23" s="809"/>
      <c r="L23" s="809"/>
      <c r="M23" s="809"/>
      <c r="N23" s="809"/>
      <c r="O23" s="809"/>
      <c r="P23" s="809"/>
    </row>
    <row r="24" spans="1:16" x14ac:dyDescent="0.25">
      <c r="A24" s="345"/>
      <c r="B24" s="353">
        <v>2</v>
      </c>
      <c r="C24" s="352" t="s">
        <v>1010</v>
      </c>
      <c r="D24" s="809">
        <f t="shared" si="1"/>
        <v>198971</v>
      </c>
      <c r="E24" s="809">
        <f>INT(16002.6038530633)</f>
        <v>16002</v>
      </c>
      <c r="F24" s="809">
        <f>INT(10605.77160022)</f>
        <v>10605</v>
      </c>
      <c r="G24" s="809">
        <f>INT(14342.8522899903)</f>
        <v>14342</v>
      </c>
      <c r="H24" s="809">
        <f>INT(14601.9862810042)</f>
        <v>14601</v>
      </c>
      <c r="I24" s="809">
        <f>INT(17925.7151866154)</f>
        <v>17925</v>
      </c>
      <c r="J24" s="809">
        <f>INT(17546)</f>
        <v>17546</v>
      </c>
      <c r="K24" s="809">
        <v>26080</v>
      </c>
      <c r="L24" s="809">
        <f>INT(20545.38308544)</f>
        <v>20545</v>
      </c>
      <c r="M24" s="809">
        <f>INT(18071.65919298)</f>
        <v>18071</v>
      </c>
      <c r="N24" s="812">
        <f>INT(16514.2876185789)</f>
        <v>16514</v>
      </c>
      <c r="O24" s="809">
        <f>INT(11361.6998516133)</f>
        <v>11361</v>
      </c>
      <c r="P24" s="809">
        <f>INT(15379.3100384999)</f>
        <v>15379</v>
      </c>
    </row>
    <row r="25" spans="1:16" s="344" customFormat="1" x14ac:dyDescent="0.25">
      <c r="A25" s="355" t="s">
        <v>237</v>
      </c>
      <c r="B25" s="348" t="s">
        <v>322</v>
      </c>
      <c r="C25" s="354" t="s">
        <v>574</v>
      </c>
      <c r="D25" s="811">
        <f t="shared" si="1"/>
        <v>63001</v>
      </c>
      <c r="E25" s="811">
        <f>E8-E19</f>
        <v>-16279</v>
      </c>
      <c r="F25" s="811">
        <f t="shared" ref="F25:P25" si="5">F8-F19</f>
        <v>-11581</v>
      </c>
      <c r="G25" s="811">
        <f t="shared" si="5"/>
        <v>-15665</v>
      </c>
      <c r="H25" s="811">
        <f t="shared" si="5"/>
        <v>-22329</v>
      </c>
      <c r="I25" s="811">
        <f t="shared" si="5"/>
        <v>-13290</v>
      </c>
      <c r="J25" s="811">
        <f t="shared" si="5"/>
        <v>210176</v>
      </c>
      <c r="K25" s="811">
        <f t="shared" si="5"/>
        <v>-28190</v>
      </c>
      <c r="L25" s="811">
        <f t="shared" si="5"/>
        <v>-11250</v>
      </c>
      <c r="M25" s="811">
        <f t="shared" si="5"/>
        <v>15523</v>
      </c>
      <c r="N25" s="811">
        <f t="shared" si="5"/>
        <v>-15164</v>
      </c>
      <c r="O25" s="811">
        <f t="shared" si="5"/>
        <v>-16341</v>
      </c>
      <c r="P25" s="811">
        <f t="shared" si="5"/>
        <v>-12609</v>
      </c>
    </row>
    <row r="26" spans="1:16" x14ac:dyDescent="0.25">
      <c r="A26" s="345" t="s">
        <v>294</v>
      </c>
      <c r="B26" s="346" t="s">
        <v>569</v>
      </c>
      <c r="C26" s="350" t="s">
        <v>576</v>
      </c>
      <c r="D26" s="809">
        <f t="shared" si="1"/>
        <v>-162698</v>
      </c>
      <c r="E26" s="809">
        <f t="shared" ref="E26:L26" si="6">INT(IF(E25&lt;0,E25,0))</f>
        <v>-16279</v>
      </c>
      <c r="F26" s="809">
        <f t="shared" si="6"/>
        <v>-11581</v>
      </c>
      <c r="G26" s="809">
        <f t="shared" si="6"/>
        <v>-15665</v>
      </c>
      <c r="H26" s="809">
        <f t="shared" si="6"/>
        <v>-22329</v>
      </c>
      <c r="I26" s="809">
        <f t="shared" si="6"/>
        <v>-13290</v>
      </c>
      <c r="J26" s="809">
        <f t="shared" si="6"/>
        <v>0</v>
      </c>
      <c r="K26" s="809">
        <f t="shared" si="6"/>
        <v>-28190</v>
      </c>
      <c r="L26" s="809">
        <f t="shared" si="6"/>
        <v>-11250</v>
      </c>
      <c r="M26" s="809">
        <f>IF(M25&lt;0,M25,0)</f>
        <v>0</v>
      </c>
      <c r="N26" s="809">
        <f>INT(IF(N25&lt;0,N25,0))</f>
        <v>-15164</v>
      </c>
      <c r="O26" s="809">
        <f>INT(IF(O25&lt;0,O25,0))</f>
        <v>-16341</v>
      </c>
      <c r="P26" s="809">
        <f>INT(IF(P25&lt;0,P25,0))</f>
        <v>-12609</v>
      </c>
    </row>
    <row r="27" spans="1:16" x14ac:dyDescent="0.25">
      <c r="A27" s="345" t="s">
        <v>307</v>
      </c>
      <c r="B27" s="356" t="s">
        <v>233</v>
      </c>
      <c r="C27" s="357" t="s">
        <v>575</v>
      </c>
      <c r="D27" s="813">
        <f t="shared" si="1"/>
        <v>225699</v>
      </c>
      <c r="E27" s="813">
        <f>IF(E25&gt;0,E25,0)</f>
        <v>0</v>
      </c>
      <c r="F27" s="813">
        <f t="shared" ref="F27:P27" si="7">IF(F25&gt;0,F25,0)</f>
        <v>0</v>
      </c>
      <c r="G27" s="813">
        <f t="shared" si="7"/>
        <v>0</v>
      </c>
      <c r="H27" s="813">
        <f t="shared" si="7"/>
        <v>0</v>
      </c>
      <c r="I27" s="813">
        <f t="shared" si="7"/>
        <v>0</v>
      </c>
      <c r="J27" s="813">
        <f>INT(IF(J25&gt;0,J25,0))</f>
        <v>210176</v>
      </c>
      <c r="K27" s="813">
        <f t="shared" si="7"/>
        <v>0</v>
      </c>
      <c r="L27" s="813">
        <f t="shared" si="7"/>
        <v>0</v>
      </c>
      <c r="M27" s="813">
        <f>INT(IF(M25&gt;0,M25,0))</f>
        <v>15523</v>
      </c>
      <c r="N27" s="813">
        <f t="shared" si="7"/>
        <v>0</v>
      </c>
      <c r="O27" s="813">
        <f t="shared" si="7"/>
        <v>0</v>
      </c>
      <c r="P27" s="813">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x14ac:dyDescent="0.25">
      <c r="A4" s="977" t="s">
        <v>745</v>
      </c>
      <c r="B4" s="977"/>
      <c r="C4" s="977"/>
    </row>
    <row r="5" spans="1:3" hidden="1" x14ac:dyDescent="0.25">
      <c r="A5" s="86"/>
      <c r="B5" s="86"/>
      <c r="C5" s="86"/>
    </row>
    <row r="6" spans="1:3" x14ac:dyDescent="0.25">
      <c r="A6" s="86"/>
      <c r="C6" s="67" t="s">
        <v>393</v>
      </c>
    </row>
    <row r="7" spans="1:3" s="87" customFormat="1" ht="45.75" customHeight="1" x14ac:dyDescent="0.25">
      <c r="A7" s="36" t="s">
        <v>43</v>
      </c>
      <c r="B7" s="36" t="s">
        <v>394</v>
      </c>
      <c r="C7" s="36" t="s">
        <v>746</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248" customFormat="1" ht="20.100000000000001" customHeight="1" x14ac:dyDescent="0.25">
      <c r="A10" s="274" t="s">
        <v>449</v>
      </c>
      <c r="B10" s="278" t="s">
        <v>164</v>
      </c>
      <c r="C10" s="455"/>
    </row>
    <row r="11" spans="1:3" s="107" customFormat="1" ht="20.100000000000001" customHeight="1" x14ac:dyDescent="0.25">
      <c r="A11" s="105" t="s">
        <v>449</v>
      </c>
      <c r="B11" s="106" t="s">
        <v>213</v>
      </c>
      <c r="C11" s="456">
        <f>'Phụ lục số 1'!N48</f>
        <v>450000</v>
      </c>
    </row>
    <row r="12" spans="1:3" s="107" customFormat="1" ht="20.100000000000001" customHeight="1" x14ac:dyDescent="0.25">
      <c r="A12" s="105" t="s">
        <v>449</v>
      </c>
      <c r="B12" s="106" t="s">
        <v>67</v>
      </c>
      <c r="C12" s="456">
        <f>'Phụ lục số 1'!N55</f>
        <v>1380000</v>
      </c>
    </row>
    <row r="13" spans="1:3" s="14" customFormat="1" ht="20.100000000000001" customHeight="1" x14ac:dyDescent="0.25">
      <c r="A13" s="99" t="s">
        <v>294</v>
      </c>
      <c r="B13" s="100" t="s">
        <v>60</v>
      </c>
      <c r="C13" s="454">
        <f>'Phụ lục số 1'!N56</f>
        <v>78000</v>
      </c>
    </row>
    <row r="14" spans="1:3" s="98" customFormat="1" ht="20.100000000000001" customHeight="1" x14ac:dyDescent="0.25">
      <c r="A14" s="101" t="s">
        <v>295</v>
      </c>
      <c r="B14" s="102" t="s">
        <v>1033</v>
      </c>
      <c r="C14" s="457">
        <f>SUM(C15,C18,C22,C23)</f>
        <v>12334250</v>
      </c>
    </row>
    <row r="15" spans="1:3" s="14" customFormat="1" ht="20.100000000000001" customHeight="1" x14ac:dyDescent="0.25">
      <c r="A15" s="99" t="s">
        <v>281</v>
      </c>
      <c r="B15" s="100" t="s">
        <v>61</v>
      </c>
      <c r="C15" s="454">
        <f>'Phụ lục số 1'!Q12</f>
        <v>5466580</v>
      </c>
    </row>
    <row r="16" spans="1:3" s="107" customFormat="1" ht="20.100000000000001" customHeight="1" x14ac:dyDescent="0.25">
      <c r="A16" s="105" t="s">
        <v>307</v>
      </c>
      <c r="B16" s="106" t="s">
        <v>62</v>
      </c>
      <c r="C16" s="456">
        <f>C15-C17</f>
        <v>2563830</v>
      </c>
    </row>
    <row r="17" spans="1:3"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99" t="s">
        <v>294</v>
      </c>
      <c r="B18" s="100" t="s">
        <v>64</v>
      </c>
      <c r="C18" s="454">
        <f>SUM(C19:C20)</f>
        <v>6498723</v>
      </c>
    </row>
    <row r="19" spans="1:3" s="107" customFormat="1" ht="20.100000000000001" customHeight="1" x14ac:dyDescent="0.25">
      <c r="A19" s="105" t="s">
        <v>307</v>
      </c>
      <c r="B19" s="106" t="s">
        <v>411</v>
      </c>
      <c r="C19" s="456">
        <f>'Phụ lục số 1'!Q60</f>
        <v>4693126</v>
      </c>
    </row>
    <row r="20" spans="1:3" s="107" customFormat="1" ht="20.100000000000001" customHeight="1" x14ac:dyDescent="0.25">
      <c r="A20" s="105" t="s">
        <v>308</v>
      </c>
      <c r="B20" s="106" t="s">
        <v>412</v>
      </c>
      <c r="C20" s="456">
        <f>'Phụ lục số 1'!Q61</f>
        <v>1805597</v>
      </c>
    </row>
    <row r="21" spans="1:3" s="107" customFormat="1" ht="31.5" customHeight="1" x14ac:dyDescent="0.25">
      <c r="A21" s="105" t="s">
        <v>65</v>
      </c>
      <c r="B21" s="109" t="s">
        <v>647</v>
      </c>
      <c r="C21" s="456">
        <f>'Phụ lục số 1'!N65+('Phụ lục số 1'!N64-'Phụ lục số 2'!K42-'Phụ lục số 2'!K43)</f>
        <v>381607</v>
      </c>
    </row>
    <row r="22" spans="1:3" s="275" customFormat="1" ht="20.100000000000001" customHeight="1" x14ac:dyDescent="0.25">
      <c r="A22" s="99" t="s">
        <v>322</v>
      </c>
      <c r="B22" s="100" t="s">
        <v>618</v>
      </c>
      <c r="C22" s="454">
        <f>'Phụ lục số 1'!Q66</f>
        <v>353947</v>
      </c>
    </row>
    <row r="23" spans="1:3" s="14" customFormat="1" ht="20.100000000000001" customHeight="1" x14ac:dyDescent="0.25">
      <c r="A23" s="99" t="s">
        <v>323</v>
      </c>
      <c r="B23" s="100" t="s">
        <v>1032</v>
      </c>
      <c r="C23" s="454">
        <f>'Phụ lục số 1'!Q67</f>
        <v>15000</v>
      </c>
    </row>
    <row r="24" spans="1:3" s="98" customFormat="1" ht="20.100000000000001" customHeight="1" x14ac:dyDescent="0.25">
      <c r="A24" s="101" t="s">
        <v>299</v>
      </c>
      <c r="B24" s="102" t="s">
        <v>1034</v>
      </c>
      <c r="C24" s="457">
        <f>SUM(C25,C40,C45)</f>
        <v>12334250</v>
      </c>
    </row>
    <row r="25" spans="1:3" s="14" customFormat="1" ht="20.100000000000001" customHeight="1" x14ac:dyDescent="0.25">
      <c r="A25" s="99" t="s">
        <v>281</v>
      </c>
      <c r="B25" s="100" t="s">
        <v>383</v>
      </c>
      <c r="C25" s="454">
        <f>SUM(C26,C30,C36,C37,C38,C39)</f>
        <v>10895260</v>
      </c>
    </row>
    <row r="26" spans="1:3" s="14" customFormat="1" ht="20.100000000000001" customHeight="1" x14ac:dyDescent="0.25">
      <c r="A26" s="99">
        <v>1</v>
      </c>
      <c r="B26" s="100" t="s">
        <v>508</v>
      </c>
      <c r="C26" s="454">
        <f>'Phụ lục số 2'!K14</f>
        <v>2866350</v>
      </c>
    </row>
    <row r="27" spans="1:3" s="107" customFormat="1" ht="20.100000000000001" customHeight="1" x14ac:dyDescent="0.25">
      <c r="A27" s="105" t="s">
        <v>307</v>
      </c>
      <c r="B27" s="106" t="s">
        <v>661</v>
      </c>
      <c r="C27" s="456">
        <f>'Phụ lục số 2'!K15</f>
        <v>1036350</v>
      </c>
    </row>
    <row r="28" spans="1:3" s="235" customFormat="1" ht="20.100000000000001" customHeight="1" x14ac:dyDescent="0.25">
      <c r="A28" s="233" t="s">
        <v>308</v>
      </c>
      <c r="B28" s="234" t="s">
        <v>353</v>
      </c>
      <c r="C28" s="458">
        <f>'Phụ lục số 2'!K16</f>
        <v>450000</v>
      </c>
    </row>
    <row r="29" spans="1:3" s="235" customFormat="1" ht="20.100000000000001" customHeight="1" x14ac:dyDescent="0.25">
      <c r="A29" s="233" t="s">
        <v>309</v>
      </c>
      <c r="B29" s="234" t="s">
        <v>626</v>
      </c>
      <c r="C29" s="458">
        <f>'Phụ lục số 2'!K17</f>
        <v>1380000</v>
      </c>
    </row>
    <row r="30" spans="1:3" s="14" customFormat="1" ht="20.100000000000001" customHeight="1" x14ac:dyDescent="0.25">
      <c r="A30" s="99">
        <v>2</v>
      </c>
      <c r="B30" s="100" t="s">
        <v>333</v>
      </c>
      <c r="C30" s="454">
        <f>'Phụ lục số 2'!K19</f>
        <v>7613338</v>
      </c>
    </row>
    <row r="31" spans="1:3" s="238" customFormat="1" ht="20.100000000000001" customHeight="1" x14ac:dyDescent="0.25">
      <c r="A31" s="236" t="s">
        <v>449</v>
      </c>
      <c r="B31" s="237" t="s">
        <v>86</v>
      </c>
      <c r="C31" s="459"/>
    </row>
    <row r="32" spans="1:3" s="235" customFormat="1" ht="20.100000000000001" customHeight="1" x14ac:dyDescent="0.25">
      <c r="A32" s="233" t="s">
        <v>307</v>
      </c>
      <c r="B32" s="234" t="s">
        <v>251</v>
      </c>
      <c r="C32" s="458">
        <f>'Phụ lục số 2'!K24</f>
        <v>3322431</v>
      </c>
    </row>
    <row r="33" spans="1:3" s="235" customFormat="1" ht="20.100000000000001" customHeight="1" x14ac:dyDescent="0.25">
      <c r="A33" s="233" t="s">
        <v>308</v>
      </c>
      <c r="B33" s="234" t="s">
        <v>252</v>
      </c>
      <c r="C33" s="458">
        <f>'Phụ lục số 2'!K23</f>
        <v>28000</v>
      </c>
    </row>
    <row r="34" spans="1:3" s="235" customFormat="1" ht="20.100000000000001" customHeight="1" x14ac:dyDescent="0.25">
      <c r="A34" s="233" t="s">
        <v>309</v>
      </c>
      <c r="B34" s="234" t="s">
        <v>512</v>
      </c>
      <c r="C34" s="458">
        <f>'Phụ lục số 2'!K21</f>
        <v>129921</v>
      </c>
    </row>
    <row r="35" spans="1:3" s="235" customFormat="1" ht="20.100000000000001" customHeight="1" x14ac:dyDescent="0.25">
      <c r="A35" s="233" t="s">
        <v>310</v>
      </c>
      <c r="B35" s="234" t="s">
        <v>229</v>
      </c>
      <c r="C35" s="458">
        <f>C30-C32-C33-C34</f>
        <v>4132986</v>
      </c>
    </row>
    <row r="36" spans="1:3" s="14" customFormat="1" ht="20.100000000000001" customHeight="1" x14ac:dyDescent="0.25">
      <c r="A36" s="99">
        <v>3</v>
      </c>
      <c r="B36" s="100" t="s">
        <v>152</v>
      </c>
      <c r="C36" s="454">
        <f>'Phụ lục số 2'!K33</f>
        <v>2000</v>
      </c>
    </row>
    <row r="37" spans="1:3" s="14" customFormat="1" ht="20.100000000000001" customHeight="1" x14ac:dyDescent="0.25">
      <c r="A37" s="99">
        <v>4</v>
      </c>
      <c r="B37" s="100" t="s">
        <v>361</v>
      </c>
      <c r="C37" s="454">
        <f>'Phụ lục số 2'!K34</f>
        <v>209077</v>
      </c>
    </row>
    <row r="38" spans="1:3" s="14" customFormat="1" ht="20.100000000000001" customHeight="1" x14ac:dyDescent="0.25">
      <c r="A38" s="99">
        <v>5</v>
      </c>
      <c r="B38" s="100" t="s">
        <v>404</v>
      </c>
      <c r="C38" s="454">
        <f>'Phụ lục số 2'!K36</f>
        <v>204195</v>
      </c>
    </row>
    <row r="39" spans="1:3" s="14" customFormat="1" ht="20.100000000000001" customHeight="1" x14ac:dyDescent="0.25">
      <c r="A39" s="99">
        <v>6</v>
      </c>
      <c r="B39" s="27" t="s">
        <v>669</v>
      </c>
      <c r="C39" s="454">
        <f>'Phụ lục số 2'!K38</f>
        <v>300</v>
      </c>
    </row>
    <row r="40" spans="1:3" s="14" customFormat="1" ht="20.100000000000001" customHeight="1" x14ac:dyDescent="0.25">
      <c r="A40" s="99" t="s">
        <v>294</v>
      </c>
      <c r="B40" s="110" t="s">
        <v>70</v>
      </c>
      <c r="C40" s="454">
        <f>SUM(C41:C44)</f>
        <v>1423990</v>
      </c>
    </row>
    <row r="41" spans="1:3" s="14" customFormat="1" ht="20.100000000000001" customHeight="1" x14ac:dyDescent="0.25">
      <c r="A41" s="232">
        <v>1</v>
      </c>
      <c r="B41" s="25" t="s">
        <v>486</v>
      </c>
      <c r="C41" s="460">
        <f>'Phụ lục số 2'!K40</f>
        <v>237567</v>
      </c>
    </row>
    <row r="42" spans="1:3" s="14" customFormat="1" ht="20.100000000000001" customHeight="1" x14ac:dyDescent="0.25">
      <c r="A42" s="232">
        <v>2</v>
      </c>
      <c r="B42" s="25" t="s">
        <v>385</v>
      </c>
      <c r="C42" s="460">
        <f>'Phụ lục số 2'!K41</f>
        <v>849684</v>
      </c>
    </row>
    <row r="43" spans="1:3" s="14" customFormat="1" ht="20.100000000000001" customHeight="1" x14ac:dyDescent="0.25">
      <c r="A43" s="232">
        <v>3</v>
      </c>
      <c r="B43" s="25" t="s">
        <v>386</v>
      </c>
      <c r="C43" s="460">
        <f>'Phụ lục số 2'!K42</f>
        <v>336739</v>
      </c>
    </row>
    <row r="44" spans="1:3" s="248" customFormat="1" ht="20.100000000000001" hidden="1" customHeight="1" x14ac:dyDescent="0.25">
      <c r="A44" s="232">
        <v>4</v>
      </c>
      <c r="B44" s="25" t="s">
        <v>670</v>
      </c>
      <c r="C44" s="460">
        <f>'Phụ lục số 2'!K43</f>
        <v>0</v>
      </c>
    </row>
    <row r="45" spans="1:3" s="14" customFormat="1" ht="20.100000000000001" customHeight="1" x14ac:dyDescent="0.25">
      <c r="A45" s="871" t="s">
        <v>322</v>
      </c>
      <c r="B45" s="870" t="s">
        <v>1028</v>
      </c>
      <c r="C45" s="872">
        <f>'Phụ lục số 2'!K44</f>
        <v>15000</v>
      </c>
    </row>
    <row r="46" spans="1:3" x14ac:dyDescent="0.25">
      <c r="B46" s="304" t="s">
        <v>706</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ht="21.75" customHeight="1" x14ac:dyDescent="0.25">
      <c r="A4" s="1003" t="s">
        <v>747</v>
      </c>
      <c r="B4" s="1083"/>
      <c r="C4" s="1083"/>
    </row>
    <row r="5" spans="1:4" x14ac:dyDescent="0.25">
      <c r="C5" s="67" t="s">
        <v>393</v>
      </c>
    </row>
    <row r="6" spans="1:4" s="87" customFormat="1" ht="31.5" x14ac:dyDescent="0.25">
      <c r="A6" s="36" t="s">
        <v>43</v>
      </c>
      <c r="B6" s="36" t="s">
        <v>327</v>
      </c>
      <c r="C6" s="36" t="s">
        <v>748</v>
      </c>
    </row>
    <row r="7" spans="1:4" s="98" customFormat="1" x14ac:dyDescent="0.25">
      <c r="A7" s="101"/>
      <c r="B7" s="102" t="s">
        <v>1035</v>
      </c>
      <c r="C7" s="457">
        <f>SUM(C8,C11,C14,C15)</f>
        <v>10357034</v>
      </c>
      <c r="D7" s="76"/>
    </row>
    <row r="8" spans="1:4" s="98" customFormat="1" x14ac:dyDescent="0.25">
      <c r="A8" s="101" t="s">
        <v>281</v>
      </c>
      <c r="B8" s="102" t="s">
        <v>71</v>
      </c>
      <c r="C8" s="457">
        <f>'Phụ lục số 1'!R12</f>
        <v>3649190</v>
      </c>
    </row>
    <row r="9" spans="1:4" s="107" customFormat="1" x14ac:dyDescent="0.25">
      <c r="A9" s="105">
        <v>1</v>
      </c>
      <c r="B9" s="106" t="s">
        <v>131</v>
      </c>
      <c r="C9" s="456">
        <f>C8-C10</f>
        <v>1656130</v>
      </c>
    </row>
    <row r="10" spans="1:4" s="107" customFormat="1" x14ac:dyDescent="0.25">
      <c r="A10" s="105">
        <v>2</v>
      </c>
      <c r="B10" s="112" t="s">
        <v>132</v>
      </c>
      <c r="C10" s="456">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98" customFormat="1" x14ac:dyDescent="0.25">
      <c r="A11" s="101" t="s">
        <v>294</v>
      </c>
      <c r="B11" s="102" t="s">
        <v>133</v>
      </c>
      <c r="C11" s="457">
        <f>SUM(C12:C13)</f>
        <v>6498723</v>
      </c>
      <c r="D11" s="76"/>
    </row>
    <row r="12" spans="1:4" s="107" customFormat="1" x14ac:dyDescent="0.25">
      <c r="A12" s="105">
        <v>1</v>
      </c>
      <c r="B12" s="106" t="s">
        <v>411</v>
      </c>
      <c r="C12" s="456">
        <f>'Phụ lục số 1'!R60</f>
        <v>4693126</v>
      </c>
    </row>
    <row r="13" spans="1:4" s="107" customFormat="1" x14ac:dyDescent="0.25">
      <c r="A13" s="105">
        <v>2</v>
      </c>
      <c r="B13" s="106" t="s">
        <v>298</v>
      </c>
      <c r="C13" s="456">
        <f>'Phụ lục số 1'!R61</f>
        <v>1805597</v>
      </c>
    </row>
    <row r="14" spans="1:4" s="98" customFormat="1" x14ac:dyDescent="0.25">
      <c r="A14" s="101" t="s">
        <v>322</v>
      </c>
      <c r="B14" s="102" t="s">
        <v>662</v>
      </c>
      <c r="C14" s="457">
        <f>'Phụ lục số 1'!R66</f>
        <v>194121</v>
      </c>
    </row>
    <row r="15" spans="1:4" s="98" customFormat="1" x14ac:dyDescent="0.25">
      <c r="A15" s="101" t="s">
        <v>323</v>
      </c>
      <c r="B15" s="45" t="s">
        <v>1027</v>
      </c>
      <c r="C15" s="457">
        <f>'Phụ lục số 1'!R67</f>
        <v>15000</v>
      </c>
    </row>
    <row r="16" spans="1:4" s="98" customFormat="1" x14ac:dyDescent="0.25">
      <c r="A16" s="101" t="s">
        <v>295</v>
      </c>
      <c r="B16" s="102" t="s">
        <v>1036</v>
      </c>
      <c r="C16" s="457">
        <f>SUM(C17,C43,C44,C45)</f>
        <v>10357034</v>
      </c>
      <c r="D16" s="76">
        <f>+C7-C16</f>
        <v>0</v>
      </c>
    </row>
    <row r="17" spans="1:4" s="116" customFormat="1" x14ac:dyDescent="0.25">
      <c r="A17" s="113" t="s">
        <v>281</v>
      </c>
      <c r="B17" s="114" t="s">
        <v>134</v>
      </c>
      <c r="C17" s="461">
        <f>SUM(C18,C22,C39,C40,C41,C42)</f>
        <v>4798684</v>
      </c>
      <c r="D17" s="115"/>
    </row>
    <row r="18" spans="1:4" s="116" customFormat="1" x14ac:dyDescent="0.25">
      <c r="A18" s="117">
        <v>1</v>
      </c>
      <c r="B18" s="45" t="s">
        <v>304</v>
      </c>
      <c r="C18" s="461">
        <f>'Phụ lục số 2'!N14</f>
        <v>2009653</v>
      </c>
      <c r="D18" s="115"/>
    </row>
    <row r="19" spans="1:4" s="442" customFormat="1" x14ac:dyDescent="0.25">
      <c r="A19" s="440" t="s">
        <v>307</v>
      </c>
      <c r="B19" s="106" t="s">
        <v>661</v>
      </c>
      <c r="C19" s="462">
        <f>'Phụ lục số 2'!N15</f>
        <v>559653</v>
      </c>
      <c r="D19" s="441"/>
    </row>
    <row r="20" spans="1:4" s="120" customFormat="1" x14ac:dyDescent="0.25">
      <c r="A20" s="118" t="s">
        <v>308</v>
      </c>
      <c r="B20" s="106" t="s">
        <v>353</v>
      </c>
      <c r="C20" s="462">
        <f>'Phụ lục số 2'!N16</f>
        <v>70000</v>
      </c>
      <c r="D20" s="119"/>
    </row>
    <row r="21" spans="1:4" s="120" customFormat="1" x14ac:dyDescent="0.25">
      <c r="A21" s="118" t="s">
        <v>309</v>
      </c>
      <c r="B21" s="106" t="s">
        <v>626</v>
      </c>
      <c r="C21" s="462">
        <f>'Phụ lục số 2'!N17</f>
        <v>1380000</v>
      </c>
      <c r="D21" s="119"/>
    </row>
    <row r="22" spans="1:4" s="116" customFormat="1" x14ac:dyDescent="0.25">
      <c r="A22" s="117">
        <v>2</v>
      </c>
      <c r="B22" s="45" t="s">
        <v>333</v>
      </c>
      <c r="C22" s="461">
        <f>SUM(C23,C24,C25,C33,C34,C38)</f>
        <v>2676305</v>
      </c>
      <c r="D22" s="115"/>
    </row>
    <row r="23" spans="1:4" s="123" customFormat="1" x14ac:dyDescent="0.25">
      <c r="A23" s="121" t="s">
        <v>135</v>
      </c>
      <c r="B23" s="27" t="s">
        <v>136</v>
      </c>
      <c r="C23" s="463">
        <f>'Phụ lục số 2'!N20</f>
        <v>441409</v>
      </c>
      <c r="D23" s="122"/>
    </row>
    <row r="24" spans="1:4" s="123" customFormat="1" x14ac:dyDescent="0.25">
      <c r="A24" s="121" t="s">
        <v>137</v>
      </c>
      <c r="B24" s="27" t="s">
        <v>379</v>
      </c>
      <c r="C24" s="463">
        <f>'Phụ lục số 2'!N21</f>
        <v>80000</v>
      </c>
      <c r="D24" s="122"/>
    </row>
    <row r="25" spans="1:4" s="123" customFormat="1" x14ac:dyDescent="0.25">
      <c r="A25" s="121" t="s">
        <v>138</v>
      </c>
      <c r="B25" s="27" t="s">
        <v>311</v>
      </c>
      <c r="C25" s="463">
        <f>SUM(C26:C32)</f>
        <v>1609156</v>
      </c>
      <c r="D25" s="122"/>
    </row>
    <row r="26" spans="1:4" s="120" customFormat="1" x14ac:dyDescent="0.25">
      <c r="A26" s="118" t="s">
        <v>307</v>
      </c>
      <c r="B26" s="79" t="s">
        <v>140</v>
      </c>
      <c r="C26" s="462">
        <f>'Phụ lục số 2'!N23</f>
        <v>28000</v>
      </c>
      <c r="D26" s="119"/>
    </row>
    <row r="27" spans="1:4" s="120" customFormat="1" x14ac:dyDescent="0.25">
      <c r="A27" s="118" t="s">
        <v>308</v>
      </c>
      <c r="B27" s="79" t="s">
        <v>372</v>
      </c>
      <c r="C27" s="462">
        <f>'Phụ lục số 2'!N24</f>
        <v>691691</v>
      </c>
      <c r="D27" s="119"/>
    </row>
    <row r="28" spans="1:4" s="120" customFormat="1" x14ac:dyDescent="0.25">
      <c r="A28" s="118" t="s">
        <v>309</v>
      </c>
      <c r="B28" s="79" t="s">
        <v>312</v>
      </c>
      <c r="C28" s="462">
        <f>'Phụ lục số 2'!N25</f>
        <v>755689</v>
      </c>
      <c r="D28" s="119"/>
    </row>
    <row r="29" spans="1:4" s="120" customFormat="1" x14ac:dyDescent="0.25">
      <c r="A29" s="118" t="s">
        <v>310</v>
      </c>
      <c r="B29" s="79" t="s">
        <v>314</v>
      </c>
      <c r="C29" s="462">
        <f>'Phụ lục số 2'!N26</f>
        <v>36993</v>
      </c>
      <c r="D29" s="119"/>
    </row>
    <row r="30" spans="1:4" s="120" customFormat="1" x14ac:dyDescent="0.25">
      <c r="A30" s="118" t="s">
        <v>313</v>
      </c>
      <c r="B30" s="79" t="s">
        <v>316</v>
      </c>
      <c r="C30" s="462">
        <f>'Phụ lục số 2'!N27</f>
        <v>5500</v>
      </c>
      <c r="D30" s="119"/>
    </row>
    <row r="31" spans="1:4" s="120" customFormat="1" x14ac:dyDescent="0.25">
      <c r="A31" s="118" t="s">
        <v>315</v>
      </c>
      <c r="B31" s="79" t="s">
        <v>318</v>
      </c>
      <c r="C31" s="462">
        <f>'Phụ lục số 2'!N28</f>
        <v>21283</v>
      </c>
      <c r="D31" s="119"/>
    </row>
    <row r="32" spans="1:4" s="120" customFormat="1" x14ac:dyDescent="0.25">
      <c r="A32" s="118" t="s">
        <v>317</v>
      </c>
      <c r="B32" s="79" t="s">
        <v>141</v>
      </c>
      <c r="C32" s="462">
        <f>'Phụ lục số 2'!N29</f>
        <v>70000</v>
      </c>
      <c r="D32" s="119"/>
    </row>
    <row r="33" spans="1:4" s="123" customFormat="1" x14ac:dyDescent="0.25">
      <c r="A33" s="121" t="s">
        <v>142</v>
      </c>
      <c r="B33" s="27" t="s">
        <v>320</v>
      </c>
      <c r="C33" s="463">
        <f>'Phụ lục số 2'!N30</f>
        <v>418567</v>
      </c>
      <c r="D33" s="122"/>
    </row>
    <row r="34" spans="1:4" s="123" customFormat="1" x14ac:dyDescent="0.25">
      <c r="A34" s="121" t="s">
        <v>143</v>
      </c>
      <c r="B34" s="27" t="s">
        <v>321</v>
      </c>
      <c r="C34" s="463">
        <f>'Phụ lục số 2'!N31</f>
        <v>102173</v>
      </c>
      <c r="D34" s="122"/>
    </row>
    <row r="35" spans="1:4" s="120" customFormat="1" x14ac:dyDescent="0.25">
      <c r="A35" s="118" t="s">
        <v>307</v>
      </c>
      <c r="B35" s="79" t="s">
        <v>144</v>
      </c>
      <c r="C35" s="462">
        <f>'Phụ lục số 4'!O64</f>
        <v>34000</v>
      </c>
      <c r="D35" s="119"/>
    </row>
    <row r="36" spans="1:4" s="120" customFormat="1" x14ac:dyDescent="0.25">
      <c r="A36" s="118" t="s">
        <v>308</v>
      </c>
      <c r="B36" s="79" t="s">
        <v>145</v>
      </c>
      <c r="C36" s="462">
        <f>C34-C35-C37</f>
        <v>61173</v>
      </c>
      <c r="D36" s="119"/>
    </row>
    <row r="37" spans="1:4" s="120" customFormat="1" x14ac:dyDescent="0.25">
      <c r="A37" s="118" t="s">
        <v>309</v>
      </c>
      <c r="B37" s="79" t="s">
        <v>146</v>
      </c>
      <c r="C37" s="462">
        <f>'Phụ lục số 4'!O66</f>
        <v>7000</v>
      </c>
      <c r="D37" s="119"/>
    </row>
    <row r="38" spans="1:4" s="123" customFormat="1" x14ac:dyDescent="0.25">
      <c r="A38" s="121" t="s">
        <v>147</v>
      </c>
      <c r="B38" s="27" t="s">
        <v>384</v>
      </c>
      <c r="C38" s="463">
        <f>'Phụ lục số 2'!N32</f>
        <v>25000</v>
      </c>
      <c r="D38" s="122"/>
    </row>
    <row r="39" spans="1:4" s="116" customFormat="1" x14ac:dyDescent="0.25">
      <c r="A39" s="117">
        <v>3</v>
      </c>
      <c r="B39" s="45" t="s">
        <v>148</v>
      </c>
      <c r="C39" s="461">
        <f>'Phụ lục số 2'!N33</f>
        <v>2000</v>
      </c>
      <c r="D39" s="115"/>
    </row>
    <row r="40" spans="1:4" s="116" customFormat="1" x14ac:dyDescent="0.25">
      <c r="A40" s="117">
        <v>4</v>
      </c>
      <c r="B40" s="45" t="s">
        <v>361</v>
      </c>
      <c r="C40" s="461">
        <f>'Phụ lục số 2'!N34</f>
        <v>110426</v>
      </c>
      <c r="D40" s="115"/>
    </row>
    <row r="41" spans="1:4" s="116" customFormat="1" x14ac:dyDescent="0.25">
      <c r="A41" s="117">
        <v>5</v>
      </c>
      <c r="B41" s="45" t="s">
        <v>404</v>
      </c>
      <c r="C41" s="461">
        <f>'Phụ lục số 2'!N36</f>
        <v>0</v>
      </c>
      <c r="D41" s="115"/>
    </row>
    <row r="42" spans="1:4" s="116" customFormat="1" x14ac:dyDescent="0.25">
      <c r="A42" s="117">
        <v>6</v>
      </c>
      <c r="B42" s="45" t="s">
        <v>669</v>
      </c>
      <c r="C42" s="461">
        <f>'Phụ lục số 2'!N38</f>
        <v>300</v>
      </c>
      <c r="D42" s="115"/>
    </row>
    <row r="43" spans="1:4" s="116" customFormat="1" x14ac:dyDescent="0.25">
      <c r="A43" s="113" t="s">
        <v>294</v>
      </c>
      <c r="B43" s="114" t="s">
        <v>324</v>
      </c>
      <c r="C43" s="461">
        <f>'Phụ lục số 2'!N39</f>
        <v>1423990</v>
      </c>
      <c r="D43" s="115"/>
    </row>
    <row r="44" spans="1:4" s="116" customFormat="1" x14ac:dyDescent="0.25">
      <c r="A44" s="113" t="s">
        <v>322</v>
      </c>
      <c r="B44" s="162" t="s">
        <v>1028</v>
      </c>
      <c r="C44" s="461">
        <f>'Phụ lục số 2'!N44</f>
        <v>15000</v>
      </c>
      <c r="D44" s="115"/>
    </row>
    <row r="45" spans="1:4" s="98" customFormat="1" x14ac:dyDescent="0.25">
      <c r="A45" s="101" t="s">
        <v>323</v>
      </c>
      <c r="B45" s="102" t="s">
        <v>149</v>
      </c>
      <c r="C45" s="457">
        <f>SUM(C46:C47)</f>
        <v>4119360</v>
      </c>
    </row>
    <row r="46" spans="1:4" s="107" customFormat="1" x14ac:dyDescent="0.25">
      <c r="A46" s="105">
        <v>1</v>
      </c>
      <c r="B46" s="106" t="s">
        <v>411</v>
      </c>
      <c r="C46" s="456">
        <f>'Phụ lục số 5'!E32</f>
        <v>3464851</v>
      </c>
    </row>
    <row r="47" spans="1:4" s="107" customFormat="1" x14ac:dyDescent="0.25">
      <c r="A47" s="105">
        <v>2</v>
      </c>
      <c r="B47" s="106" t="s">
        <v>298</v>
      </c>
      <c r="C47" s="456">
        <f>'Phụ lục số 5'!E33</f>
        <v>654509</v>
      </c>
    </row>
    <row r="48" spans="1:4" s="98" customFormat="1" x14ac:dyDescent="0.25">
      <c r="A48" s="124"/>
      <c r="B48" s="125"/>
      <c r="C48" s="464"/>
    </row>
    <row r="50" spans="3:3" x14ac:dyDescent="0.25">
      <c r="C50" s="286"/>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x14ac:dyDescent="0.25">
      <c r="A4" s="130" t="s">
        <v>749</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4" t="s">
        <v>43</v>
      </c>
      <c r="B7" s="1084" t="s">
        <v>327</v>
      </c>
      <c r="C7" s="1085" t="s">
        <v>748</v>
      </c>
    </row>
    <row r="8" spans="1:3" s="133" customFormat="1" ht="42" customHeight="1" x14ac:dyDescent="0.25">
      <c r="A8" s="1084"/>
      <c r="B8" s="1084"/>
      <c r="C8" s="1086"/>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1" customFormat="1" x14ac:dyDescent="0.25">
      <c r="A24" s="139">
        <v>14</v>
      </c>
      <c r="B24" s="247" t="s">
        <v>67</v>
      </c>
      <c r="C24" s="467">
        <f>'Phụ lục số 1'!N55</f>
        <v>1380000</v>
      </c>
    </row>
    <row r="25" spans="1:3" s="417" customFormat="1" x14ac:dyDescent="0.25">
      <c r="A25" s="416">
        <v>15</v>
      </c>
      <c r="B25" s="247" t="s">
        <v>545</v>
      </c>
      <c r="C25" s="469">
        <f>'Phụ lục số 1'!N52</f>
        <v>4500</v>
      </c>
    </row>
    <row r="26" spans="1:3" s="417" customFormat="1" x14ac:dyDescent="0.25">
      <c r="A26" s="416">
        <v>16</v>
      </c>
      <c r="B26" s="247" t="s">
        <v>546</v>
      </c>
      <c r="C26" s="469">
        <f>'Phụ lục số 1'!N53</f>
        <v>8000</v>
      </c>
    </row>
    <row r="27" spans="1:3" s="143" customFormat="1" x14ac:dyDescent="0.25">
      <c r="A27" s="137" t="s">
        <v>294</v>
      </c>
      <c r="B27" s="138" t="s">
        <v>417</v>
      </c>
      <c r="C27" s="470">
        <f>'Phụ lục số 1'!N56</f>
        <v>78000</v>
      </c>
    </row>
    <row r="28" spans="1:3" s="136" customFormat="1" hidden="1" x14ac:dyDescent="0.25">
      <c r="A28" s="137" t="s">
        <v>295</v>
      </c>
      <c r="B28" s="102" t="s">
        <v>66</v>
      </c>
      <c r="C28" s="466">
        <f>'Phụ lục số 1'!N66</f>
        <v>353947</v>
      </c>
    </row>
    <row r="29" spans="1:3" s="143" customFormat="1" x14ac:dyDescent="0.25">
      <c r="A29" s="137" t="s">
        <v>295</v>
      </c>
      <c r="B29" s="144" t="s">
        <v>1037</v>
      </c>
      <c r="C29" s="470">
        <f>SUM(C30,C33,C36,C37)</f>
        <v>12334250</v>
      </c>
    </row>
    <row r="30" spans="1:3" s="142" customFormat="1" x14ac:dyDescent="0.25">
      <c r="A30" s="145" t="s">
        <v>281</v>
      </c>
      <c r="B30" s="146" t="s">
        <v>156</v>
      </c>
      <c r="C30" s="471">
        <f>SUM(C31:C32)</f>
        <v>5466580</v>
      </c>
    </row>
    <row r="31" spans="1:3" s="141"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2" customFormat="1" x14ac:dyDescent="0.25">
      <c r="A33" s="145" t="s">
        <v>294</v>
      </c>
      <c r="B33" s="146" t="s">
        <v>296</v>
      </c>
      <c r="C33" s="472">
        <f>SUM(C34:C35)</f>
        <v>6498723</v>
      </c>
    </row>
    <row r="34" spans="1:3" s="141"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2" customFormat="1" x14ac:dyDescent="0.25">
      <c r="A36" s="145" t="s">
        <v>322</v>
      </c>
      <c r="B36" s="146" t="s">
        <v>662</v>
      </c>
      <c r="C36" s="472">
        <f>C28</f>
        <v>353947</v>
      </c>
    </row>
    <row r="37" spans="1:3" x14ac:dyDescent="0.25">
      <c r="A37" s="415" t="s">
        <v>323</v>
      </c>
      <c r="B37" s="873" t="s">
        <v>1027</v>
      </c>
      <c r="C37" s="473">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7" t="s">
        <v>57</v>
      </c>
      <c r="C1" s="1087"/>
      <c r="D1" s="1087"/>
      <c r="E1" s="12"/>
    </row>
    <row r="2" spans="1:5" s="14" customFormat="1" hidden="1" x14ac:dyDescent="0.25">
      <c r="B2" s="1087" t="s">
        <v>58</v>
      </c>
      <c r="C2" s="1087"/>
      <c r="D2" s="1087"/>
      <c r="E2" s="12"/>
    </row>
    <row r="3" spans="1:5" s="14" customFormat="1" hidden="1" x14ac:dyDescent="0.25">
      <c r="B3" s="13"/>
      <c r="C3" s="977"/>
      <c r="D3" s="977"/>
      <c r="E3" s="977"/>
    </row>
    <row r="4" spans="1:5" s="14" customFormat="1" x14ac:dyDescent="0.25">
      <c r="A4" s="977" t="s">
        <v>750</v>
      </c>
      <c r="B4" s="977"/>
      <c r="C4" s="977"/>
      <c r="D4" s="977"/>
      <c r="E4" s="977"/>
    </row>
    <row r="5" spans="1:5" x14ac:dyDescent="0.25">
      <c r="E5" s="148" t="s">
        <v>393</v>
      </c>
    </row>
    <row r="6" spans="1:5" s="14" customFormat="1" x14ac:dyDescent="0.25">
      <c r="A6" s="1024" t="s">
        <v>43</v>
      </c>
      <c r="B6" s="1042" t="s">
        <v>394</v>
      </c>
      <c r="C6" s="1006" t="s">
        <v>751</v>
      </c>
      <c r="D6" s="1006"/>
      <c r="E6" s="1006"/>
    </row>
    <row r="7" spans="1:5" s="14" customFormat="1" x14ac:dyDescent="0.25">
      <c r="A7" s="1042"/>
      <c r="B7" s="1042"/>
      <c r="C7" s="1042" t="s">
        <v>276</v>
      </c>
      <c r="D7" s="1006" t="s">
        <v>160</v>
      </c>
      <c r="E7" s="1006"/>
    </row>
    <row r="8" spans="1:5" s="87" customFormat="1" ht="78.75" customHeight="1" x14ac:dyDescent="0.25">
      <c r="A8" s="1042"/>
      <c r="B8" s="1042"/>
      <c r="C8" s="1042"/>
      <c r="D8" s="36" t="s">
        <v>161</v>
      </c>
      <c r="E8" s="36" t="s">
        <v>162</v>
      </c>
    </row>
    <row r="9" spans="1:5" s="98" customFormat="1" ht="20.100000000000001" customHeight="1" x14ac:dyDescent="0.25">
      <c r="A9" s="111"/>
      <c r="B9" s="41" t="s">
        <v>163</v>
      </c>
      <c r="C9" s="251">
        <f>SUM(C10,C15,C21,C22,C23,C24,C25,C26)</f>
        <v>12334250</v>
      </c>
      <c r="D9" s="251">
        <f>SUM(D10,D15,D21,D22,D23,D24,D25,D26)</f>
        <v>6237674</v>
      </c>
      <c r="E9" s="251">
        <f>SUM(E10,E15,E21,E22,E23,E24,E25,E26)</f>
        <v>6096576</v>
      </c>
    </row>
    <row r="10" spans="1:5" s="98" customFormat="1" ht="20.100000000000001" customHeight="1" x14ac:dyDescent="0.25">
      <c r="A10" s="101" t="s">
        <v>281</v>
      </c>
      <c r="B10" s="102" t="s">
        <v>514</v>
      </c>
      <c r="C10" s="264">
        <f>SUM(D10:E10)</f>
        <v>2866350</v>
      </c>
      <c r="D10" s="264">
        <f>SUM(D12:D14)</f>
        <v>2009653</v>
      </c>
      <c r="E10" s="264">
        <f>SUM(E12:E14)</f>
        <v>856697</v>
      </c>
    </row>
    <row r="11" spans="1:5" s="238" customFormat="1" ht="20.100000000000001" customHeight="1" x14ac:dyDescent="0.25">
      <c r="A11" s="236"/>
      <c r="B11" s="237" t="s">
        <v>86</v>
      </c>
      <c r="C11" s="474"/>
      <c r="D11" s="474"/>
      <c r="E11" s="474"/>
    </row>
    <row r="12" spans="1:5" ht="20.100000000000001" customHeight="1" x14ac:dyDescent="0.25">
      <c r="A12" s="103" t="s">
        <v>307</v>
      </c>
      <c r="B12" s="104" t="s">
        <v>246</v>
      </c>
      <c r="C12" s="475">
        <f>SUM(D12:E12)</f>
        <v>1036350</v>
      </c>
      <c r="D12" s="475">
        <f>'Phụ lục số 2'!N15</f>
        <v>559653</v>
      </c>
      <c r="E12" s="475">
        <f>'Phụ lục số 2'!O15</f>
        <v>476697</v>
      </c>
    </row>
    <row r="13" spans="1:5" ht="20.100000000000001" customHeight="1" x14ac:dyDescent="0.25">
      <c r="A13" s="103" t="s">
        <v>308</v>
      </c>
      <c r="B13" s="104" t="s">
        <v>247</v>
      </c>
      <c r="C13" s="475">
        <f>SUM(D13:E13)</f>
        <v>450000</v>
      </c>
      <c r="D13" s="475">
        <f>'Phụ lục số 2'!N16</f>
        <v>70000</v>
      </c>
      <c r="E13" s="475">
        <f>'Phụ lục số 2'!O16</f>
        <v>380000</v>
      </c>
    </row>
    <row r="14" spans="1:5" ht="20.100000000000001" customHeight="1" x14ac:dyDescent="0.25">
      <c r="A14" s="103" t="s">
        <v>309</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t="s">
        <v>307</v>
      </c>
      <c r="B17" s="104" t="s">
        <v>248</v>
      </c>
      <c r="C17" s="475">
        <f t="shared" ref="C17:C26" si="0">SUM(D17:E17)</f>
        <v>3322431</v>
      </c>
      <c r="D17" s="475">
        <f>'Phụ lục số 2'!N24</f>
        <v>691691</v>
      </c>
      <c r="E17" s="475">
        <f>'Phụ lục số 2'!O24</f>
        <v>2630740</v>
      </c>
    </row>
    <row r="18" spans="1:5" ht="20.100000000000001" customHeight="1" x14ac:dyDescent="0.25">
      <c r="A18" s="103" t="s">
        <v>308</v>
      </c>
      <c r="B18" s="104" t="s">
        <v>249</v>
      </c>
      <c r="C18" s="475">
        <f t="shared" si="0"/>
        <v>28000</v>
      </c>
      <c r="D18" s="475">
        <f>'Phụ lục số 2'!N23</f>
        <v>28000</v>
      </c>
      <c r="E18" s="475">
        <f>'Phụ lục số 2'!O23</f>
        <v>0</v>
      </c>
    </row>
    <row r="19" spans="1:5" ht="20.100000000000001" customHeight="1" x14ac:dyDescent="0.25">
      <c r="A19" s="103" t="s">
        <v>309</v>
      </c>
      <c r="B19" s="104" t="s">
        <v>250</v>
      </c>
      <c r="C19" s="475">
        <f t="shared" si="0"/>
        <v>129921</v>
      </c>
      <c r="D19" s="475">
        <f>'Phụ lục số 2'!N21</f>
        <v>80000</v>
      </c>
      <c r="E19" s="475">
        <f>'Phụ lục số 2'!O21</f>
        <v>49921</v>
      </c>
    </row>
    <row r="20" spans="1:5" ht="20.100000000000001" customHeight="1" x14ac:dyDescent="0.25">
      <c r="A20" s="274" t="s">
        <v>310</v>
      </c>
      <c r="B20" s="278" t="s">
        <v>229</v>
      </c>
      <c r="C20" s="475">
        <f t="shared" si="0"/>
        <v>4132986</v>
      </c>
      <c r="D20" s="475">
        <f>D15-D17-D18-D19</f>
        <v>1876614</v>
      </c>
      <c r="E20" s="475">
        <f>E15-E17-E18-E19</f>
        <v>2256372</v>
      </c>
    </row>
    <row r="21" spans="1:5" s="98" customFormat="1" ht="20.100000000000001" customHeight="1" x14ac:dyDescent="0.25">
      <c r="A21" s="101" t="s">
        <v>322</v>
      </c>
      <c r="B21" s="149" t="s">
        <v>69</v>
      </c>
      <c r="C21" s="264">
        <f t="shared" si="0"/>
        <v>2000</v>
      </c>
      <c r="D21" s="264">
        <f>'Phụ lục số 2'!N33</f>
        <v>2000</v>
      </c>
      <c r="E21" s="264">
        <f>'Phụ lục số 2'!O33</f>
        <v>0</v>
      </c>
    </row>
    <row r="22" spans="1:5" s="98" customFormat="1" ht="20.100000000000001" customHeight="1" x14ac:dyDescent="0.25">
      <c r="A22" s="101" t="s">
        <v>323</v>
      </c>
      <c r="B22" s="102" t="s">
        <v>361</v>
      </c>
      <c r="C22" s="264">
        <f t="shared" si="0"/>
        <v>209077</v>
      </c>
      <c r="D22" s="264">
        <f>'Phụ lục số 2'!N34</f>
        <v>110426</v>
      </c>
      <c r="E22" s="264">
        <f>'Phụ lục số 2'!O34</f>
        <v>98651</v>
      </c>
    </row>
    <row r="23" spans="1:5" s="98" customFormat="1" ht="20.100000000000001" customHeight="1" x14ac:dyDescent="0.25">
      <c r="A23" s="101" t="s">
        <v>346</v>
      </c>
      <c r="B23" s="102" t="s">
        <v>404</v>
      </c>
      <c r="C23" s="264">
        <f t="shared" si="0"/>
        <v>204195</v>
      </c>
      <c r="D23" s="264">
        <f>'Phụ lục số 2'!N36</f>
        <v>0</v>
      </c>
      <c r="E23" s="264">
        <f>'Phụ lục số 2'!O36</f>
        <v>204195</v>
      </c>
    </row>
    <row r="24" spans="1:5" s="98" customFormat="1" ht="20.100000000000001" customHeight="1" x14ac:dyDescent="0.25">
      <c r="A24" s="101" t="s">
        <v>347</v>
      </c>
      <c r="B24" s="45" t="s">
        <v>669</v>
      </c>
      <c r="C24" s="264">
        <f t="shared" si="0"/>
        <v>300</v>
      </c>
      <c r="D24" s="264">
        <f>'Phụ lục số 2'!N38</f>
        <v>300</v>
      </c>
      <c r="E24" s="264">
        <f>'Phụ lục số 2'!O38</f>
        <v>0</v>
      </c>
    </row>
    <row r="25" spans="1:5" s="98" customFormat="1" ht="20.100000000000001" customHeight="1" x14ac:dyDescent="0.25">
      <c r="A25" s="113" t="s">
        <v>389</v>
      </c>
      <c r="B25" s="114" t="s">
        <v>165</v>
      </c>
      <c r="C25" s="264">
        <f t="shared" si="0"/>
        <v>1423990</v>
      </c>
      <c r="D25" s="264">
        <f>'Phụ lục số 2'!N39</f>
        <v>1423990</v>
      </c>
      <c r="E25" s="264">
        <f>'Phụ lục số 2'!O39</f>
        <v>0</v>
      </c>
    </row>
    <row r="26" spans="1:5" s="98" customFormat="1" ht="20.100000000000001" customHeight="1" x14ac:dyDescent="0.25">
      <c r="A26" s="179" t="s">
        <v>390</v>
      </c>
      <c r="B26" s="162" t="s">
        <v>1028</v>
      </c>
      <c r="C26" s="180">
        <f t="shared" si="0"/>
        <v>15000</v>
      </c>
      <c r="D26" s="180">
        <f>'Phụ lục số 2'!N44</f>
        <v>15000</v>
      </c>
      <c r="E26" s="180">
        <f>'Phụ lục số 2'!O44</f>
        <v>0</v>
      </c>
    </row>
    <row r="27" spans="1:5" x14ac:dyDescent="0.25">
      <c r="B27" s="153" t="s">
        <v>325</v>
      </c>
      <c r="C27" s="92"/>
      <c r="D27" s="92"/>
      <c r="E27" s="92"/>
    </row>
    <row r="28" spans="1:5" x14ac:dyDescent="0.25">
      <c r="B28" s="154" t="s">
        <v>167</v>
      </c>
      <c r="C28" s="92"/>
      <c r="D28" s="155">
        <f>'Phụ lục số 5'!E31</f>
        <v>4119360</v>
      </c>
      <c r="E28" s="91" t="s">
        <v>166</v>
      </c>
    </row>
    <row r="29" spans="1:5" x14ac:dyDescent="0.25">
      <c r="B29" s="154" t="s">
        <v>408</v>
      </c>
      <c r="C29" s="92"/>
      <c r="D29" s="154">
        <f>'Phụ lục số 5'!E32</f>
        <v>3464851</v>
      </c>
      <c r="E29" s="92" t="s">
        <v>166</v>
      </c>
    </row>
    <row r="30" spans="1:5" x14ac:dyDescent="0.25">
      <c r="B30" s="154" t="s">
        <v>504</v>
      </c>
      <c r="C30" s="92"/>
      <c r="D30" s="154">
        <f>'Phụ lục số 5'!E34</f>
        <v>317798</v>
      </c>
      <c r="E30" s="92" t="s">
        <v>166</v>
      </c>
    </row>
    <row r="31" spans="1:5" x14ac:dyDescent="0.25">
      <c r="B31" s="154" t="s">
        <v>619</v>
      </c>
      <c r="C31" s="92"/>
      <c r="D31" s="154">
        <f>'Phụ lục số 5'!C35</f>
        <v>195366</v>
      </c>
      <c r="E31" s="92" t="s">
        <v>166</v>
      </c>
    </row>
    <row r="32" spans="1:5" x14ac:dyDescent="0.25">
      <c r="B32" s="154" t="s">
        <v>621</v>
      </c>
      <c r="C32" s="92"/>
      <c r="D32" s="154">
        <f>'Phụ lục số 5'!C36</f>
        <v>5840</v>
      </c>
      <c r="E32" s="92" t="s">
        <v>166</v>
      </c>
    </row>
    <row r="33" spans="2:5" x14ac:dyDescent="0.25">
      <c r="B33" s="154" t="s">
        <v>620</v>
      </c>
      <c r="C33" s="92"/>
      <c r="D33" s="154">
        <f>'Phụ lục số 5'!C37</f>
        <v>91257</v>
      </c>
      <c r="E33" s="92" t="s">
        <v>166</v>
      </c>
    </row>
    <row r="34" spans="2:5" x14ac:dyDescent="0.25">
      <c r="B34" s="154" t="s">
        <v>1058</v>
      </c>
      <c r="C34" s="92"/>
      <c r="D34" s="154">
        <f>'Phụ lục số 5'!C38</f>
        <v>33750</v>
      </c>
      <c r="E34" s="92" t="s">
        <v>166</v>
      </c>
    </row>
    <row r="35" spans="2:5" x14ac:dyDescent="0.25">
      <c r="B35" s="154" t="s">
        <v>1059</v>
      </c>
      <c r="C35" s="92"/>
      <c r="D35" s="154">
        <f>'Phụ lục số 5'!C39</f>
        <v>10498</v>
      </c>
      <c r="E35" s="92" t="s">
        <v>166</v>
      </c>
    </row>
    <row r="36" spans="2:5" s="259" customFormat="1" hidden="1" x14ac:dyDescent="0.25">
      <c r="B36" s="280" t="s">
        <v>418</v>
      </c>
      <c r="C36" s="281"/>
      <c r="D36" s="280">
        <f>'Phụ lục số 5'!C40</f>
        <v>0</v>
      </c>
      <c r="E36" s="281" t="s">
        <v>166</v>
      </c>
    </row>
    <row r="37" spans="2:5" s="259" customFormat="1" x14ac:dyDescent="0.25">
      <c r="B37" s="154" t="s">
        <v>707</v>
      </c>
      <c r="C37" s="281"/>
      <c r="D37" s="280"/>
      <c r="E37" s="281"/>
    </row>
    <row r="38" spans="2:5" ht="15.75" customHeight="1" x14ac:dyDescent="0.25">
      <c r="B38" s="1088" t="s">
        <v>1060</v>
      </c>
      <c r="C38" s="1088"/>
      <c r="D38" s="1088"/>
      <c r="E38" s="1088"/>
    </row>
    <row r="39" spans="2:5" x14ac:dyDescent="0.25">
      <c r="B39" s="92"/>
      <c r="C39" s="92"/>
      <c r="D39" s="92"/>
      <c r="E39" s="92"/>
    </row>
    <row r="42" spans="2:5" x14ac:dyDescent="0.25">
      <c r="B42" s="152"/>
      <c r="C42" s="152"/>
      <c r="D42" s="152"/>
      <c r="E42" s="152"/>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49" customWidth="1"/>
    <col min="2" max="2" width="32.125" style="249" customWidth="1"/>
    <col min="3" max="3" width="11.625" style="249" hidden="1" customWidth="1"/>
    <col min="4" max="4" width="11.5" style="249" customWidth="1"/>
    <col min="5" max="5" width="12.625" style="249" customWidth="1"/>
    <col min="6" max="6" width="12.625" style="249" hidden="1" customWidth="1"/>
    <col min="7" max="7" width="8.625" style="249" hidden="1" customWidth="1"/>
    <col min="8" max="8" width="9.75" style="249" customWidth="1"/>
    <col min="9" max="9" width="8.25" style="249" customWidth="1"/>
    <col min="10" max="10" width="11.5" style="249" customWidth="1"/>
    <col min="11" max="11" width="11.875" style="249" customWidth="1"/>
    <col min="12" max="12" width="12.625" style="249" hidden="1" customWidth="1"/>
    <col min="13" max="13" width="8.375" style="249" customWidth="1"/>
    <col min="14" max="14" width="7" style="249" customWidth="1"/>
    <col min="15" max="16384" width="9" style="249"/>
  </cols>
  <sheetData>
    <row r="1" spans="1:14" s="1" customFormat="1" ht="37.5" customHeight="1" x14ac:dyDescent="0.25">
      <c r="A1" s="960" t="s">
        <v>776</v>
      </c>
      <c r="B1" s="960"/>
      <c r="C1" s="960"/>
      <c r="D1" s="960"/>
      <c r="E1" s="960"/>
      <c r="F1" s="960"/>
      <c r="G1" s="960"/>
      <c r="H1" s="960"/>
      <c r="I1" s="960"/>
      <c r="J1" s="960"/>
      <c r="K1" s="960"/>
      <c r="L1" s="960"/>
      <c r="M1" s="960"/>
      <c r="N1" s="960"/>
    </row>
    <row r="2" spans="1:14" x14ac:dyDescent="0.25">
      <c r="B2" s="287"/>
      <c r="C2" s="569"/>
      <c r="D2" s="569"/>
      <c r="M2" s="34" t="s">
        <v>348</v>
      </c>
    </row>
    <row r="3" spans="1:14" s="7" customFormat="1" ht="15.75" customHeight="1" x14ac:dyDescent="0.25">
      <c r="A3" s="967" t="s">
        <v>272</v>
      </c>
      <c r="B3" s="967" t="s">
        <v>273</v>
      </c>
      <c r="C3" s="969" t="s">
        <v>783</v>
      </c>
      <c r="D3" s="969" t="s">
        <v>777</v>
      </c>
      <c r="E3" s="967" t="s">
        <v>778</v>
      </c>
      <c r="F3" s="969" t="s">
        <v>799</v>
      </c>
      <c r="G3" s="969" t="s">
        <v>784</v>
      </c>
      <c r="H3" s="967" t="s">
        <v>779</v>
      </c>
      <c r="I3" s="969" t="s">
        <v>800</v>
      </c>
      <c r="J3" s="967" t="s">
        <v>801</v>
      </c>
      <c r="K3" s="967" t="s">
        <v>802</v>
      </c>
      <c r="L3" s="967" t="s">
        <v>803</v>
      </c>
      <c r="M3" s="967" t="s">
        <v>781</v>
      </c>
      <c r="N3" s="967"/>
    </row>
    <row r="4" spans="1:14" s="7" customFormat="1" ht="27.75" customHeight="1" x14ac:dyDescent="0.25">
      <c r="A4" s="968"/>
      <c r="B4" s="968"/>
      <c r="C4" s="970"/>
      <c r="D4" s="970"/>
      <c r="E4" s="967"/>
      <c r="F4" s="970"/>
      <c r="G4" s="970"/>
      <c r="H4" s="967"/>
      <c r="I4" s="970"/>
      <c r="J4" s="967"/>
      <c r="K4" s="967"/>
      <c r="L4" s="967"/>
      <c r="M4" s="967"/>
      <c r="N4" s="967"/>
    </row>
    <row r="5" spans="1:14" s="7" customFormat="1" x14ac:dyDescent="0.25">
      <c r="A5" s="968"/>
      <c r="B5" s="968"/>
      <c r="C5" s="971"/>
      <c r="D5" s="971"/>
      <c r="E5" s="967"/>
      <c r="F5" s="971"/>
      <c r="G5" s="971"/>
      <c r="H5" s="967"/>
      <c r="I5" s="971"/>
      <c r="J5" s="967"/>
      <c r="K5" s="967"/>
      <c r="L5" s="967"/>
      <c r="M5" s="582" t="s">
        <v>785</v>
      </c>
      <c r="N5" s="582" t="s">
        <v>786</v>
      </c>
    </row>
    <row r="6" spans="1:14" s="573" customFormat="1" x14ac:dyDescent="0.25">
      <c r="A6" s="583">
        <v>1</v>
      </c>
      <c r="B6" s="583">
        <v>2</v>
      </c>
      <c r="C6" s="583"/>
      <c r="D6" s="583">
        <v>3</v>
      </c>
      <c r="E6" s="583">
        <v>4</v>
      </c>
      <c r="F6" s="583">
        <v>5</v>
      </c>
      <c r="G6" s="583" t="s">
        <v>787</v>
      </c>
      <c r="H6" s="583">
        <v>7</v>
      </c>
      <c r="I6" s="583" t="s">
        <v>788</v>
      </c>
      <c r="J6" s="583">
        <v>9</v>
      </c>
      <c r="K6" s="583">
        <v>10</v>
      </c>
      <c r="L6" s="583" t="s">
        <v>789</v>
      </c>
      <c r="M6" s="584" t="s">
        <v>790</v>
      </c>
      <c r="N6" s="582" t="s">
        <v>791</v>
      </c>
    </row>
    <row r="7" spans="1:14" s="18" customFormat="1" x14ac:dyDescent="0.25">
      <c r="A7" s="20"/>
      <c r="B7" s="19" t="s">
        <v>792</v>
      </c>
      <c r="C7" s="19">
        <f>SUM(C8,C27)</f>
        <v>3410615</v>
      </c>
      <c r="D7" s="585">
        <f>SUM(D8,D27)</f>
        <v>6797897</v>
      </c>
      <c r="E7" s="585">
        <f>SUM(E8,E27)</f>
        <v>6691300</v>
      </c>
      <c r="F7" s="585">
        <f>SUM(F8,F27)</f>
        <v>5426715</v>
      </c>
      <c r="G7" s="586">
        <f t="shared" ref="G7:G13" si="0">F7/E7%</f>
        <v>81.101056595878234</v>
      </c>
      <c r="H7" s="585">
        <f>SUM(H8,H27)</f>
        <v>6535000</v>
      </c>
      <c r="I7" s="897">
        <f>H7/E7%</f>
        <v>97.664131035822635</v>
      </c>
      <c r="J7" s="585">
        <f>SUM(J8,J27)</f>
        <v>7085000</v>
      </c>
      <c r="K7" s="585">
        <f>SUM(K8,K27)</f>
        <v>7085000</v>
      </c>
      <c r="L7" s="585"/>
      <c r="M7" s="587">
        <f>K7/H7*100</f>
        <v>108.41622035195104</v>
      </c>
      <c r="N7" s="587">
        <f>IF(J7=0,0,J7/H7%)</f>
        <v>108.41622035195104</v>
      </c>
    </row>
    <row r="8" spans="1:14" s="18" customFormat="1" x14ac:dyDescent="0.25">
      <c r="A8" s="24" t="s">
        <v>281</v>
      </c>
      <c r="B8" s="62" t="s">
        <v>282</v>
      </c>
      <c r="C8" s="62">
        <f>SUM(C10,C11,C12,C13:C26)</f>
        <v>3359363</v>
      </c>
      <c r="D8" s="62">
        <f>SUM(D10,D11,D12,D13:D26)</f>
        <v>6690481</v>
      </c>
      <c r="E8" s="62">
        <f>SUM(E10,E11,E12,E13:E26)</f>
        <v>6625300</v>
      </c>
      <c r="F8" s="62">
        <f>SUM(F10,F11,F12,F13:F26)</f>
        <v>5366593</v>
      </c>
      <c r="G8" s="588">
        <f t="shared" si="0"/>
        <v>81.001509365613629</v>
      </c>
      <c r="H8" s="62">
        <f>SUM(H10,H11,H12,H13:H26)</f>
        <v>6469000</v>
      </c>
      <c r="I8" s="898">
        <f t="shared" ref="I8:I13" si="1">H8/E8%</f>
        <v>97.640861545892264</v>
      </c>
      <c r="J8" s="62">
        <f>SUM(J10,J11,J12,J13:J26)</f>
        <v>7007000</v>
      </c>
      <c r="K8" s="62">
        <f>SUM(K10,K11,K12,K13:K26)</f>
        <v>7007000</v>
      </c>
      <c r="L8" s="589"/>
      <c r="M8" s="588">
        <f t="shared" ref="M8:M13" si="2">K8/H8*100</f>
        <v>108.31658679857783</v>
      </c>
      <c r="N8" s="588">
        <f>IF(J8=0,0,J8/H8%)</f>
        <v>108.31658679857783</v>
      </c>
    </row>
    <row r="9" spans="1:14" s="18" customFormat="1" x14ac:dyDescent="0.25">
      <c r="A9" s="24"/>
      <c r="B9" s="62" t="s">
        <v>793</v>
      </c>
      <c r="C9" s="62">
        <f>C8-C19-C26-C24</f>
        <v>2411295</v>
      </c>
      <c r="D9" s="62">
        <f>D8-D19-D26</f>
        <v>4572925</v>
      </c>
      <c r="E9" s="62">
        <f>E8-E19-E26</f>
        <v>4905300</v>
      </c>
      <c r="F9" s="62">
        <f>F8-F19-F26</f>
        <v>3680861</v>
      </c>
      <c r="G9" s="588">
        <f t="shared" si="0"/>
        <v>75.038448209079974</v>
      </c>
      <c r="H9" s="62">
        <f>H8-H19-H26</f>
        <v>4529000</v>
      </c>
      <c r="I9" s="898">
        <f t="shared" si="1"/>
        <v>92.328705685686913</v>
      </c>
      <c r="J9" s="62">
        <f>J8-J19-J26</f>
        <v>5177000</v>
      </c>
      <c r="K9" s="62">
        <f>K8-K19-K26</f>
        <v>5177000</v>
      </c>
      <c r="L9" s="589">
        <f>J9-K9</f>
        <v>0</v>
      </c>
      <c r="M9" s="588">
        <f>K9/H9*100</f>
        <v>114.30779421505852</v>
      </c>
      <c r="N9" s="588">
        <f>IF(J9=0,0,J9/H9%)</f>
        <v>114.30779421505851</v>
      </c>
    </row>
    <row r="10" spans="1:14" s="294" customFormat="1" x14ac:dyDescent="0.25">
      <c r="A10" s="22">
        <v>1</v>
      </c>
      <c r="B10" s="322" t="s">
        <v>794</v>
      </c>
      <c r="C10" s="322">
        <f>105170+190889</f>
        <v>296059</v>
      </c>
      <c r="D10" s="592">
        <f>Sheet1!C9+Sheet1!C10</f>
        <v>590920</v>
      </c>
      <c r="E10" s="592">
        <f>Sheet1!D9+Sheet1!D10</f>
        <v>535000</v>
      </c>
      <c r="F10" s="592">
        <f>Sheet1!E9+Sheet1!E10</f>
        <v>474460</v>
      </c>
      <c r="G10" s="591">
        <f t="shared" si="0"/>
        <v>88.684112149532709</v>
      </c>
      <c r="H10" s="592">
        <f>Sheet1!F9+Sheet1!F10</f>
        <v>592000</v>
      </c>
      <c r="I10" s="899">
        <f t="shared" si="1"/>
        <v>110.65420560747664</v>
      </c>
      <c r="J10" s="592">
        <f>195000+440000</f>
        <v>635000</v>
      </c>
      <c r="K10" s="592">
        <f>Sheet1!H9+Sheet1!H10</f>
        <v>635000</v>
      </c>
      <c r="L10" s="592">
        <f>J10-K10</f>
        <v>0</v>
      </c>
      <c r="M10" s="591">
        <f t="shared" si="2"/>
        <v>107.26351351351352</v>
      </c>
      <c r="N10" s="591">
        <f t="shared" ref="N10:N27" si="3">IF(J10=0,0,J10/H10%)</f>
        <v>107.26351351351352</v>
      </c>
    </row>
    <row r="11" spans="1:14" s="294" customFormat="1" x14ac:dyDescent="0.25">
      <c r="A11" s="22">
        <v>2</v>
      </c>
      <c r="B11" s="322" t="s">
        <v>341</v>
      </c>
      <c r="C11" s="322">
        <v>26582</v>
      </c>
      <c r="D11" s="592">
        <f>Sheet1!C11</f>
        <v>49684</v>
      </c>
      <c r="E11" s="592">
        <f>Sheet1!D11</f>
        <v>31000</v>
      </c>
      <c r="F11" s="592">
        <f>Sheet1!E11</f>
        <v>28747</v>
      </c>
      <c r="G11" s="591">
        <f t="shared" si="0"/>
        <v>92.732258064516131</v>
      </c>
      <c r="H11" s="592">
        <f>Sheet1!F11</f>
        <v>31000</v>
      </c>
      <c r="I11" s="899">
        <f t="shared" si="1"/>
        <v>100</v>
      </c>
      <c r="J11" s="592">
        <v>33000</v>
      </c>
      <c r="K11" s="592">
        <f>Sheet1!H11</f>
        <v>33000</v>
      </c>
      <c r="L11" s="592">
        <f t="shared" ref="L11:L37" si="4">J11-K11</f>
        <v>0</v>
      </c>
      <c r="M11" s="591">
        <f t="shared" si="2"/>
        <v>106.45161290322579</v>
      </c>
      <c r="N11" s="591">
        <f t="shared" si="3"/>
        <v>106.45161290322581</v>
      </c>
    </row>
    <row r="12" spans="1:14" s="9" customFormat="1" x14ac:dyDescent="0.25">
      <c r="A12" s="22">
        <v>3</v>
      </c>
      <c r="B12" s="322" t="s">
        <v>795</v>
      </c>
      <c r="C12" s="322">
        <v>332230</v>
      </c>
      <c r="D12" s="592">
        <f>Sheet1!C12</f>
        <v>895448</v>
      </c>
      <c r="E12" s="592">
        <f>Sheet1!D12</f>
        <v>860000</v>
      </c>
      <c r="F12" s="592">
        <f>Sheet1!E12</f>
        <v>680733</v>
      </c>
      <c r="G12" s="591">
        <f t="shared" si="0"/>
        <v>79.155000000000001</v>
      </c>
      <c r="H12" s="592">
        <f>Sheet1!F12</f>
        <v>900000</v>
      </c>
      <c r="I12" s="899">
        <f t="shared" si="1"/>
        <v>104.65116279069767</v>
      </c>
      <c r="J12" s="592">
        <f>960000</f>
        <v>960000</v>
      </c>
      <c r="K12" s="592">
        <f>Sheet1!H12</f>
        <v>960000</v>
      </c>
      <c r="L12" s="592">
        <f t="shared" si="4"/>
        <v>0</v>
      </c>
      <c r="M12" s="591">
        <f t="shared" si="2"/>
        <v>106.66666666666667</v>
      </c>
      <c r="N12" s="591">
        <f t="shared" si="3"/>
        <v>106.66666666666667</v>
      </c>
    </row>
    <row r="13" spans="1:14" s="294" customFormat="1" x14ac:dyDescent="0.25">
      <c r="A13" s="22">
        <v>4</v>
      </c>
      <c r="B13" s="322" t="s">
        <v>289</v>
      </c>
      <c r="C13" s="322">
        <v>86824</v>
      </c>
      <c r="D13" s="592">
        <f>Sheet1!C13</f>
        <v>209580</v>
      </c>
      <c r="E13" s="592">
        <f>Sheet1!D13</f>
        <v>242800</v>
      </c>
      <c r="F13" s="592">
        <f>Sheet1!E13</f>
        <v>168818</v>
      </c>
      <c r="G13" s="591">
        <f t="shared" si="0"/>
        <v>69.529654036243826</v>
      </c>
      <c r="H13" s="592">
        <f>Sheet1!F13</f>
        <v>220000</v>
      </c>
      <c r="I13" s="899">
        <f t="shared" si="1"/>
        <v>90.609555189456344</v>
      </c>
      <c r="J13" s="592">
        <v>240000</v>
      </c>
      <c r="K13" s="592">
        <f>Sheet1!H13</f>
        <v>240000</v>
      </c>
      <c r="L13" s="592">
        <f t="shared" si="4"/>
        <v>0</v>
      </c>
      <c r="M13" s="591">
        <f t="shared" si="2"/>
        <v>109.09090909090908</v>
      </c>
      <c r="N13" s="591">
        <f t="shared" si="3"/>
        <v>109.09090909090909</v>
      </c>
    </row>
    <row r="14" spans="1:14" s="294" customFormat="1" x14ac:dyDescent="0.25">
      <c r="A14" s="22">
        <v>5</v>
      </c>
      <c r="B14" s="322" t="s">
        <v>342</v>
      </c>
      <c r="C14" s="322">
        <v>779</v>
      </c>
      <c r="D14" s="592">
        <f>Sheet1!C14</f>
        <v>694</v>
      </c>
      <c r="E14" s="592">
        <f>Sheet1!D14</f>
        <v>0</v>
      </c>
      <c r="F14" s="592">
        <f>Sheet1!E14</f>
        <v>477</v>
      </c>
      <c r="G14" s="591"/>
      <c r="H14" s="592">
        <f>Sheet1!F14</f>
        <v>500</v>
      </c>
      <c r="I14" s="899"/>
      <c r="J14" s="592">
        <v>0</v>
      </c>
      <c r="K14" s="592">
        <f>Sheet1!H14</f>
        <v>0</v>
      </c>
      <c r="L14" s="592">
        <f t="shared" si="4"/>
        <v>0</v>
      </c>
      <c r="M14" s="591"/>
      <c r="N14" s="591">
        <f t="shared" si="3"/>
        <v>0</v>
      </c>
    </row>
    <row r="15" spans="1:14" s="294" customFormat="1" x14ac:dyDescent="0.25">
      <c r="A15" s="22">
        <v>6</v>
      </c>
      <c r="B15" s="322" t="s">
        <v>796</v>
      </c>
      <c r="C15" s="322">
        <v>4389</v>
      </c>
      <c r="D15" s="592">
        <f>Sheet1!C15</f>
        <v>9773</v>
      </c>
      <c r="E15" s="592">
        <f>Sheet1!D15</f>
        <v>8500</v>
      </c>
      <c r="F15" s="592">
        <f>Sheet1!E15</f>
        <v>8612</v>
      </c>
      <c r="G15" s="591">
        <f t="shared" ref="G15:G20" si="5">F15/E15%</f>
        <v>101.31764705882352</v>
      </c>
      <c r="H15" s="592">
        <f>Sheet1!F15</f>
        <v>9000</v>
      </c>
      <c r="I15" s="899">
        <f t="shared" ref="I15:I20" si="6">H15/E15%</f>
        <v>105.88235294117646</v>
      </c>
      <c r="J15" s="592">
        <v>6000</v>
      </c>
      <c r="K15" s="592">
        <f>Sheet1!H15</f>
        <v>6000</v>
      </c>
      <c r="L15" s="592">
        <f t="shared" si="4"/>
        <v>0</v>
      </c>
      <c r="M15" s="591">
        <f t="shared" ref="M15:M20" si="7">K15/H15*100</f>
        <v>66.666666666666657</v>
      </c>
      <c r="N15" s="591">
        <f t="shared" si="3"/>
        <v>66.666666666666671</v>
      </c>
    </row>
    <row r="16" spans="1:14" s="294" customFormat="1" x14ac:dyDescent="0.25">
      <c r="A16" s="22">
        <v>7</v>
      </c>
      <c r="B16" s="322" t="s">
        <v>405</v>
      </c>
      <c r="C16" s="322">
        <v>174084</v>
      </c>
      <c r="D16" s="592">
        <f>Sheet1!C16</f>
        <v>382110</v>
      </c>
      <c r="E16" s="592">
        <f>Sheet1!D16</f>
        <v>445000</v>
      </c>
      <c r="F16" s="592">
        <f>Sheet1!E16</f>
        <v>365893</v>
      </c>
      <c r="G16" s="591">
        <f t="shared" si="5"/>
        <v>82.223146067415726</v>
      </c>
      <c r="H16" s="592">
        <f>Sheet1!F16</f>
        <v>470000</v>
      </c>
      <c r="I16" s="899">
        <f t="shared" si="6"/>
        <v>105.61797752808988</v>
      </c>
      <c r="J16" s="592">
        <v>521000</v>
      </c>
      <c r="K16" s="592">
        <f>Sheet1!H16</f>
        <v>521000</v>
      </c>
      <c r="L16" s="592">
        <f t="shared" si="4"/>
        <v>0</v>
      </c>
      <c r="M16" s="591">
        <f t="shared" si="7"/>
        <v>110.85106382978725</v>
      </c>
      <c r="N16" s="591">
        <f t="shared" si="3"/>
        <v>110.85106382978724</v>
      </c>
    </row>
    <row r="17" spans="1:14" s="294" customFormat="1" x14ac:dyDescent="0.25">
      <c r="A17" s="22">
        <v>8</v>
      </c>
      <c r="B17" s="322" t="s">
        <v>797</v>
      </c>
      <c r="C17" s="322">
        <v>1342367</v>
      </c>
      <c r="D17" s="592">
        <f>Sheet1!C17</f>
        <v>1947905</v>
      </c>
      <c r="E17" s="592">
        <f>Sheet1!D17</f>
        <v>2332000</v>
      </c>
      <c r="F17" s="592">
        <f>Sheet1!E17</f>
        <v>1296709</v>
      </c>
      <c r="G17" s="591">
        <f t="shared" si="5"/>
        <v>55.605017152658661</v>
      </c>
      <c r="H17" s="592">
        <f>Sheet1!F17</f>
        <v>1700000</v>
      </c>
      <c r="I17" s="899">
        <f t="shared" si="6"/>
        <v>72.898799313893647</v>
      </c>
      <c r="J17" s="592">
        <v>2280000</v>
      </c>
      <c r="K17" s="592">
        <f>Sheet1!H17</f>
        <v>2280000</v>
      </c>
      <c r="L17" s="592">
        <f t="shared" si="4"/>
        <v>0</v>
      </c>
      <c r="M17" s="591">
        <f t="shared" si="7"/>
        <v>134.11764705882351</v>
      </c>
      <c r="N17" s="591">
        <f t="shared" si="3"/>
        <v>134.11764705882354</v>
      </c>
    </row>
    <row r="18" spans="1:14" s="294" customFormat="1" x14ac:dyDescent="0.25">
      <c r="A18" s="22">
        <v>9</v>
      </c>
      <c r="B18" s="322" t="s">
        <v>290</v>
      </c>
      <c r="C18" s="322">
        <v>52614</v>
      </c>
      <c r="D18" s="592">
        <f>Sheet1!C18</f>
        <v>231914</v>
      </c>
      <c r="E18" s="592">
        <f>Sheet1!D18</f>
        <v>175000</v>
      </c>
      <c r="F18" s="592">
        <f>Sheet1!E18</f>
        <v>117839</v>
      </c>
      <c r="G18" s="591">
        <f t="shared" si="5"/>
        <v>67.336571428571432</v>
      </c>
      <c r="H18" s="592">
        <f>Sheet1!F18</f>
        <v>170000</v>
      </c>
      <c r="I18" s="899">
        <f t="shared" si="6"/>
        <v>97.142857142857139</v>
      </c>
      <c r="J18" s="592">
        <v>180000</v>
      </c>
      <c r="K18" s="592">
        <f>Sheet1!H18</f>
        <v>180000</v>
      </c>
      <c r="L18" s="592">
        <f t="shared" si="4"/>
        <v>0</v>
      </c>
      <c r="M18" s="591">
        <f t="shared" si="7"/>
        <v>105.88235294117648</v>
      </c>
      <c r="N18" s="591">
        <f t="shared" si="3"/>
        <v>105.88235294117646</v>
      </c>
    </row>
    <row r="19" spans="1:14" s="294" customFormat="1" x14ac:dyDescent="0.25">
      <c r="A19" s="22">
        <v>10</v>
      </c>
      <c r="B19" s="322" t="s">
        <v>291</v>
      </c>
      <c r="C19" s="322">
        <v>232655</v>
      </c>
      <c r="D19" s="592">
        <f>Sheet1!C19</f>
        <v>639660</v>
      </c>
      <c r="E19" s="592">
        <f>Sheet1!D19</f>
        <v>450000</v>
      </c>
      <c r="F19" s="592">
        <f>Sheet1!E19</f>
        <v>569664</v>
      </c>
      <c r="G19" s="591">
        <f t="shared" si="5"/>
        <v>126.592</v>
      </c>
      <c r="H19" s="592">
        <f>Sheet1!F19</f>
        <v>600000</v>
      </c>
      <c r="I19" s="899">
        <f t="shared" si="6"/>
        <v>133.33333333333334</v>
      </c>
      <c r="J19" s="592">
        <v>450000</v>
      </c>
      <c r="K19" s="592">
        <f>Sheet1!H19</f>
        <v>450000</v>
      </c>
      <c r="L19" s="592">
        <f t="shared" si="4"/>
        <v>0</v>
      </c>
      <c r="M19" s="591">
        <f t="shared" si="7"/>
        <v>75</v>
      </c>
      <c r="N19" s="591">
        <f>IF(J19=0,0,J19/H19%)</f>
        <v>75</v>
      </c>
    </row>
    <row r="20" spans="1:14" s="294" customFormat="1" x14ac:dyDescent="0.25">
      <c r="A20" s="22">
        <v>11</v>
      </c>
      <c r="B20" s="322" t="s">
        <v>407</v>
      </c>
      <c r="C20" s="322">
        <v>31737</v>
      </c>
      <c r="D20" s="592">
        <f>Sheet1!C20</f>
        <v>61238</v>
      </c>
      <c r="E20" s="592">
        <f>Sheet1!D20</f>
        <v>65000</v>
      </c>
      <c r="F20" s="592">
        <f>Sheet1!E20</f>
        <v>278650</v>
      </c>
      <c r="G20" s="591">
        <f t="shared" si="5"/>
        <v>428.69230769230768</v>
      </c>
      <c r="H20" s="592">
        <f>Sheet1!F20</f>
        <v>160000</v>
      </c>
      <c r="I20" s="899">
        <f t="shared" si="6"/>
        <v>246.15384615384616</v>
      </c>
      <c r="J20" s="592">
        <v>70000</v>
      </c>
      <c r="K20" s="592">
        <f>Sheet1!H20</f>
        <v>70000</v>
      </c>
      <c r="L20" s="592">
        <f t="shared" si="4"/>
        <v>0</v>
      </c>
      <c r="M20" s="591">
        <f t="shared" si="7"/>
        <v>43.75</v>
      </c>
      <c r="N20" s="591">
        <f>IF(J20=0,0,J20/H20%)</f>
        <v>43.75</v>
      </c>
    </row>
    <row r="21" spans="1:14" s="294" customFormat="1" x14ac:dyDescent="0.25">
      <c r="A21" s="22">
        <v>12</v>
      </c>
      <c r="B21" s="322" t="s">
        <v>395</v>
      </c>
      <c r="C21" s="322">
        <v>115</v>
      </c>
      <c r="D21" s="592">
        <f>Sheet1!C21</f>
        <v>2247</v>
      </c>
      <c r="E21" s="592">
        <f>Sheet1!D21</f>
        <v>0</v>
      </c>
      <c r="F21" s="592">
        <f>Sheet1!E21</f>
        <v>684</v>
      </c>
      <c r="G21" s="322"/>
      <c r="H21" s="592">
        <f>Sheet1!F21</f>
        <v>600</v>
      </c>
      <c r="I21" s="900"/>
      <c r="J21" s="592"/>
      <c r="K21" s="592">
        <f>Sheet1!H21</f>
        <v>0</v>
      </c>
      <c r="L21" s="592">
        <f t="shared" si="4"/>
        <v>0</v>
      </c>
      <c r="M21" s="591"/>
      <c r="N21" s="592">
        <f>IF(J21=0,0,J21/H21%)</f>
        <v>0</v>
      </c>
    </row>
    <row r="22" spans="1:14" s="294" customFormat="1" x14ac:dyDescent="0.25">
      <c r="A22" s="22">
        <v>13</v>
      </c>
      <c r="B22" s="322" t="s">
        <v>292</v>
      </c>
      <c r="C22" s="322">
        <v>55904</v>
      </c>
      <c r="D22" s="592">
        <f>Sheet1!C22</f>
        <v>171619</v>
      </c>
      <c r="E22" s="592">
        <f>Sheet1!D22</f>
        <v>180000</v>
      </c>
      <c r="F22" s="592">
        <f>Sheet1!E22</f>
        <v>171740</v>
      </c>
      <c r="G22" s="591">
        <f>F22/E22%</f>
        <v>95.411111111111111</v>
      </c>
      <c r="H22" s="592">
        <f>Sheet1!F22</f>
        <v>220000</v>
      </c>
      <c r="I22" s="899">
        <f>H22/E22%</f>
        <v>122.22222222222223</v>
      </c>
      <c r="J22" s="592">
        <v>236000</v>
      </c>
      <c r="K22" s="592">
        <f>Sheet1!H22</f>
        <v>236000</v>
      </c>
      <c r="L22" s="592">
        <f t="shared" si="4"/>
        <v>0</v>
      </c>
      <c r="M22" s="591">
        <f>K22/H22*100</f>
        <v>107.27272727272728</v>
      </c>
      <c r="N22" s="591">
        <f>IF(J22=0,0,J22/H22%)</f>
        <v>107.27272727272727</v>
      </c>
    </row>
    <row r="23" spans="1:14" s="294" customFormat="1" x14ac:dyDescent="0.25">
      <c r="A23" s="22">
        <v>14</v>
      </c>
      <c r="B23" s="27" t="s">
        <v>545</v>
      </c>
      <c r="C23" s="322">
        <v>0</v>
      </c>
      <c r="D23" s="592">
        <f>Sheet1!C23</f>
        <v>0</v>
      </c>
      <c r="E23" s="592">
        <f>Sheet1!D23</f>
        <v>4000</v>
      </c>
      <c r="F23" s="592">
        <f>Sheet1!E23</f>
        <v>43295</v>
      </c>
      <c r="G23" s="591"/>
      <c r="H23" s="592">
        <f>Sheet1!F23</f>
        <v>44700</v>
      </c>
      <c r="I23" s="899"/>
      <c r="J23" s="592">
        <v>4500</v>
      </c>
      <c r="K23" s="592">
        <f>Sheet1!H23</f>
        <v>4500</v>
      </c>
      <c r="L23" s="592">
        <f t="shared" si="4"/>
        <v>0</v>
      </c>
      <c r="M23" s="591"/>
      <c r="N23" s="591"/>
    </row>
    <row r="24" spans="1:14" s="294" customFormat="1" x14ac:dyDescent="0.25">
      <c r="A24" s="22">
        <v>15</v>
      </c>
      <c r="B24" s="27" t="s">
        <v>546</v>
      </c>
      <c r="C24" s="322">
        <v>0</v>
      </c>
      <c r="D24" s="592">
        <f>Sheet1!C24</f>
        <v>0</v>
      </c>
      <c r="E24" s="592">
        <f>Sheet1!D24</f>
        <v>8000</v>
      </c>
      <c r="F24" s="592">
        <f>Sheet1!E24</f>
        <v>42840</v>
      </c>
      <c r="G24" s="591"/>
      <c r="H24" s="592">
        <f>Sheet1!F24</f>
        <v>8000</v>
      </c>
      <c r="I24" s="899"/>
      <c r="J24" s="592">
        <v>8000</v>
      </c>
      <c r="K24" s="592">
        <f>Sheet1!H24</f>
        <v>8000</v>
      </c>
      <c r="L24" s="592">
        <f t="shared" si="4"/>
        <v>0</v>
      </c>
      <c r="M24" s="591"/>
      <c r="N24" s="591"/>
    </row>
    <row r="25" spans="1:14" s="294" customFormat="1" x14ac:dyDescent="0.25">
      <c r="A25" s="22">
        <v>16</v>
      </c>
      <c r="B25" s="322" t="s">
        <v>293</v>
      </c>
      <c r="C25" s="322">
        <v>7611</v>
      </c>
      <c r="D25" s="592">
        <f>Sheet1!C25</f>
        <v>19793</v>
      </c>
      <c r="E25" s="592">
        <f>Sheet1!D25</f>
        <v>19000</v>
      </c>
      <c r="F25" s="592">
        <f>Sheet1!E25</f>
        <v>1364</v>
      </c>
      <c r="G25" s="591">
        <f>F25/E25%</f>
        <v>7.1789473684210527</v>
      </c>
      <c r="H25" s="592">
        <f>Sheet1!F25</f>
        <v>3200</v>
      </c>
      <c r="I25" s="899">
        <f>H25/E25%</f>
        <v>16.842105263157894</v>
      </c>
      <c r="J25" s="592">
        <v>3500</v>
      </c>
      <c r="K25" s="592">
        <f>Sheet1!H25</f>
        <v>3500</v>
      </c>
      <c r="L25" s="592">
        <f t="shared" si="4"/>
        <v>0</v>
      </c>
      <c r="M25" s="591">
        <f>K25/H25*100</f>
        <v>109.375</v>
      </c>
      <c r="N25" s="591">
        <f>IF(J25=0,0,J25/H25%)</f>
        <v>109.375</v>
      </c>
    </row>
    <row r="26" spans="1:14" s="294" customFormat="1" x14ac:dyDescent="0.25">
      <c r="A26" s="22">
        <v>17</v>
      </c>
      <c r="B26" s="322" t="s">
        <v>67</v>
      </c>
      <c r="C26" s="322">
        <v>715413</v>
      </c>
      <c r="D26" s="592">
        <f>Sheet1!C26</f>
        <v>1477896</v>
      </c>
      <c r="E26" s="592">
        <f>Sheet1!D26</f>
        <v>1270000</v>
      </c>
      <c r="F26" s="592">
        <f>Sheet1!E26</f>
        <v>1116068</v>
      </c>
      <c r="G26" s="591"/>
      <c r="H26" s="592">
        <f>Sheet1!F26</f>
        <v>1340000</v>
      </c>
      <c r="I26" s="899"/>
      <c r="J26" s="592">
        <v>1380000</v>
      </c>
      <c r="K26" s="592">
        <f>Sheet1!H26</f>
        <v>1380000</v>
      </c>
      <c r="L26" s="592">
        <f t="shared" si="4"/>
        <v>0</v>
      </c>
      <c r="M26" s="591"/>
      <c r="N26" s="591"/>
    </row>
    <row r="27" spans="1:14" s="40" customFormat="1" x14ac:dyDescent="0.25">
      <c r="A27" s="307" t="s">
        <v>294</v>
      </c>
      <c r="B27" s="229" t="s">
        <v>773</v>
      </c>
      <c r="C27" s="229">
        <v>51252</v>
      </c>
      <c r="D27" s="589">
        <f>Sheet1!C27</f>
        <v>107416</v>
      </c>
      <c r="E27" s="589">
        <f>Sheet1!D27</f>
        <v>66000</v>
      </c>
      <c r="F27" s="589">
        <f>Sheet1!E27</f>
        <v>60122</v>
      </c>
      <c r="G27" s="597">
        <f>F27/E27%</f>
        <v>91.093939393939394</v>
      </c>
      <c r="H27" s="589">
        <f>Sheet1!F27</f>
        <v>66000</v>
      </c>
      <c r="I27" s="901">
        <f>H27/E27%</f>
        <v>100</v>
      </c>
      <c r="J27" s="596">
        <v>78000</v>
      </c>
      <c r="K27" s="589">
        <f>Sheet1!H27</f>
        <v>78000</v>
      </c>
      <c r="L27" s="589">
        <f t="shared" si="4"/>
        <v>0</v>
      </c>
      <c r="M27" s="597">
        <f>K27/H27*100</f>
        <v>118.18181818181819</v>
      </c>
      <c r="N27" s="597">
        <f t="shared" si="3"/>
        <v>118.18181818181819</v>
      </c>
    </row>
    <row r="28" spans="1:14" s="18" customFormat="1" hidden="1" x14ac:dyDescent="0.25">
      <c r="A28" s="305" t="s">
        <v>295</v>
      </c>
      <c r="B28" s="306" t="s">
        <v>296</v>
      </c>
      <c r="C28" s="306"/>
      <c r="D28" s="306"/>
      <c r="E28" s="306">
        <f>SUM(E29,E30)</f>
        <v>5434985</v>
      </c>
      <c r="F28" s="306">
        <f>SUM(F29,F30)</f>
        <v>2674772</v>
      </c>
      <c r="G28" s="597">
        <f>F28/E28%</f>
        <v>49.213972071680054</v>
      </c>
      <c r="H28" s="306">
        <f>SUM(H29,H30)</f>
        <v>5434985</v>
      </c>
      <c r="I28" s="597">
        <f>H28/E28%</f>
        <v>100</v>
      </c>
      <c r="J28" s="598"/>
      <c r="K28" s="306">
        <f>SUM(K29,K30)</f>
        <v>6694954</v>
      </c>
      <c r="L28" s="306">
        <f t="shared" si="4"/>
        <v>-6694954</v>
      </c>
      <c r="M28" s="598"/>
      <c r="N28" s="598"/>
    </row>
    <row r="29" spans="1:14" s="9" customFormat="1" hidden="1" x14ac:dyDescent="0.25">
      <c r="A29" s="22" t="s">
        <v>281</v>
      </c>
      <c r="B29" s="322" t="s">
        <v>297</v>
      </c>
      <c r="C29" s="322"/>
      <c r="D29" s="322"/>
      <c r="E29" s="62">
        <v>4693126</v>
      </c>
      <c r="F29" s="62">
        <f>'[3]Phụ lục số x'!E29</f>
        <v>2503126</v>
      </c>
      <c r="G29" s="62"/>
      <c r="H29" s="62">
        <f>E29</f>
        <v>4693126</v>
      </c>
      <c r="I29" s="574">
        <f>H29/E29%</f>
        <v>100</v>
      </c>
      <c r="J29" s="574"/>
      <c r="K29" s="62">
        <f>'[4]Phụ lục số 1'!$N$60</f>
        <v>4693126</v>
      </c>
      <c r="L29" s="62">
        <f t="shared" si="4"/>
        <v>-4693126</v>
      </c>
      <c r="M29" s="574">
        <f>K29/H29*100</f>
        <v>100</v>
      </c>
      <c r="N29" s="574"/>
    </row>
    <row r="30" spans="1:14" s="9" customFormat="1" hidden="1" x14ac:dyDescent="0.25">
      <c r="A30" s="22" t="s">
        <v>294</v>
      </c>
      <c r="B30" s="322" t="s">
        <v>298</v>
      </c>
      <c r="C30" s="322"/>
      <c r="D30" s="322"/>
      <c r="E30" s="62">
        <f>SUM(E31:E35)</f>
        <v>741859</v>
      </c>
      <c r="F30" s="62">
        <f>SUM(F31:F35)</f>
        <v>171646</v>
      </c>
      <c r="G30" s="62"/>
      <c r="H30" s="62">
        <f>SUM(H31:H35)</f>
        <v>741859</v>
      </c>
      <c r="I30" s="574"/>
      <c r="J30" s="574"/>
      <c r="K30" s="62">
        <f>SUM(K31:K35)</f>
        <v>2001828</v>
      </c>
      <c r="L30" s="62">
        <f t="shared" si="4"/>
        <v>-2001828</v>
      </c>
      <c r="M30" s="574"/>
      <c r="N30" s="574"/>
    </row>
    <row r="31" spans="1:14" s="9" customFormat="1" hidden="1" x14ac:dyDescent="0.25">
      <c r="A31" s="301">
        <v>1</v>
      </c>
      <c r="B31" s="272" t="s">
        <v>480</v>
      </c>
      <c r="C31" s="272"/>
      <c r="D31" s="272"/>
      <c r="E31" s="577">
        <v>158319</v>
      </c>
      <c r="F31" s="247">
        <f>'[3]Phụ lục số x'!E31</f>
        <v>80319</v>
      </c>
      <c r="G31" s="247"/>
      <c r="H31" s="247">
        <f>E31</f>
        <v>158319</v>
      </c>
      <c r="I31" s="576">
        <f>H31/E31%</f>
        <v>100</v>
      </c>
      <c r="J31" s="576"/>
      <c r="K31" s="247">
        <f>'[4]Phụ lục số 1'!N62</f>
        <v>158489</v>
      </c>
      <c r="L31" s="247">
        <f t="shared" si="4"/>
        <v>-158489</v>
      </c>
      <c r="M31" s="576">
        <f>K31/H31*100</f>
        <v>100.10737814160018</v>
      </c>
      <c r="N31" s="576"/>
    </row>
    <row r="32" spans="1:14" s="26" customFormat="1" hidden="1" x14ac:dyDescent="0.25">
      <c r="A32" s="302">
        <v>2</v>
      </c>
      <c r="B32" s="247" t="s">
        <v>382</v>
      </c>
      <c r="C32" s="247"/>
      <c r="D32" s="247"/>
      <c r="E32" s="577">
        <v>579113</v>
      </c>
      <c r="F32" s="247">
        <f>'[3]Phụ lục số x'!E32</f>
        <v>86900</v>
      </c>
      <c r="G32" s="247"/>
      <c r="H32" s="247">
        <f>E32</f>
        <v>579113</v>
      </c>
      <c r="I32" s="576">
        <f>H32/E32%</f>
        <v>100</v>
      </c>
      <c r="J32" s="576"/>
      <c r="K32" s="247">
        <f>'[4]Phụ lục số 1'!N63</f>
        <v>1503647</v>
      </c>
      <c r="L32" s="247">
        <f t="shared" si="4"/>
        <v>-1503647</v>
      </c>
      <c r="M32" s="576">
        <f>K32/H32*100</f>
        <v>259.64656293331353</v>
      </c>
      <c r="N32" s="576"/>
    </row>
    <row r="33" spans="1:14" s="26" customFormat="1" hidden="1" x14ac:dyDescent="0.25">
      <c r="A33" s="302">
        <v>3</v>
      </c>
      <c r="B33" s="247" t="s">
        <v>378</v>
      </c>
      <c r="C33" s="247"/>
      <c r="D33" s="247"/>
      <c r="E33" s="577">
        <v>4427</v>
      </c>
      <c r="F33" s="247">
        <f>'[3]Phụ lục số x'!E33</f>
        <v>4427</v>
      </c>
      <c r="G33" s="247"/>
      <c r="H33" s="247">
        <f>E33</f>
        <v>4427</v>
      </c>
      <c r="I33" s="576">
        <f>H33/E33%</f>
        <v>100</v>
      </c>
      <c r="J33" s="576"/>
      <c r="K33" s="247">
        <f>'[4]Phụ lục số 1'!N64</f>
        <v>245237</v>
      </c>
      <c r="L33" s="247">
        <f t="shared" si="4"/>
        <v>-245237</v>
      </c>
      <c r="M33" s="576">
        <f>K33/H33*100</f>
        <v>5539.5753331827418</v>
      </c>
      <c r="N33" s="576"/>
    </row>
    <row r="34" spans="1:14" s="26" customFormat="1" hidden="1" x14ac:dyDescent="0.25">
      <c r="A34" s="302">
        <v>4</v>
      </c>
      <c r="B34" s="247" t="s">
        <v>798</v>
      </c>
      <c r="C34" s="247"/>
      <c r="D34" s="247"/>
      <c r="E34" s="272"/>
      <c r="F34" s="247"/>
      <c r="G34" s="247"/>
      <c r="H34" s="247">
        <f>E34</f>
        <v>0</v>
      </c>
      <c r="I34" s="576"/>
      <c r="J34" s="576"/>
      <c r="K34" s="247">
        <f>'[4]Phụ lục số 1'!N65</f>
        <v>94455</v>
      </c>
      <c r="L34" s="247">
        <f t="shared" si="4"/>
        <v>-94455</v>
      </c>
      <c r="M34" s="576"/>
      <c r="N34" s="576"/>
    </row>
    <row r="35" spans="1:14" s="26" customFormat="1" hidden="1" x14ac:dyDescent="0.25">
      <c r="A35" s="302">
        <v>5</v>
      </c>
      <c r="B35" s="247" t="s">
        <v>774</v>
      </c>
      <c r="C35" s="247"/>
      <c r="D35" s="247"/>
      <c r="E35" s="577">
        <v>0</v>
      </c>
      <c r="F35" s="247"/>
      <c r="G35" s="247"/>
      <c r="H35" s="247">
        <f>'[3]Phụ lục số x'!F35</f>
        <v>0</v>
      </c>
      <c r="I35" s="576"/>
      <c r="J35" s="576"/>
      <c r="K35" s="247"/>
      <c r="L35" s="247">
        <f t="shared" si="4"/>
        <v>0</v>
      </c>
      <c r="M35" s="576"/>
      <c r="N35" s="576"/>
    </row>
    <row r="36" spans="1:14" s="18" customFormat="1" hidden="1" x14ac:dyDescent="0.25">
      <c r="A36" s="64" t="s">
        <v>299</v>
      </c>
      <c r="B36" s="62" t="s">
        <v>775</v>
      </c>
      <c r="C36" s="62"/>
      <c r="D36" s="62"/>
      <c r="E36" s="62"/>
      <c r="F36" s="62"/>
      <c r="G36" s="62"/>
      <c r="H36" s="62">
        <f>'[4]Phụ lục số 1'!$H$66</f>
        <v>173598</v>
      </c>
      <c r="I36" s="574"/>
      <c r="J36" s="574"/>
      <c r="K36" s="62">
        <f>'[5]Phụ lục số 1'!$N$64</f>
        <v>0</v>
      </c>
      <c r="L36" s="62">
        <f t="shared" si="4"/>
        <v>0</v>
      </c>
      <c r="M36" s="574"/>
      <c r="N36" s="574"/>
    </row>
    <row r="37" spans="1:14" s="18" customFormat="1" hidden="1" x14ac:dyDescent="0.25">
      <c r="A37" s="578"/>
      <c r="B37" s="579" t="s">
        <v>528</v>
      </c>
      <c r="C37" s="579"/>
      <c r="D37" s="579"/>
      <c r="E37" s="580">
        <f>SUM(E7,E28,E36)</f>
        <v>12126285</v>
      </c>
      <c r="F37" s="580"/>
      <c r="G37" s="580"/>
      <c r="H37" s="580">
        <f>SUM(H7,H28,H36)</f>
        <v>12143583</v>
      </c>
      <c r="I37" s="580"/>
      <c r="J37" s="580"/>
      <c r="K37" s="580">
        <f>SUM(K7,K28,K36)</f>
        <v>13779954</v>
      </c>
      <c r="L37" s="580">
        <f t="shared" si="4"/>
        <v>-13779954</v>
      </c>
      <c r="M37" s="581"/>
      <c r="N37" s="581"/>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ht="56.25" customHeight="1" x14ac:dyDescent="0.25">
      <c r="A4" s="1089" t="s">
        <v>752</v>
      </c>
      <c r="B4" s="977"/>
      <c r="C4" s="977"/>
    </row>
    <row r="5" spans="1:3" x14ac:dyDescent="0.25">
      <c r="A5" s="86"/>
      <c r="B5" s="86"/>
      <c r="C5" s="86"/>
    </row>
    <row r="6" spans="1:3" x14ac:dyDescent="0.25">
      <c r="A6" s="86"/>
      <c r="C6" s="67" t="s">
        <v>393</v>
      </c>
    </row>
    <row r="7" spans="1:3" s="87" customFormat="1" ht="45.75" customHeight="1" x14ac:dyDescent="0.25">
      <c r="A7" s="273" t="s">
        <v>43</v>
      </c>
      <c r="B7" s="273" t="s">
        <v>394</v>
      </c>
      <c r="C7" s="273" t="s">
        <v>746</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14" customFormat="1" ht="20.100000000000001" customHeight="1" x14ac:dyDescent="0.25">
      <c r="A10" s="274" t="s">
        <v>449</v>
      </c>
      <c r="B10" s="278" t="s">
        <v>164</v>
      </c>
      <c r="C10" s="455"/>
    </row>
    <row r="11" spans="1:3" s="98" customFormat="1" ht="20.100000000000001" customHeight="1" x14ac:dyDescent="0.25">
      <c r="A11" s="105" t="s">
        <v>449</v>
      </c>
      <c r="B11" s="106" t="s">
        <v>213</v>
      </c>
      <c r="C11" s="456">
        <f>'Phụ lục số 1'!N48</f>
        <v>450000</v>
      </c>
    </row>
    <row r="12" spans="1:3" s="14" customFormat="1" ht="20.100000000000001" customHeight="1" x14ac:dyDescent="0.25">
      <c r="A12" s="105" t="s">
        <v>449</v>
      </c>
      <c r="B12" s="106" t="s">
        <v>67</v>
      </c>
      <c r="C12" s="456">
        <f>'Phụ lục số 1'!N55</f>
        <v>1380000</v>
      </c>
    </row>
    <row r="13" spans="1:3" s="43" customFormat="1" ht="20.100000000000001" customHeight="1" x14ac:dyDescent="0.25">
      <c r="A13" s="99" t="s">
        <v>294</v>
      </c>
      <c r="B13" s="100" t="s">
        <v>60</v>
      </c>
      <c r="C13" s="454">
        <f>'Phụ lục số 1'!N56</f>
        <v>78000</v>
      </c>
    </row>
    <row r="14" spans="1:3" s="107" customFormat="1" ht="20.100000000000001" customHeight="1" x14ac:dyDescent="0.25">
      <c r="A14" s="101" t="s">
        <v>295</v>
      </c>
      <c r="B14" s="102" t="s">
        <v>1033</v>
      </c>
      <c r="C14" s="457">
        <f>SUM(C15,C18,C22,C23)</f>
        <v>12334250</v>
      </c>
    </row>
    <row r="15" spans="1:3" s="107" customFormat="1" ht="20.100000000000001" customHeight="1" x14ac:dyDescent="0.25">
      <c r="A15" s="99" t="s">
        <v>281</v>
      </c>
      <c r="B15" s="100" t="s">
        <v>61</v>
      </c>
      <c r="C15" s="454">
        <f>'Phụ lục số 1'!Q12</f>
        <v>5466580</v>
      </c>
    </row>
    <row r="16" spans="1:3" s="43" customFormat="1" ht="20.100000000000001" customHeight="1" x14ac:dyDescent="0.25">
      <c r="A16" s="105" t="s">
        <v>307</v>
      </c>
      <c r="B16" s="106" t="s">
        <v>62</v>
      </c>
      <c r="C16" s="456">
        <f>C15-C17</f>
        <v>2563830</v>
      </c>
    </row>
    <row r="17" spans="1:4"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07" customFormat="1" ht="20.100000000000001" customHeight="1" x14ac:dyDescent="0.25">
      <c r="A18" s="99" t="s">
        <v>294</v>
      </c>
      <c r="B18" s="100" t="s">
        <v>64</v>
      </c>
      <c r="C18" s="454">
        <f>SUM(C19:C20)</f>
        <v>6498723</v>
      </c>
    </row>
    <row r="19" spans="1:4" s="107" customFormat="1" ht="20.100000000000001" customHeight="1" x14ac:dyDescent="0.25">
      <c r="A19" s="105" t="s">
        <v>307</v>
      </c>
      <c r="B19" s="106" t="s">
        <v>411</v>
      </c>
      <c r="C19" s="456">
        <f>'Phụ lục số 1'!Q60</f>
        <v>4693126</v>
      </c>
    </row>
    <row r="20" spans="1:4" s="107" customFormat="1" ht="20.100000000000001" customHeight="1" x14ac:dyDescent="0.25">
      <c r="A20" s="105" t="s">
        <v>308</v>
      </c>
      <c r="B20" s="106" t="s">
        <v>412</v>
      </c>
      <c r="C20" s="456">
        <f>'Phụ lục số 1'!Q61</f>
        <v>1805597</v>
      </c>
    </row>
    <row r="21" spans="1:4" s="14" customFormat="1" ht="20.100000000000001" customHeight="1" x14ac:dyDescent="0.25">
      <c r="A21" s="276" t="s">
        <v>65</v>
      </c>
      <c r="B21" s="277" t="s">
        <v>499</v>
      </c>
      <c r="C21" s="476">
        <f>'Phụ lục số 1'!N65+('Phụ lục số 1'!N64-'Phụ lục số 2'!K42)</f>
        <v>381607</v>
      </c>
      <c r="D21" s="869"/>
    </row>
    <row r="22" spans="1:4" s="14" customFormat="1" ht="20.100000000000001" customHeight="1" x14ac:dyDescent="0.25">
      <c r="A22" s="99" t="s">
        <v>322</v>
      </c>
      <c r="B22" s="100" t="s">
        <v>66</v>
      </c>
      <c r="C22" s="454">
        <f>'Phụ lục số 1'!Q66</f>
        <v>353947</v>
      </c>
    </row>
    <row r="23" spans="1:4" s="98" customFormat="1" ht="20.100000000000001" customHeight="1" x14ac:dyDescent="0.25">
      <c r="A23" s="99" t="s">
        <v>323</v>
      </c>
      <c r="B23" s="100" t="s">
        <v>1032</v>
      </c>
      <c r="C23" s="454">
        <f>'Phụ lục số 1'!Q67</f>
        <v>15000</v>
      </c>
    </row>
    <row r="24" spans="1:4" s="14" customFormat="1" ht="20.100000000000001" customHeight="1" x14ac:dyDescent="0.25">
      <c r="A24" s="101" t="s">
        <v>299</v>
      </c>
      <c r="B24" s="102" t="s">
        <v>1034</v>
      </c>
      <c r="C24" s="457">
        <f>SUM(C25,C38,C43)</f>
        <v>12334250</v>
      </c>
    </row>
    <row r="25" spans="1:4" ht="20.100000000000001" customHeight="1" x14ac:dyDescent="0.25">
      <c r="A25" s="99" t="s">
        <v>281</v>
      </c>
      <c r="B25" s="100" t="s">
        <v>383</v>
      </c>
      <c r="C25" s="454">
        <f>SUM(C26,C30,C34,C35,C36,C37)</f>
        <v>10895260</v>
      </c>
    </row>
    <row r="26" spans="1:4" ht="20.100000000000001" customHeight="1" x14ac:dyDescent="0.25">
      <c r="A26" s="99">
        <v>1</v>
      </c>
      <c r="B26" s="100" t="s">
        <v>68</v>
      </c>
      <c r="C26" s="454">
        <f>'Phụ lục số 2'!K14</f>
        <v>2866350</v>
      </c>
    </row>
    <row r="27" spans="1:4" ht="20.100000000000001" customHeight="1" x14ac:dyDescent="0.25">
      <c r="A27" s="236" t="s">
        <v>449</v>
      </c>
      <c r="B27" s="237" t="s">
        <v>164</v>
      </c>
      <c r="C27" s="459"/>
    </row>
    <row r="28" spans="1:4" s="238" customFormat="1" ht="20.100000000000001" customHeight="1" x14ac:dyDescent="0.25">
      <c r="A28" s="233" t="s">
        <v>449</v>
      </c>
      <c r="B28" s="234" t="s">
        <v>247</v>
      </c>
      <c r="C28" s="458">
        <f>C11</f>
        <v>450000</v>
      </c>
    </row>
    <row r="29" spans="1:4" s="238" customFormat="1" ht="20.100000000000001" customHeight="1" x14ac:dyDescent="0.25">
      <c r="A29" s="233" t="s">
        <v>449</v>
      </c>
      <c r="B29" s="234" t="s">
        <v>387</v>
      </c>
      <c r="C29" s="458">
        <f>C12</f>
        <v>1380000</v>
      </c>
    </row>
    <row r="30" spans="1:4" ht="20.100000000000001" customHeight="1" x14ac:dyDescent="0.25">
      <c r="A30" s="99">
        <v>2</v>
      </c>
      <c r="B30" s="100" t="s">
        <v>333</v>
      </c>
      <c r="C30" s="454">
        <f>'Phụ lục số 2'!K19</f>
        <v>7613338</v>
      </c>
    </row>
    <row r="31" spans="1:4" ht="20.100000000000001" customHeight="1" x14ac:dyDescent="0.25">
      <c r="A31" s="236" t="s">
        <v>449</v>
      </c>
      <c r="B31" s="237" t="s">
        <v>164</v>
      </c>
      <c r="C31" s="459"/>
    </row>
    <row r="32" spans="1:4" ht="20.100000000000001" customHeight="1" x14ac:dyDescent="0.25">
      <c r="A32" s="233" t="s">
        <v>449</v>
      </c>
      <c r="B32" s="234" t="s">
        <v>251</v>
      </c>
      <c r="C32" s="458">
        <f>'Phụ lục số 2'!K24</f>
        <v>3322431</v>
      </c>
    </row>
    <row r="33" spans="1:3" ht="20.100000000000001" customHeight="1" x14ac:dyDescent="0.25">
      <c r="A33" s="233" t="s">
        <v>449</v>
      </c>
      <c r="B33" s="234" t="s">
        <v>252</v>
      </c>
      <c r="C33" s="458">
        <f>'Phụ lục số 2'!K23</f>
        <v>28000</v>
      </c>
    </row>
    <row r="34" spans="1:3" ht="20.100000000000001" customHeight="1" x14ac:dyDescent="0.25">
      <c r="A34" s="99">
        <v>3</v>
      </c>
      <c r="B34" s="100" t="s">
        <v>152</v>
      </c>
      <c r="C34" s="454">
        <f>'Phụ lục số 2'!K33</f>
        <v>2000</v>
      </c>
    </row>
    <row r="35" spans="1:3" s="43" customFormat="1" ht="20.100000000000001" customHeight="1" x14ac:dyDescent="0.25">
      <c r="A35" s="99">
        <v>4</v>
      </c>
      <c r="B35" s="100" t="s">
        <v>361</v>
      </c>
      <c r="C35" s="454">
        <f>'Phụ lục số 2'!K34</f>
        <v>209077</v>
      </c>
    </row>
    <row r="36" spans="1:3" s="14" customFormat="1" ht="20.100000000000001" customHeight="1" x14ac:dyDescent="0.25">
      <c r="A36" s="99">
        <v>5</v>
      </c>
      <c r="B36" s="100" t="s">
        <v>404</v>
      </c>
      <c r="C36" s="454">
        <f>'Phụ lục số 2'!K36</f>
        <v>204195</v>
      </c>
    </row>
    <row r="37" spans="1:3" s="14" customFormat="1" ht="20.100000000000001" customHeight="1" x14ac:dyDescent="0.25">
      <c r="A37" s="99">
        <v>6</v>
      </c>
      <c r="B37" s="27" t="s">
        <v>669</v>
      </c>
      <c r="C37" s="454">
        <f>'Phụ lục số 2'!K38</f>
        <v>300</v>
      </c>
    </row>
    <row r="38" spans="1:3" s="14" customFormat="1" ht="20.100000000000001" customHeight="1" x14ac:dyDescent="0.25">
      <c r="A38" s="99" t="s">
        <v>294</v>
      </c>
      <c r="B38" s="110" t="s">
        <v>70</v>
      </c>
      <c r="C38" s="454">
        <f>SUM(C39:C42)</f>
        <v>1423990</v>
      </c>
    </row>
    <row r="39" spans="1:3" s="14" customFormat="1" ht="20.100000000000001" customHeight="1" x14ac:dyDescent="0.25">
      <c r="A39" s="236">
        <v>1</v>
      </c>
      <c r="B39" s="25" t="s">
        <v>486</v>
      </c>
      <c r="C39" s="459">
        <f>'Phụ lục số 2'!K40</f>
        <v>237567</v>
      </c>
    </row>
    <row r="40" spans="1:3" s="14" customFormat="1" ht="20.100000000000001" customHeight="1" x14ac:dyDescent="0.25">
      <c r="A40" s="236">
        <v>2</v>
      </c>
      <c r="B40" s="25" t="s">
        <v>385</v>
      </c>
      <c r="C40" s="459">
        <f>'Phụ lục số 2'!K41</f>
        <v>849684</v>
      </c>
    </row>
    <row r="41" spans="1:3" s="14" customFormat="1" ht="20.100000000000001" customHeight="1" x14ac:dyDescent="0.25">
      <c r="A41" s="236">
        <v>3</v>
      </c>
      <c r="B41" s="25" t="s">
        <v>386</v>
      </c>
      <c r="C41" s="459">
        <f>'Phụ lục số 2'!K42</f>
        <v>336739</v>
      </c>
    </row>
    <row r="42" spans="1:3" s="248" customFormat="1" x14ac:dyDescent="0.25">
      <c r="A42" s="236">
        <v>4</v>
      </c>
      <c r="B42" s="25" t="s">
        <v>670</v>
      </c>
      <c r="C42" s="459">
        <f>'Phụ lục số 2'!K43</f>
        <v>0</v>
      </c>
    </row>
    <row r="43" spans="1:3" s="14" customFormat="1" x14ac:dyDescent="0.25">
      <c r="A43" s="871" t="s">
        <v>322</v>
      </c>
      <c r="B43" s="870" t="s">
        <v>1028</v>
      </c>
      <c r="C43" s="872">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ht="47.25" x14ac:dyDescent="0.25">
      <c r="A4" s="205" t="s">
        <v>753</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4" t="s">
        <v>43</v>
      </c>
      <c r="B7" s="1084" t="s">
        <v>327</v>
      </c>
      <c r="C7" s="1085" t="s">
        <v>748</v>
      </c>
    </row>
    <row r="8" spans="1:3" s="133" customFormat="1" ht="42" customHeight="1" x14ac:dyDescent="0.25">
      <c r="A8" s="1084"/>
      <c r="B8" s="1084"/>
      <c r="C8" s="1086"/>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3" customFormat="1" x14ac:dyDescent="0.25">
      <c r="A24" s="139">
        <v>14</v>
      </c>
      <c r="B24" s="247" t="s">
        <v>67</v>
      </c>
      <c r="C24" s="467">
        <f>'Phụ lục số 1'!N55</f>
        <v>1380000</v>
      </c>
    </row>
    <row r="25" spans="1:3" s="143" customFormat="1" x14ac:dyDescent="0.25">
      <c r="A25" s="416">
        <v>15</v>
      </c>
      <c r="B25" s="247" t="s">
        <v>545</v>
      </c>
      <c r="C25" s="469">
        <f>'Phụ lục số 1'!N52</f>
        <v>4500</v>
      </c>
    </row>
    <row r="26" spans="1:3" s="143" customFormat="1" x14ac:dyDescent="0.25">
      <c r="A26" s="416">
        <v>16</v>
      </c>
      <c r="B26" s="247" t="s">
        <v>546</v>
      </c>
      <c r="C26" s="469">
        <f>'Phụ lục số 1'!N53</f>
        <v>8000</v>
      </c>
    </row>
    <row r="27" spans="1:3" s="136" customFormat="1" x14ac:dyDescent="0.25">
      <c r="A27" s="137" t="s">
        <v>294</v>
      </c>
      <c r="B27" s="138" t="s">
        <v>417</v>
      </c>
      <c r="C27" s="470">
        <f>'Phụ lục số 1'!N56</f>
        <v>78000</v>
      </c>
    </row>
    <row r="28" spans="1:3" s="143" customFormat="1" hidden="1" x14ac:dyDescent="0.25">
      <c r="A28" s="137"/>
      <c r="B28" s="102" t="s">
        <v>66</v>
      </c>
      <c r="C28" s="466">
        <f>'Phụ lục số 1'!N66</f>
        <v>353947</v>
      </c>
    </row>
    <row r="29" spans="1:3" s="143" customFormat="1" ht="15.75" customHeight="1" x14ac:dyDescent="0.25">
      <c r="A29" s="137" t="s">
        <v>295</v>
      </c>
      <c r="B29" s="310" t="s">
        <v>1037</v>
      </c>
      <c r="C29" s="470">
        <f>SUM(C30,C33,C36,C37)</f>
        <v>12334250</v>
      </c>
    </row>
    <row r="30" spans="1:3" s="143" customFormat="1" x14ac:dyDescent="0.25">
      <c r="A30" s="145" t="s">
        <v>281</v>
      </c>
      <c r="B30" s="146" t="s">
        <v>156</v>
      </c>
      <c r="C30" s="471">
        <f>SUM(C31:C32)</f>
        <v>5466580</v>
      </c>
    </row>
    <row r="31" spans="1:3" s="142"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1" customFormat="1" x14ac:dyDescent="0.25">
      <c r="A33" s="145" t="s">
        <v>294</v>
      </c>
      <c r="B33" s="146" t="s">
        <v>296</v>
      </c>
      <c r="C33" s="472">
        <f>SUM(C34:C35)</f>
        <v>6498723</v>
      </c>
    </row>
    <row r="34" spans="1:3" s="142"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1" customFormat="1" x14ac:dyDescent="0.25">
      <c r="A36" s="145" t="s">
        <v>322</v>
      </c>
      <c r="B36" s="100" t="s">
        <v>151</v>
      </c>
      <c r="C36" s="472">
        <f>C28</f>
        <v>353947</v>
      </c>
    </row>
    <row r="37" spans="1:3" s="142" customFormat="1" x14ac:dyDescent="0.25">
      <c r="A37" s="147" t="s">
        <v>323</v>
      </c>
      <c r="B37" s="873" t="s">
        <v>1027</v>
      </c>
      <c r="C37" s="477">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7" t="s">
        <v>57</v>
      </c>
      <c r="C1" s="1087"/>
      <c r="D1" s="1087"/>
      <c r="E1" s="12"/>
    </row>
    <row r="2" spans="1:5" s="14" customFormat="1" hidden="1" x14ac:dyDescent="0.25">
      <c r="B2" s="1087" t="s">
        <v>58</v>
      </c>
      <c r="C2" s="1087"/>
      <c r="D2" s="1087"/>
      <c r="E2" s="12"/>
    </row>
    <row r="3" spans="1:5" s="14" customFormat="1" hidden="1" x14ac:dyDescent="0.25">
      <c r="B3" s="13"/>
      <c r="C3" s="977"/>
      <c r="D3" s="977"/>
      <c r="E3" s="977"/>
    </row>
    <row r="4" spans="1:5" s="14" customFormat="1" ht="56.25" customHeight="1" x14ac:dyDescent="0.25">
      <c r="A4" s="1089" t="s">
        <v>754</v>
      </c>
      <c r="B4" s="977"/>
      <c r="C4" s="977"/>
      <c r="D4" s="977"/>
      <c r="E4" s="977"/>
    </row>
    <row r="5" spans="1:5" x14ac:dyDescent="0.25">
      <c r="E5" s="148" t="s">
        <v>393</v>
      </c>
    </row>
    <row r="6" spans="1:5" s="14" customFormat="1" ht="15.75" customHeight="1" x14ac:dyDescent="0.25">
      <c r="A6" s="1024" t="s">
        <v>43</v>
      </c>
      <c r="B6" s="1042" t="s">
        <v>394</v>
      </c>
      <c r="C6" s="1006" t="s">
        <v>751</v>
      </c>
      <c r="D6" s="1006"/>
      <c r="E6" s="1006"/>
    </row>
    <row r="7" spans="1:5" s="14" customFormat="1" x14ac:dyDescent="0.25">
      <c r="A7" s="1042"/>
      <c r="B7" s="1042"/>
      <c r="C7" s="1042" t="s">
        <v>276</v>
      </c>
      <c r="D7" s="1006" t="s">
        <v>160</v>
      </c>
      <c r="E7" s="1006"/>
    </row>
    <row r="8" spans="1:5" s="87" customFormat="1" ht="78.75" customHeight="1" x14ac:dyDescent="0.25">
      <c r="A8" s="1042"/>
      <c r="B8" s="1042"/>
      <c r="C8" s="1042"/>
      <c r="D8" s="273" t="s">
        <v>161</v>
      </c>
      <c r="E8" s="273" t="s">
        <v>162</v>
      </c>
    </row>
    <row r="9" spans="1:5" s="98" customFormat="1" ht="20.100000000000001" customHeight="1" x14ac:dyDescent="0.25">
      <c r="A9" s="111"/>
      <c r="B9" s="41" t="s">
        <v>1038</v>
      </c>
      <c r="C9" s="251">
        <f>SUM(C10,C15,C29,C30,C31,C32,C33,C34)</f>
        <v>12334250</v>
      </c>
      <c r="D9" s="251">
        <f>SUM(D10,D15,D29,D30,D31,D32,D33,D34)</f>
        <v>6237674</v>
      </c>
      <c r="E9" s="251">
        <f>SUM(E10,E15,E29,E30,E31,E32,E33,E34)</f>
        <v>6096576</v>
      </c>
    </row>
    <row r="10" spans="1:5" s="98" customFormat="1" ht="20.100000000000001" customHeight="1" x14ac:dyDescent="0.25">
      <c r="A10" s="101" t="s">
        <v>281</v>
      </c>
      <c r="B10" s="102" t="s">
        <v>514</v>
      </c>
      <c r="C10" s="264">
        <f>SUM(D10:E10)</f>
        <v>2866350</v>
      </c>
      <c r="D10" s="264">
        <f>SUM(D12:D14)</f>
        <v>2009653</v>
      </c>
      <c r="E10" s="264">
        <f>SUM(E12:E14)</f>
        <v>856697</v>
      </c>
    </row>
    <row r="11" spans="1:5" s="107" customFormat="1" ht="20.100000000000001" customHeight="1" x14ac:dyDescent="0.25">
      <c r="A11" s="236"/>
      <c r="B11" s="278" t="s">
        <v>86</v>
      </c>
      <c r="C11" s="474"/>
      <c r="D11" s="474"/>
      <c r="E11" s="474"/>
    </row>
    <row r="12" spans="1:5" ht="20.100000000000001" customHeight="1" x14ac:dyDescent="0.25">
      <c r="A12" s="103">
        <v>1</v>
      </c>
      <c r="B12" s="104" t="s">
        <v>246</v>
      </c>
      <c r="C12" s="475">
        <f>SUM(D12:E12)</f>
        <v>1036350</v>
      </c>
      <c r="D12" s="475">
        <f>'Phụ lục số 2'!N15</f>
        <v>559653</v>
      </c>
      <c r="E12" s="475">
        <f>'Phụ lục số 2'!O15</f>
        <v>476697</v>
      </c>
    </row>
    <row r="13" spans="1:5" ht="20.100000000000001" customHeight="1" x14ac:dyDescent="0.25">
      <c r="A13" s="103">
        <v>2</v>
      </c>
      <c r="B13" s="104" t="s">
        <v>247</v>
      </c>
      <c r="C13" s="475">
        <f>SUM(D13:E13)</f>
        <v>450000</v>
      </c>
      <c r="D13" s="475">
        <f>'Phụ lục số 2'!N16</f>
        <v>70000</v>
      </c>
      <c r="E13" s="475">
        <f>'Phụ lục số 2'!O16</f>
        <v>380000</v>
      </c>
    </row>
    <row r="14" spans="1:5" ht="20.100000000000001" customHeight="1" x14ac:dyDescent="0.25">
      <c r="A14" s="103">
        <v>3</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v>1</v>
      </c>
      <c r="B17" s="104" t="s">
        <v>248</v>
      </c>
      <c r="C17" s="475">
        <f t="shared" ref="C17:C34" si="0">SUM(D17:E17)</f>
        <v>3322431</v>
      </c>
      <c r="D17" s="475">
        <f>'Phụ lục số 2'!N24</f>
        <v>691691</v>
      </c>
      <c r="E17" s="475">
        <f>'Phụ lục số 2'!O24</f>
        <v>2630740</v>
      </c>
    </row>
    <row r="18" spans="1:5" ht="20.100000000000001" customHeight="1" x14ac:dyDescent="0.25">
      <c r="A18" s="103">
        <v>2</v>
      </c>
      <c r="B18" s="104" t="s">
        <v>249</v>
      </c>
      <c r="C18" s="475">
        <f t="shared" si="0"/>
        <v>28000</v>
      </c>
      <c r="D18" s="475">
        <f>'Phụ lục số 2'!N23</f>
        <v>28000</v>
      </c>
      <c r="E18" s="475">
        <f>'Phụ lục số 2'!O23</f>
        <v>0</v>
      </c>
    </row>
    <row r="19" spans="1:5" ht="20.100000000000001" customHeight="1" x14ac:dyDescent="0.25">
      <c r="A19" s="103">
        <v>3</v>
      </c>
      <c r="B19" s="104" t="s">
        <v>250</v>
      </c>
      <c r="C19" s="475">
        <f t="shared" si="0"/>
        <v>129921</v>
      </c>
      <c r="D19" s="475">
        <f>'Phụ lục số 2'!N21</f>
        <v>80000</v>
      </c>
      <c r="E19" s="475">
        <f>'Phụ lục số 2'!O21</f>
        <v>49921</v>
      </c>
    </row>
    <row r="20" spans="1:5" s="248" customFormat="1" ht="20.100000000000001" customHeight="1" x14ac:dyDescent="0.25">
      <c r="A20" s="274">
        <v>4</v>
      </c>
      <c r="B20" s="247" t="s">
        <v>136</v>
      </c>
      <c r="C20" s="475">
        <f t="shared" si="0"/>
        <v>1407216</v>
      </c>
      <c r="D20" s="258">
        <f>'Phụ lục số 2'!N20</f>
        <v>441409</v>
      </c>
      <c r="E20" s="258">
        <f>'Phụ lục số 2'!O20</f>
        <v>965807</v>
      </c>
    </row>
    <row r="21" spans="1:5" ht="20.100000000000001" customHeight="1" x14ac:dyDescent="0.25">
      <c r="A21" s="103">
        <v>5</v>
      </c>
      <c r="B21" s="247" t="s">
        <v>312</v>
      </c>
      <c r="C21" s="475">
        <f t="shared" si="0"/>
        <v>755689</v>
      </c>
      <c r="D21" s="475">
        <f>'Phụ lục số 2'!N25</f>
        <v>755689</v>
      </c>
      <c r="E21" s="475">
        <f>'Phụ lục số 2'!O25</f>
        <v>0</v>
      </c>
    </row>
    <row r="22" spans="1:5" ht="20.100000000000001" customHeight="1" x14ac:dyDescent="0.25">
      <c r="A22" s="274">
        <v>6</v>
      </c>
      <c r="B22" s="247" t="s">
        <v>314</v>
      </c>
      <c r="C22" s="475">
        <f t="shared" si="0"/>
        <v>69066</v>
      </c>
      <c r="D22" s="475">
        <f>'Phụ lục số 2'!N26</f>
        <v>36993</v>
      </c>
      <c r="E22" s="475">
        <f>'Phụ lục số 2'!O26</f>
        <v>32073</v>
      </c>
    </row>
    <row r="23" spans="1:5" ht="20.100000000000001" customHeight="1" x14ac:dyDescent="0.25">
      <c r="A23" s="103">
        <v>7</v>
      </c>
      <c r="B23" s="247" t="s">
        <v>316</v>
      </c>
      <c r="C23" s="475">
        <f t="shared" si="0"/>
        <v>30602</v>
      </c>
      <c r="D23" s="475">
        <f>'Phụ lục số 2'!N27</f>
        <v>5500</v>
      </c>
      <c r="E23" s="475">
        <f>'Phụ lục số 2'!O27</f>
        <v>25102</v>
      </c>
    </row>
    <row r="24" spans="1:5" ht="20.100000000000001" customHeight="1" x14ac:dyDescent="0.25">
      <c r="A24" s="274">
        <v>8</v>
      </c>
      <c r="B24" s="247" t="s">
        <v>318</v>
      </c>
      <c r="C24" s="475">
        <f t="shared" si="0"/>
        <v>32041</v>
      </c>
      <c r="D24" s="475">
        <f>'Phụ lục số 2'!N28</f>
        <v>21283</v>
      </c>
      <c r="E24" s="475">
        <f>'Phụ lục số 2'!O28</f>
        <v>10758</v>
      </c>
    </row>
    <row r="25" spans="1:5" ht="20.100000000000001" customHeight="1" x14ac:dyDescent="0.25">
      <c r="A25" s="103">
        <v>9</v>
      </c>
      <c r="B25" s="247" t="s">
        <v>319</v>
      </c>
      <c r="C25" s="475">
        <f t="shared" si="0"/>
        <v>373408</v>
      </c>
      <c r="D25" s="475">
        <f>'Phụ lục số 2'!N29</f>
        <v>70000</v>
      </c>
      <c r="E25" s="475">
        <f>'Phụ lục số 2'!O29</f>
        <v>303408</v>
      </c>
    </row>
    <row r="26" spans="1:5" s="248" customFormat="1" ht="20.100000000000001" customHeight="1" x14ac:dyDescent="0.25">
      <c r="A26" s="274">
        <v>10</v>
      </c>
      <c r="B26" s="247" t="s">
        <v>320</v>
      </c>
      <c r="C26" s="258">
        <f t="shared" si="0"/>
        <v>1194942</v>
      </c>
      <c r="D26" s="475">
        <f>'Phụ lục số 2'!N30</f>
        <v>418567</v>
      </c>
      <c r="E26" s="475">
        <f>'Phụ lục số 2'!O30</f>
        <v>776375</v>
      </c>
    </row>
    <row r="27" spans="1:5" s="248" customFormat="1" ht="20.100000000000001" customHeight="1" x14ac:dyDescent="0.25">
      <c r="A27" s="103">
        <v>11</v>
      </c>
      <c r="B27" s="247" t="s">
        <v>485</v>
      </c>
      <c r="C27" s="258">
        <f t="shared" si="0"/>
        <v>215487</v>
      </c>
      <c r="D27" s="475">
        <f>'Phụ lục số 2'!N31</f>
        <v>102173</v>
      </c>
      <c r="E27" s="475">
        <f>'Phụ lục số 2'!O31</f>
        <v>113314</v>
      </c>
    </row>
    <row r="28" spans="1:5" s="248" customFormat="1" ht="20.100000000000001" customHeight="1" x14ac:dyDescent="0.25">
      <c r="A28" s="274">
        <v>12</v>
      </c>
      <c r="B28" s="247" t="s">
        <v>384</v>
      </c>
      <c r="C28" s="258">
        <f t="shared" si="0"/>
        <v>54535</v>
      </c>
      <c r="D28" s="475">
        <f>'Phụ lục số 2'!N32</f>
        <v>25000</v>
      </c>
      <c r="E28" s="475">
        <f>'Phụ lục số 2'!O32</f>
        <v>29535</v>
      </c>
    </row>
    <row r="29" spans="1:5" s="98" customFormat="1" ht="20.100000000000001" customHeight="1" x14ac:dyDescent="0.25">
      <c r="A29" s="101" t="s">
        <v>322</v>
      </c>
      <c r="B29" s="149" t="s">
        <v>69</v>
      </c>
      <c r="C29" s="264">
        <f t="shared" si="0"/>
        <v>2000</v>
      </c>
      <c r="D29" s="264">
        <f>'Phụ lục số 2'!N33</f>
        <v>2000</v>
      </c>
      <c r="E29" s="264">
        <f>'Phụ lục số 2'!O33</f>
        <v>0</v>
      </c>
    </row>
    <row r="30" spans="1:5" s="98" customFormat="1" ht="20.100000000000001" customHeight="1" x14ac:dyDescent="0.25">
      <c r="A30" s="101" t="s">
        <v>323</v>
      </c>
      <c r="B30" s="102" t="s">
        <v>361</v>
      </c>
      <c r="C30" s="264">
        <f t="shared" si="0"/>
        <v>209077</v>
      </c>
      <c r="D30" s="264">
        <f>'Phụ lục số 2'!N34</f>
        <v>110426</v>
      </c>
      <c r="E30" s="264">
        <f>'Phụ lục số 2'!O34</f>
        <v>98651</v>
      </c>
    </row>
    <row r="31" spans="1:5" s="98" customFormat="1" ht="20.100000000000001" customHeight="1" x14ac:dyDescent="0.25">
      <c r="A31" s="101" t="s">
        <v>346</v>
      </c>
      <c r="B31" s="102" t="s">
        <v>404</v>
      </c>
      <c r="C31" s="264">
        <f t="shared" si="0"/>
        <v>204195</v>
      </c>
      <c r="D31" s="264">
        <f>'Phụ lục số 2'!N36</f>
        <v>0</v>
      </c>
      <c r="E31" s="264">
        <f>'Phụ lục số 2'!O36</f>
        <v>204195</v>
      </c>
    </row>
    <row r="32" spans="1:5" s="98" customFormat="1" ht="20.100000000000001" customHeight="1" x14ac:dyDescent="0.25">
      <c r="A32" s="517" t="s">
        <v>347</v>
      </c>
      <c r="B32" s="45" t="s">
        <v>669</v>
      </c>
      <c r="C32" s="264">
        <f t="shared" si="0"/>
        <v>300</v>
      </c>
      <c r="D32" s="518">
        <f>'Phụ lục số 2'!N38</f>
        <v>300</v>
      </c>
      <c r="E32" s="518">
        <f>'Phụ lục số 2'!O38</f>
        <v>0</v>
      </c>
    </row>
    <row r="33" spans="1:127" s="98" customFormat="1" ht="20.100000000000001" customHeight="1" x14ac:dyDescent="0.25">
      <c r="A33" s="150" t="s">
        <v>389</v>
      </c>
      <c r="B33" s="151" t="s">
        <v>165</v>
      </c>
      <c r="C33" s="266">
        <f t="shared" si="0"/>
        <v>1423990</v>
      </c>
      <c r="D33" s="266">
        <f>'Phụ lục số 2'!N39</f>
        <v>1423990</v>
      </c>
      <c r="E33" s="266">
        <f>'Phụ lục số 2'!O39</f>
        <v>0</v>
      </c>
    </row>
    <row r="34" spans="1:127" s="98" customFormat="1" ht="20.100000000000001" customHeight="1" x14ac:dyDescent="0.25">
      <c r="A34" s="179" t="s">
        <v>390</v>
      </c>
      <c r="B34" s="162" t="s">
        <v>1028</v>
      </c>
      <c r="C34" s="180">
        <f t="shared" si="0"/>
        <v>15000</v>
      </c>
      <c r="D34" s="180">
        <f>'Phụ lục số 2'!N44</f>
        <v>15000</v>
      </c>
      <c r="E34" s="180">
        <f>'Phụ lục số 2'!O44</f>
        <v>0</v>
      </c>
    </row>
    <row r="35" spans="1:127" x14ac:dyDescent="0.25">
      <c r="B35" s="153" t="s">
        <v>325</v>
      </c>
      <c r="C35" s="92"/>
      <c r="D35" s="92"/>
      <c r="E35" s="92"/>
    </row>
    <row r="36" spans="1:127" x14ac:dyDescent="0.25">
      <c r="B36" s="154" t="s">
        <v>167</v>
      </c>
      <c r="C36" s="92"/>
      <c r="D36" s="155">
        <f>'Phụ lục số 5'!E31</f>
        <v>4119360</v>
      </c>
      <c r="E36" s="91" t="s">
        <v>166</v>
      </c>
    </row>
    <row r="37" spans="1:127" x14ac:dyDescent="0.25">
      <c r="B37" s="154" t="s">
        <v>408</v>
      </c>
      <c r="C37" s="92"/>
      <c r="D37" s="154">
        <f>'Phụ lục số 5'!C32</f>
        <v>3464851</v>
      </c>
      <c r="E37" s="92" t="s">
        <v>166</v>
      </c>
    </row>
    <row r="38" spans="1:127" x14ac:dyDescent="0.25">
      <c r="B38" s="154" t="s">
        <v>504</v>
      </c>
      <c r="C38" s="92"/>
      <c r="D38" s="154">
        <f>'Phụ lục số 5'!C34</f>
        <v>317798</v>
      </c>
      <c r="E38" s="92" t="s">
        <v>166</v>
      </c>
    </row>
    <row r="39" spans="1:127" x14ac:dyDescent="0.25">
      <c r="B39" s="154" t="s">
        <v>619</v>
      </c>
      <c r="C39" s="92"/>
      <c r="D39" s="154">
        <f>'Phụ lục số 5'!C35</f>
        <v>195366</v>
      </c>
      <c r="E39" s="92" t="s">
        <v>166</v>
      </c>
    </row>
    <row r="40" spans="1:127" x14ac:dyDescent="0.25">
      <c r="B40" s="154" t="s">
        <v>621</v>
      </c>
      <c r="C40" s="92"/>
      <c r="D40" s="154">
        <f>'Phụ lục số 5'!C36</f>
        <v>5840</v>
      </c>
      <c r="E40" s="92" t="s">
        <v>166</v>
      </c>
    </row>
    <row r="41" spans="1:127" x14ac:dyDescent="0.25">
      <c r="B41" s="154" t="s">
        <v>620</v>
      </c>
      <c r="C41" s="92"/>
      <c r="D41" s="154">
        <f>'Phụ lục số 5'!C37</f>
        <v>91257</v>
      </c>
      <c r="E41" s="92" t="s">
        <v>166</v>
      </c>
    </row>
    <row r="42" spans="1:127" x14ac:dyDescent="0.25">
      <c r="B42" s="154" t="s">
        <v>1058</v>
      </c>
      <c r="C42" s="92"/>
      <c r="D42" s="154">
        <f>'Phụ lục số 5'!C38</f>
        <v>33750</v>
      </c>
      <c r="E42" s="92" t="s">
        <v>166</v>
      </c>
    </row>
    <row r="43" spans="1:127" x14ac:dyDescent="0.25">
      <c r="B43" s="154" t="s">
        <v>1059</v>
      </c>
      <c r="C43" s="92"/>
      <c r="D43" s="154">
        <f>'Phụ lục số 5'!C39</f>
        <v>10498</v>
      </c>
      <c r="E43" s="92" t="s">
        <v>166</v>
      </c>
    </row>
    <row r="44" spans="1:127" ht="15.75" hidden="1" customHeight="1" x14ac:dyDescent="0.25">
      <c r="A44" s="259"/>
      <c r="B44" s="280" t="s">
        <v>418</v>
      </c>
      <c r="C44" s="281"/>
      <c r="D44" s="154">
        <f>'Phụ lục số 5'!C40</f>
        <v>0</v>
      </c>
      <c r="E44" s="281" t="s">
        <v>166</v>
      </c>
    </row>
    <row r="45" spans="1:127" x14ac:dyDescent="0.25">
      <c r="A45" s="259"/>
      <c r="B45" s="154" t="s">
        <v>707</v>
      </c>
      <c r="C45" s="281"/>
      <c r="D45" s="280"/>
      <c r="E45" s="281"/>
    </row>
    <row r="46" spans="1:127" ht="15.75" customHeight="1" x14ac:dyDescent="0.25">
      <c r="B46" s="1088" t="s">
        <v>1060</v>
      </c>
      <c r="C46" s="1088"/>
      <c r="D46" s="1088"/>
      <c r="E46" s="1088"/>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2"/>
      <c r="C47" s="92"/>
      <c r="D47" s="92"/>
      <c r="E47" s="92"/>
    </row>
    <row r="50" spans="2:5" x14ac:dyDescent="0.25">
      <c r="B50" s="152"/>
      <c r="C50" s="152"/>
      <c r="D50" s="152"/>
      <c r="E50" s="152"/>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1" customWidth="1"/>
    <col min="2" max="2" width="56.5" style="81" customWidth="1"/>
    <col min="3" max="3" width="19" style="81" customWidth="1"/>
    <col min="4" max="4" width="14.5" style="81" customWidth="1"/>
    <col min="5" max="5" width="13.875" style="81" customWidth="1"/>
    <col min="6" max="16384" width="9" style="81"/>
  </cols>
  <sheetData>
    <row r="1" spans="1:5" ht="69.75" hidden="1" customHeight="1" x14ac:dyDescent="0.2">
      <c r="A1" s="1090" t="s">
        <v>35</v>
      </c>
      <c r="B1" s="1090"/>
      <c r="C1" s="1090"/>
      <c r="D1" s="1090"/>
      <c r="E1" s="1090"/>
    </row>
    <row r="2" spans="1:5" hidden="1" x14ac:dyDescent="0.2"/>
    <row r="3" spans="1:5" ht="56.25" customHeight="1" x14ac:dyDescent="0.2">
      <c r="A3" s="1091" t="s">
        <v>755</v>
      </c>
      <c r="B3" s="1092"/>
      <c r="C3" s="1092"/>
      <c r="D3" s="1092"/>
      <c r="E3" s="1092"/>
    </row>
    <row r="4" spans="1:5" x14ac:dyDescent="0.2">
      <c r="E4" s="82" t="s">
        <v>393</v>
      </c>
    </row>
    <row r="5" spans="1:5" ht="13.5" customHeight="1" x14ac:dyDescent="0.2">
      <c r="A5" s="1093" t="s">
        <v>396</v>
      </c>
      <c r="B5" s="1093" t="s">
        <v>36</v>
      </c>
      <c r="C5" s="1093" t="s">
        <v>746</v>
      </c>
      <c r="D5" s="1093" t="s">
        <v>37</v>
      </c>
      <c r="E5" s="1093"/>
    </row>
    <row r="6" spans="1:5" ht="32.25" customHeight="1" x14ac:dyDescent="0.2">
      <c r="A6" s="1093"/>
      <c r="B6" s="1093"/>
      <c r="C6" s="1093"/>
      <c r="D6" s="83" t="s">
        <v>356</v>
      </c>
      <c r="E6" s="83" t="s">
        <v>38</v>
      </c>
    </row>
    <row r="7" spans="1:5" ht="27" x14ac:dyDescent="0.2">
      <c r="A7" s="538" t="s">
        <v>279</v>
      </c>
      <c r="B7" s="539" t="s">
        <v>1075</v>
      </c>
      <c r="C7" s="540">
        <f>237567</f>
        <v>237567</v>
      </c>
      <c r="D7" s="540">
        <f>SUM(D8:D9)</f>
        <v>167012</v>
      </c>
      <c r="E7" s="540">
        <f>SUM(E8:E9)</f>
        <v>70555</v>
      </c>
    </row>
    <row r="8" spans="1:5" x14ac:dyDescent="0.2">
      <c r="A8" s="532">
        <v>1</v>
      </c>
      <c r="B8" s="533" t="s">
        <v>255</v>
      </c>
      <c r="C8" s="541">
        <f t="shared" ref="C8:C17" si="0">SUM(D8:E8)</f>
        <v>14167</v>
      </c>
      <c r="D8" s="541">
        <v>6912</v>
      </c>
      <c r="E8" s="541">
        <v>7255</v>
      </c>
    </row>
    <row r="9" spans="1:5" x14ac:dyDescent="0.2">
      <c r="A9" s="532">
        <v>2</v>
      </c>
      <c r="B9" s="542" t="s">
        <v>175</v>
      </c>
      <c r="C9" s="531">
        <f t="shared" si="0"/>
        <v>223400</v>
      </c>
      <c r="D9" s="541">
        <v>160100</v>
      </c>
      <c r="E9" s="541">
        <v>63300</v>
      </c>
    </row>
    <row r="10" spans="1:5" x14ac:dyDescent="0.2">
      <c r="A10" s="543" t="s">
        <v>295</v>
      </c>
      <c r="B10" s="544" t="s">
        <v>39</v>
      </c>
      <c r="C10" s="545">
        <f>SUM(C11,C18)</f>
        <v>1568030</v>
      </c>
      <c r="D10" s="545">
        <f>SUM(D11,D18)</f>
        <v>849684</v>
      </c>
      <c r="E10" s="545">
        <f>SUM(E11,E18)</f>
        <v>718346</v>
      </c>
    </row>
    <row r="11" spans="1:5" x14ac:dyDescent="0.2">
      <c r="A11" s="546" t="s">
        <v>281</v>
      </c>
      <c r="B11" s="547" t="s">
        <v>704</v>
      </c>
      <c r="C11" s="545">
        <f>SUM(C12,C14)</f>
        <v>849684</v>
      </c>
      <c r="D11" s="545">
        <f>SUM(D12,D14)</f>
        <v>849684</v>
      </c>
      <c r="E11" s="545">
        <f>SUM(E12,E14)</f>
        <v>0</v>
      </c>
    </row>
    <row r="12" spans="1:5" ht="27" x14ac:dyDescent="0.2">
      <c r="A12" s="546">
        <v>1</v>
      </c>
      <c r="B12" s="552" t="s">
        <v>503</v>
      </c>
      <c r="C12" s="550">
        <f>SUM(D12:E12)</f>
        <v>170444</v>
      </c>
      <c r="D12" s="550">
        <v>170444</v>
      </c>
      <c r="E12" s="550"/>
    </row>
    <row r="13" spans="1:5" ht="27" x14ac:dyDescent="0.2">
      <c r="A13" s="936"/>
      <c r="B13" s="937" t="s">
        <v>1076</v>
      </c>
      <c r="C13" s="938">
        <f>SUM(D13:E13)</f>
        <v>120444</v>
      </c>
      <c r="D13" s="938">
        <v>120444</v>
      </c>
      <c r="E13" s="938"/>
    </row>
    <row r="14" spans="1:5" ht="27" x14ac:dyDescent="0.2">
      <c r="A14" s="556">
        <v>2</v>
      </c>
      <c r="B14" s="552" t="s">
        <v>1074</v>
      </c>
      <c r="C14" s="550">
        <f>SUM(C15,C17)</f>
        <v>679240</v>
      </c>
      <c r="D14" s="550">
        <f>SUM(D15,D17)</f>
        <v>679240</v>
      </c>
      <c r="E14" s="550">
        <f>SUM(E15,E17)</f>
        <v>0</v>
      </c>
    </row>
    <row r="15" spans="1:5" x14ac:dyDescent="0.2">
      <c r="A15" s="548" t="s">
        <v>307</v>
      </c>
      <c r="B15" s="533" t="s">
        <v>703</v>
      </c>
      <c r="C15" s="531">
        <f t="shared" si="0"/>
        <v>350840</v>
      </c>
      <c r="D15" s="531">
        <f>350840</f>
        <v>350840</v>
      </c>
      <c r="E15" s="531">
        <v>0</v>
      </c>
    </row>
    <row r="16" spans="1:5" ht="27" x14ac:dyDescent="0.2">
      <c r="A16" s="936"/>
      <c r="B16" s="937" t="s">
        <v>1077</v>
      </c>
      <c r="C16" s="938">
        <f>SUM(D16:E16)</f>
        <v>49305</v>
      </c>
      <c r="D16" s="938">
        <v>49305</v>
      </c>
      <c r="E16" s="938"/>
    </row>
    <row r="17" spans="1:5" x14ac:dyDescent="0.2">
      <c r="A17" s="548" t="s">
        <v>308</v>
      </c>
      <c r="B17" s="533" t="s">
        <v>710</v>
      </c>
      <c r="C17" s="531">
        <f t="shared" si="0"/>
        <v>328400</v>
      </c>
      <c r="D17" s="531">
        <v>328400</v>
      </c>
      <c r="E17" s="531"/>
    </row>
    <row r="18" spans="1:5" x14ac:dyDescent="0.2">
      <c r="A18" s="546" t="s">
        <v>294</v>
      </c>
      <c r="B18" s="547" t="s">
        <v>40</v>
      </c>
      <c r="C18" s="545">
        <f t="shared" ref="C18:D18" si="1">SUM(C19,C28)</f>
        <v>718346</v>
      </c>
      <c r="D18" s="545">
        <f t="shared" si="1"/>
        <v>0</v>
      </c>
      <c r="E18" s="545">
        <f>SUM(E19,E28)</f>
        <v>718346</v>
      </c>
    </row>
    <row r="19" spans="1:5" x14ac:dyDescent="0.2">
      <c r="A19" s="546" t="s">
        <v>643</v>
      </c>
      <c r="B19" s="547" t="s">
        <v>644</v>
      </c>
      <c r="C19" s="545">
        <f>SUM(C20:C27)</f>
        <v>381607</v>
      </c>
      <c r="D19" s="545">
        <f>SUM(D20:D27)</f>
        <v>0</v>
      </c>
      <c r="E19" s="545">
        <f>SUM(E20:E27)</f>
        <v>381607</v>
      </c>
    </row>
    <row r="20" spans="1:5" x14ac:dyDescent="0.2">
      <c r="A20" s="532">
        <v>1</v>
      </c>
      <c r="B20" s="533" t="s">
        <v>1021</v>
      </c>
      <c r="C20" s="531">
        <f t="shared" ref="C20:C48" si="2">SUM(D20:E20)</f>
        <v>25200</v>
      </c>
      <c r="D20" s="531"/>
      <c r="E20" s="531">
        <f>25200</f>
        <v>25200</v>
      </c>
    </row>
    <row r="21" spans="1:5" ht="27" x14ac:dyDescent="0.2">
      <c r="A21" s="532">
        <v>2</v>
      </c>
      <c r="B21" s="533" t="s">
        <v>1020</v>
      </c>
      <c r="C21" s="531">
        <f t="shared" si="2"/>
        <v>21434</v>
      </c>
      <c r="D21" s="531"/>
      <c r="E21" s="531">
        <f>21434</f>
        <v>21434</v>
      </c>
    </row>
    <row r="22" spans="1:5" ht="54" x14ac:dyDescent="0.2">
      <c r="A22" s="532">
        <v>3</v>
      </c>
      <c r="B22" s="533" t="s">
        <v>1022</v>
      </c>
      <c r="C22" s="531">
        <f t="shared" si="2"/>
        <v>59529</v>
      </c>
      <c r="D22" s="531"/>
      <c r="E22" s="531">
        <f>59529</f>
        <v>59529</v>
      </c>
    </row>
    <row r="23" spans="1:5" ht="13.5" hidden="1" customHeight="1" x14ac:dyDescent="0.2">
      <c r="A23" s="532">
        <v>4</v>
      </c>
      <c r="B23" s="533" t="s">
        <v>1023</v>
      </c>
      <c r="C23" s="531">
        <f t="shared" si="2"/>
        <v>36121</v>
      </c>
      <c r="D23" s="531"/>
      <c r="E23" s="531">
        <f>36121</f>
        <v>36121</v>
      </c>
    </row>
    <row r="24" spans="1:5" ht="54" x14ac:dyDescent="0.2">
      <c r="A24" s="532">
        <v>5</v>
      </c>
      <c r="B24" s="533" t="s">
        <v>1018</v>
      </c>
      <c r="C24" s="531">
        <f>SUM(D24:E24)</f>
        <v>2037</v>
      </c>
      <c r="D24" s="531"/>
      <c r="E24" s="531">
        <f>2037</f>
        <v>2037</v>
      </c>
    </row>
    <row r="25" spans="1:5" ht="27" x14ac:dyDescent="0.2">
      <c r="A25" s="532">
        <v>6</v>
      </c>
      <c r="B25" s="533" t="s">
        <v>1019</v>
      </c>
      <c r="C25" s="531">
        <f>SUM(D25:E25)</f>
        <v>3183</v>
      </c>
      <c r="D25" s="531"/>
      <c r="E25" s="531">
        <f>3183</f>
        <v>3183</v>
      </c>
    </row>
    <row r="26" spans="1:5" x14ac:dyDescent="0.2">
      <c r="A26" s="946">
        <v>7</v>
      </c>
      <c r="B26" s="945" t="s">
        <v>1079</v>
      </c>
      <c r="C26" s="947">
        <f>SUM(D26:E26)</f>
        <v>200353</v>
      </c>
      <c r="D26" s="947"/>
      <c r="E26" s="947">
        <f>200353</f>
        <v>200353</v>
      </c>
    </row>
    <row r="27" spans="1:5" x14ac:dyDescent="0.2">
      <c r="A27" s="532">
        <v>8</v>
      </c>
      <c r="B27" s="533" t="s">
        <v>1024</v>
      </c>
      <c r="C27" s="531">
        <f t="shared" si="2"/>
        <v>33750</v>
      </c>
      <c r="D27" s="531"/>
      <c r="E27" s="531">
        <f>33750</f>
        <v>33750</v>
      </c>
    </row>
    <row r="28" spans="1:5" x14ac:dyDescent="0.2">
      <c r="A28" s="549" t="s">
        <v>645</v>
      </c>
      <c r="B28" s="547" t="s">
        <v>646</v>
      </c>
      <c r="C28" s="550">
        <f>SUM(C29,C30,C41)</f>
        <v>336739</v>
      </c>
      <c r="D28" s="550">
        <f>SUM(D29,D30,D41)</f>
        <v>0</v>
      </c>
      <c r="E28" s="550">
        <f>SUM(E29,E30,E41)</f>
        <v>336739</v>
      </c>
    </row>
    <row r="29" spans="1:5" x14ac:dyDescent="0.2">
      <c r="A29" s="549" t="s">
        <v>667</v>
      </c>
      <c r="B29" s="552" t="s">
        <v>242</v>
      </c>
      <c r="C29" s="550">
        <f t="shared" si="2"/>
        <v>16700</v>
      </c>
      <c r="D29" s="550"/>
      <c r="E29" s="550">
        <v>16700</v>
      </c>
    </row>
    <row r="30" spans="1:5" x14ac:dyDescent="0.2">
      <c r="A30" s="549" t="s">
        <v>668</v>
      </c>
      <c r="B30" s="552" t="s">
        <v>241</v>
      </c>
      <c r="C30" s="550">
        <f>SUM(C31:C40)</f>
        <v>292176</v>
      </c>
      <c r="D30" s="550">
        <f>SUM(D31:D40)</f>
        <v>0</v>
      </c>
      <c r="E30" s="550">
        <f>SUM(E31:E40)</f>
        <v>292176</v>
      </c>
    </row>
    <row r="31" spans="1:5" x14ac:dyDescent="0.2">
      <c r="A31" s="532">
        <v>1</v>
      </c>
      <c r="B31" s="533" t="s">
        <v>709</v>
      </c>
      <c r="C31" s="555">
        <f>SUM(D31:E31)</f>
        <v>34795</v>
      </c>
      <c r="D31" s="555"/>
      <c r="E31" s="555">
        <f>34795</f>
        <v>34795</v>
      </c>
    </row>
    <row r="32" spans="1:5" x14ac:dyDescent="0.2">
      <c r="A32" s="532">
        <v>2</v>
      </c>
      <c r="B32" s="533" t="s">
        <v>1025</v>
      </c>
      <c r="C32" s="531">
        <f>SUM(D32:E32)</f>
        <v>38435</v>
      </c>
      <c r="D32" s="531"/>
      <c r="E32" s="531">
        <f>72185-E27</f>
        <v>38435</v>
      </c>
    </row>
    <row r="33" spans="1:5" x14ac:dyDescent="0.2">
      <c r="A33" s="946">
        <v>3</v>
      </c>
      <c r="B33" s="945" t="s">
        <v>1080</v>
      </c>
      <c r="C33" s="948">
        <f>SUM(D33:E33)</f>
        <v>94000</v>
      </c>
      <c r="D33" s="948"/>
      <c r="E33" s="948">
        <f>94000</f>
        <v>94000</v>
      </c>
    </row>
    <row r="34" spans="1:5" x14ac:dyDescent="0.2">
      <c r="A34" s="532">
        <v>4</v>
      </c>
      <c r="B34" s="533" t="s">
        <v>692</v>
      </c>
      <c r="C34" s="555">
        <f>SUM(D34:E34)</f>
        <v>50000</v>
      </c>
      <c r="D34" s="555"/>
      <c r="E34" s="555">
        <f>50000</f>
        <v>50000</v>
      </c>
    </row>
    <row r="35" spans="1:5" ht="27" x14ac:dyDescent="0.2">
      <c r="A35" s="532">
        <v>5</v>
      </c>
      <c r="B35" s="533" t="s">
        <v>717</v>
      </c>
      <c r="C35" s="531">
        <f t="shared" si="2"/>
        <v>500</v>
      </c>
      <c r="D35" s="531"/>
      <c r="E35" s="531">
        <f>500</f>
        <v>500</v>
      </c>
    </row>
    <row r="36" spans="1:5" x14ac:dyDescent="0.2">
      <c r="A36" s="532">
        <v>6</v>
      </c>
      <c r="B36" s="533" t="s">
        <v>715</v>
      </c>
      <c r="C36" s="531">
        <f t="shared" si="2"/>
        <v>272</v>
      </c>
      <c r="D36" s="531"/>
      <c r="E36" s="531">
        <v>272</v>
      </c>
    </row>
    <row r="37" spans="1:5" ht="13.5" hidden="1" customHeight="1" x14ac:dyDescent="0.2">
      <c r="A37" s="532">
        <v>7</v>
      </c>
      <c r="B37" s="533" t="s">
        <v>716</v>
      </c>
      <c r="C37" s="531">
        <f t="shared" si="2"/>
        <v>640</v>
      </c>
      <c r="D37" s="531"/>
      <c r="E37" s="531">
        <f>550+90</f>
        <v>640</v>
      </c>
    </row>
    <row r="38" spans="1:5" ht="13.5" hidden="1" customHeight="1" x14ac:dyDescent="0.2">
      <c r="A38" s="532">
        <v>8</v>
      </c>
      <c r="B38" s="533" t="s">
        <v>713</v>
      </c>
      <c r="C38" s="531">
        <f t="shared" si="2"/>
        <v>700</v>
      </c>
      <c r="D38" s="531"/>
      <c r="E38" s="531">
        <f>700</f>
        <v>700</v>
      </c>
    </row>
    <row r="39" spans="1:5" ht="27" x14ac:dyDescent="0.2">
      <c r="A39" s="532">
        <v>9</v>
      </c>
      <c r="B39" s="533" t="s">
        <v>714</v>
      </c>
      <c r="C39" s="531">
        <f t="shared" si="2"/>
        <v>34073</v>
      </c>
      <c r="D39" s="531"/>
      <c r="E39" s="531">
        <f>34073</f>
        <v>34073</v>
      </c>
    </row>
    <row r="40" spans="1:5" ht="27" x14ac:dyDescent="0.2">
      <c r="A40" s="532">
        <v>10</v>
      </c>
      <c r="B40" s="533" t="s">
        <v>1073</v>
      </c>
      <c r="C40" s="531">
        <f t="shared" si="2"/>
        <v>38761</v>
      </c>
      <c r="D40" s="531"/>
      <c r="E40" s="531">
        <v>38761</v>
      </c>
    </row>
    <row r="41" spans="1:5" x14ac:dyDescent="0.2">
      <c r="A41" s="546" t="s">
        <v>1078</v>
      </c>
      <c r="B41" s="547" t="s">
        <v>1082</v>
      </c>
      <c r="C41" s="553">
        <f t="shared" ref="C41:D41" si="3">SUM(C42:C49)</f>
        <v>27863</v>
      </c>
      <c r="D41" s="553">
        <f t="shared" si="3"/>
        <v>0</v>
      </c>
      <c r="E41" s="553">
        <f>SUM(E42:E49)</f>
        <v>27863</v>
      </c>
    </row>
    <row r="42" spans="1:5" x14ac:dyDescent="0.2">
      <c r="A42" s="532">
        <v>1</v>
      </c>
      <c r="B42" s="533" t="s">
        <v>697</v>
      </c>
      <c r="C42" s="531">
        <f t="shared" si="2"/>
        <v>6780</v>
      </c>
      <c r="D42" s="531"/>
      <c r="E42" s="531">
        <v>6780</v>
      </c>
    </row>
    <row r="43" spans="1:5" x14ac:dyDescent="0.2">
      <c r="A43" s="532">
        <v>2</v>
      </c>
      <c r="B43" s="533" t="s">
        <v>698</v>
      </c>
      <c r="C43" s="531">
        <f t="shared" si="2"/>
        <v>7823</v>
      </c>
      <c r="D43" s="531"/>
      <c r="E43" s="531">
        <v>7823</v>
      </c>
    </row>
    <row r="44" spans="1:5" x14ac:dyDescent="0.2">
      <c r="A44" s="532">
        <v>3</v>
      </c>
      <c r="B44" s="533" t="s">
        <v>699</v>
      </c>
      <c r="C44" s="531">
        <f t="shared" si="2"/>
        <v>6065</v>
      </c>
      <c r="D44" s="531"/>
      <c r="E44" s="531">
        <v>6065</v>
      </c>
    </row>
    <row r="45" spans="1:5" x14ac:dyDescent="0.2">
      <c r="A45" s="532">
        <v>4</v>
      </c>
      <c r="B45" s="533" t="s">
        <v>700</v>
      </c>
      <c r="C45" s="531">
        <f t="shared" si="2"/>
        <v>1115</v>
      </c>
      <c r="D45" s="531"/>
      <c r="E45" s="531">
        <v>1115</v>
      </c>
    </row>
    <row r="46" spans="1:5" ht="27" x14ac:dyDescent="0.2">
      <c r="A46" s="532">
        <v>5</v>
      </c>
      <c r="B46" s="533" t="s">
        <v>701</v>
      </c>
      <c r="C46" s="531">
        <f t="shared" si="2"/>
        <v>1780</v>
      </c>
      <c r="D46" s="531"/>
      <c r="E46" s="531">
        <v>1780</v>
      </c>
    </row>
    <row r="47" spans="1:5" ht="13.5" hidden="1" customHeight="1" x14ac:dyDescent="0.2">
      <c r="A47" s="532">
        <v>6</v>
      </c>
      <c r="B47" s="533" t="s">
        <v>702</v>
      </c>
      <c r="C47" s="531">
        <f t="shared" si="2"/>
        <v>900</v>
      </c>
      <c r="D47" s="531"/>
      <c r="E47" s="531">
        <v>900</v>
      </c>
    </row>
    <row r="48" spans="1:5" ht="13.5" customHeight="1" x14ac:dyDescent="0.2">
      <c r="A48" s="532">
        <v>7</v>
      </c>
      <c r="B48" s="533" t="s">
        <v>708</v>
      </c>
      <c r="C48" s="531">
        <f t="shared" si="2"/>
        <v>3000</v>
      </c>
      <c r="D48" s="531"/>
      <c r="E48" s="531">
        <v>3000</v>
      </c>
    </row>
    <row r="49" spans="1:5" x14ac:dyDescent="0.2">
      <c r="A49" s="874">
        <v>8</v>
      </c>
      <c r="B49" s="875" t="s">
        <v>1083</v>
      </c>
      <c r="C49" s="876">
        <f>SUM(D49:E49)</f>
        <v>400</v>
      </c>
      <c r="D49" s="876"/>
      <c r="E49" s="876">
        <v>400</v>
      </c>
    </row>
    <row r="50" spans="1:5" ht="13.5" customHeight="1" x14ac:dyDescent="0.2">
      <c r="A50" s="1037" t="s">
        <v>41</v>
      </c>
      <c r="B50" s="1037"/>
      <c r="C50" s="877">
        <f>SUM(C7,C10)</f>
        <v>1805597</v>
      </c>
      <c r="D50" s="877">
        <f>SUM(D7,D10)</f>
        <v>1016696</v>
      </c>
      <c r="E50" s="877">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5" customWidth="1"/>
    <col min="2" max="2" width="8.75" style="195" customWidth="1"/>
    <col min="3" max="3" width="10.625" style="195" customWidth="1"/>
    <col min="4" max="4" width="11.25" style="195" customWidth="1"/>
    <col min="5" max="5" width="19.875" style="195" customWidth="1"/>
    <col min="6" max="16384" width="9" style="195"/>
  </cols>
  <sheetData>
    <row r="1" spans="1:6" s="14" customFormat="1" ht="31.5" customHeight="1" x14ac:dyDescent="0.25">
      <c r="A1" s="1089" t="s">
        <v>756</v>
      </c>
      <c r="B1" s="1089"/>
      <c r="C1" s="1089"/>
      <c r="D1" s="1089"/>
      <c r="E1" s="1089"/>
    </row>
    <row r="2" spans="1:6" s="14" customFormat="1" ht="15.75" x14ac:dyDescent="0.25">
      <c r="A2" s="1094" t="s">
        <v>757</v>
      </c>
      <c r="B2" s="1094"/>
      <c r="C2" s="1094"/>
      <c r="D2" s="1094"/>
      <c r="E2" s="1094"/>
    </row>
    <row r="3" spans="1:6" x14ac:dyDescent="0.2">
      <c r="A3" s="1095"/>
      <c r="B3" s="1095"/>
      <c r="C3" s="1095"/>
      <c r="D3" s="1095"/>
    </row>
    <row r="5" spans="1:6" s="14" customFormat="1" ht="15.75" x14ac:dyDescent="0.25">
      <c r="A5" s="98" t="s">
        <v>82</v>
      </c>
    </row>
    <row r="6" spans="1:6" s="14" customFormat="1" ht="15.75" x14ac:dyDescent="0.25">
      <c r="A6" s="14" t="s">
        <v>696</v>
      </c>
      <c r="C6" s="489">
        <f>'Phụ lục số 2'!K14</f>
        <v>2866350</v>
      </c>
      <c r="D6" s="14" t="s">
        <v>83</v>
      </c>
      <c r="E6" s="206"/>
    </row>
    <row r="7" spans="1:6" s="248" customFormat="1" ht="15.75" x14ac:dyDescent="0.25">
      <c r="A7" s="311" t="s">
        <v>86</v>
      </c>
      <c r="C7" s="490"/>
    </row>
    <row r="8" spans="1:6" s="248" customFormat="1" ht="15.75" x14ac:dyDescent="0.25">
      <c r="A8" s="312" t="s">
        <v>517</v>
      </c>
      <c r="C8" s="490">
        <f>'Phụ lục số 2'!K15</f>
        <v>1036350</v>
      </c>
      <c r="D8" s="248" t="s">
        <v>83</v>
      </c>
    </row>
    <row r="9" spans="1:6" s="14" customFormat="1" ht="15.75" x14ac:dyDescent="0.25">
      <c r="A9" s="312" t="s">
        <v>226</v>
      </c>
      <c r="C9" s="490">
        <f>'Phụ lục số 2'!K16</f>
        <v>450000</v>
      </c>
      <c r="D9" s="248" t="s">
        <v>83</v>
      </c>
    </row>
    <row r="10" spans="1:6" s="14" customFormat="1" ht="15.75" x14ac:dyDescent="0.25">
      <c r="A10" s="312" t="s">
        <v>518</v>
      </c>
      <c r="C10" s="490">
        <f>'Phụ lục số 2'!K17</f>
        <v>1380000</v>
      </c>
      <c r="D10" s="248" t="s">
        <v>83</v>
      </c>
    </row>
    <row r="11" spans="1:6" s="107" customFormat="1" ht="15.75" x14ac:dyDescent="0.25">
      <c r="A11" s="955" t="s">
        <v>1094</v>
      </c>
      <c r="C11" s="949">
        <v>315100</v>
      </c>
      <c r="D11" s="107" t="s">
        <v>83</v>
      </c>
      <c r="E11" s="952"/>
      <c r="F11" s="953"/>
    </row>
    <row r="12" spans="1:6" s="107" customFormat="1" ht="15.75" x14ac:dyDescent="0.25">
      <c r="A12" s="955" t="s">
        <v>1095</v>
      </c>
      <c r="C12" s="949">
        <v>73480</v>
      </c>
      <c r="D12" s="107" t="s">
        <v>83</v>
      </c>
    </row>
    <row r="13" spans="1:6" s="14" customFormat="1" ht="15.75" x14ac:dyDescent="0.25">
      <c r="A13" s="98" t="s">
        <v>522</v>
      </c>
      <c r="E13" s="206"/>
    </row>
    <row r="14" spans="1:6" ht="26.25" customHeight="1" x14ac:dyDescent="0.25">
      <c r="A14" s="43"/>
      <c r="B14" s="43"/>
      <c r="C14" s="43"/>
      <c r="D14" s="148" t="s">
        <v>393</v>
      </c>
    </row>
    <row r="15" spans="1:6" s="14" customFormat="1" ht="15.75" x14ac:dyDescent="0.25">
      <c r="A15" s="1024" t="s">
        <v>84</v>
      </c>
      <c r="B15" s="1024" t="s">
        <v>758</v>
      </c>
      <c r="C15" s="1024" t="s">
        <v>759</v>
      </c>
      <c r="D15" s="1024"/>
      <c r="E15" s="1024" t="s">
        <v>637</v>
      </c>
    </row>
    <row r="16" spans="1:6" s="14" customFormat="1" ht="74.25" customHeight="1" x14ac:dyDescent="0.25">
      <c r="A16" s="1024"/>
      <c r="B16" s="1024"/>
      <c r="C16" s="319" t="s">
        <v>665</v>
      </c>
      <c r="D16" s="319" t="s">
        <v>664</v>
      </c>
      <c r="E16" s="1024"/>
    </row>
    <row r="17" spans="1:5" s="98" customFormat="1" ht="15.75" x14ac:dyDescent="0.25">
      <c r="A17" s="41" t="s">
        <v>85</v>
      </c>
      <c r="B17" s="478">
        <f>SUM(B19,B22,B27,B30,B33)</f>
        <v>638716.5</v>
      </c>
      <c r="C17" s="478">
        <f>SUM(C19,C22,C27,C30,C33)</f>
        <v>15000</v>
      </c>
      <c r="D17" s="478">
        <f>SUM(D19,D22,D27,D30,D33)</f>
        <v>356904.33333333331</v>
      </c>
      <c r="E17" s="478"/>
    </row>
    <row r="18" spans="1:5" s="14" customFormat="1" ht="15.75" x14ac:dyDescent="0.25">
      <c r="A18" s="90" t="s">
        <v>86</v>
      </c>
      <c r="B18" s="479"/>
      <c r="C18" s="479"/>
      <c r="D18" s="479"/>
      <c r="E18" s="479"/>
    </row>
    <row r="19" spans="1:5" s="14" customFormat="1" ht="15.75" x14ac:dyDescent="0.25">
      <c r="A19" s="90" t="s">
        <v>87</v>
      </c>
      <c r="B19" s="479">
        <f>B21</f>
        <v>0</v>
      </c>
      <c r="C19" s="479">
        <f>C21</f>
        <v>0</v>
      </c>
      <c r="D19" s="479">
        <f>D21</f>
        <v>0</v>
      </c>
      <c r="E19" s="479"/>
    </row>
    <row r="20" spans="1:5" s="107" customFormat="1" ht="15.75" x14ac:dyDescent="0.25">
      <c r="A20" s="207" t="s">
        <v>164</v>
      </c>
      <c r="B20" s="480"/>
      <c r="C20" s="480"/>
      <c r="D20" s="480"/>
      <c r="E20" s="480"/>
    </row>
    <row r="21" spans="1:5" s="313" customFormat="1" ht="47.25" x14ac:dyDescent="0.2">
      <c r="A21" s="516" t="s">
        <v>519</v>
      </c>
      <c r="B21" s="456">
        <f>0</f>
        <v>0</v>
      </c>
      <c r="C21" s="456">
        <v>0</v>
      </c>
      <c r="D21" s="456">
        <f>0</f>
        <v>0</v>
      </c>
      <c r="E21" s="456"/>
    </row>
    <row r="22" spans="1:5" s="14" customFormat="1" ht="15.75" x14ac:dyDescent="0.25">
      <c r="A22" s="90" t="s">
        <v>88</v>
      </c>
      <c r="B22" s="479">
        <f>SUM(B24:B26)</f>
        <v>638716.5</v>
      </c>
      <c r="C22" s="479">
        <f>SUM(C24:C26)</f>
        <v>0</v>
      </c>
      <c r="D22" s="479">
        <f>SUM(D24:D26)</f>
        <v>356904.33333333331</v>
      </c>
      <c r="E22" s="479"/>
    </row>
    <row r="23" spans="1:5" s="107" customFormat="1" ht="15.75" x14ac:dyDescent="0.25">
      <c r="A23" s="207" t="s">
        <v>86</v>
      </c>
      <c r="B23" s="480"/>
      <c r="C23" s="480"/>
      <c r="D23" s="480"/>
      <c r="E23" s="480"/>
    </row>
    <row r="24" spans="1:5" s="208" customFormat="1" ht="15.75" x14ac:dyDescent="0.25">
      <c r="A24" s="950" t="s">
        <v>90</v>
      </c>
      <c r="B24" s="954">
        <f>290208.5+85000-92708-103437-84167</f>
        <v>94896.5</v>
      </c>
      <c r="C24" s="954">
        <v>0</v>
      </c>
      <c r="D24" s="954">
        <v>60105</v>
      </c>
      <c r="E24" s="951" t="s">
        <v>666</v>
      </c>
    </row>
    <row r="25" spans="1:5" ht="15.75" x14ac:dyDescent="0.25">
      <c r="A25" s="950" t="s">
        <v>91</v>
      </c>
      <c r="B25" s="954">
        <f>282048-51285</f>
        <v>230763</v>
      </c>
      <c r="C25" s="954">
        <v>0</v>
      </c>
      <c r="D25" s="954">
        <f>218680+11708</f>
        <v>230388</v>
      </c>
      <c r="E25" s="951" t="s">
        <v>666</v>
      </c>
    </row>
    <row r="26" spans="1:5" ht="15.75" x14ac:dyDescent="0.25">
      <c r="A26" s="950" t="s">
        <v>92</v>
      </c>
      <c r="B26" s="954">
        <f>379468-66411</f>
        <v>313057</v>
      </c>
      <c r="C26" s="954">
        <v>0</v>
      </c>
      <c r="D26" s="954">
        <v>66411.333333333328</v>
      </c>
      <c r="E26" s="951" t="s">
        <v>666</v>
      </c>
    </row>
    <row r="27" spans="1:5" s="14" customFormat="1" ht="15.75" x14ac:dyDescent="0.25">
      <c r="A27" s="95" t="s">
        <v>520</v>
      </c>
      <c r="B27" s="479">
        <f>SUM(B29)</f>
        <v>0</v>
      </c>
      <c r="C27" s="479">
        <f>SUM(C29)</f>
        <v>15000</v>
      </c>
      <c r="D27" s="479">
        <f>SUM(D29)</f>
        <v>0</v>
      </c>
      <c r="E27" s="479"/>
    </row>
    <row r="28" spans="1:5" s="107" customFormat="1" ht="15.75" x14ac:dyDescent="0.25">
      <c r="A28" s="207" t="s">
        <v>164</v>
      </c>
      <c r="B28" s="480"/>
      <c r="C28" s="480"/>
      <c r="D28" s="480"/>
      <c r="E28" s="480"/>
    </row>
    <row r="29" spans="1:5" ht="47.25" x14ac:dyDescent="0.2">
      <c r="A29" s="516" t="s">
        <v>519</v>
      </c>
      <c r="B29" s="456">
        <f>0</f>
        <v>0</v>
      </c>
      <c r="C29" s="456">
        <v>15000</v>
      </c>
      <c r="D29" s="456">
        <f>0</f>
        <v>0</v>
      </c>
      <c r="E29" s="456"/>
    </row>
    <row r="30" spans="1:5" s="14" customFormat="1" ht="15.75" x14ac:dyDescent="0.25">
      <c r="A30" s="90" t="s">
        <v>128</v>
      </c>
      <c r="B30" s="479">
        <f>B32</f>
        <v>0</v>
      </c>
      <c r="C30" s="479">
        <f>C32</f>
        <v>0</v>
      </c>
      <c r="D30" s="479">
        <f>D32</f>
        <v>0</v>
      </c>
      <c r="E30" s="479"/>
    </row>
    <row r="31" spans="1:5" s="107" customFormat="1" ht="15.75" x14ac:dyDescent="0.25">
      <c r="A31" s="207" t="s">
        <v>164</v>
      </c>
      <c r="B31" s="480"/>
      <c r="C31" s="480"/>
      <c r="D31" s="480"/>
      <c r="E31" s="480"/>
    </row>
    <row r="32" spans="1:5" ht="47.25" x14ac:dyDescent="0.2">
      <c r="A32" s="516" t="s">
        <v>519</v>
      </c>
      <c r="B32" s="456">
        <f>0</f>
        <v>0</v>
      </c>
      <c r="C32" s="456">
        <v>0</v>
      </c>
      <c r="D32" s="456">
        <f>0</f>
        <v>0</v>
      </c>
      <c r="E32" s="456"/>
    </row>
    <row r="33" spans="1:5" s="14" customFormat="1" ht="15.75" x14ac:dyDescent="0.25">
      <c r="A33" s="209" t="s">
        <v>521</v>
      </c>
      <c r="B33" s="481">
        <v>0</v>
      </c>
      <c r="C33" s="481">
        <v>0</v>
      </c>
      <c r="D33" s="481">
        <v>0</v>
      </c>
      <c r="E33" s="481"/>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indexed="13"/>
  </sheetPr>
  <dimension ref="A1:E49"/>
  <sheetViews>
    <sheetView tabSelected="1" topLeftCell="A4" workbookViewId="0">
      <selection activeCell="A5" sqref="A5:E5"/>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7" t="s">
        <v>57</v>
      </c>
      <c r="C1" s="1087"/>
      <c r="D1" s="1087"/>
      <c r="E1" s="12"/>
    </row>
    <row r="2" spans="1:5" s="14" customFormat="1" hidden="1" x14ac:dyDescent="0.25">
      <c r="B2" s="1087" t="s">
        <v>58</v>
      </c>
      <c r="C2" s="1087"/>
      <c r="D2" s="1087"/>
      <c r="E2" s="12"/>
    </row>
    <row r="3" spans="1:5" s="14" customFormat="1" hidden="1" x14ac:dyDescent="0.25">
      <c r="B3" s="13"/>
      <c r="C3" s="977"/>
      <c r="D3" s="977"/>
      <c r="E3" s="977"/>
    </row>
    <row r="4" spans="1:5" s="14" customFormat="1" x14ac:dyDescent="0.25">
      <c r="B4" s="958"/>
      <c r="C4" s="958"/>
      <c r="D4" s="958"/>
      <c r="E4" s="958"/>
    </row>
    <row r="5" spans="1:5" s="14" customFormat="1" ht="36" customHeight="1" x14ac:dyDescent="0.25">
      <c r="A5" s="1089" t="s">
        <v>1096</v>
      </c>
      <c r="B5" s="977"/>
      <c r="C5" s="977"/>
      <c r="D5" s="977"/>
      <c r="E5" s="977"/>
    </row>
    <row r="6" spans="1:5" s="14" customFormat="1" x14ac:dyDescent="0.25">
      <c r="A6" s="957"/>
      <c r="B6" s="956"/>
      <c r="C6" s="956"/>
      <c r="D6" s="956"/>
      <c r="E6" s="956"/>
    </row>
    <row r="7" spans="1:5" x14ac:dyDescent="0.25">
      <c r="E7" s="148" t="s">
        <v>393</v>
      </c>
    </row>
    <row r="8" spans="1:5" s="14" customFormat="1" ht="15.75" customHeight="1" x14ac:dyDescent="0.25">
      <c r="A8" s="1024" t="s">
        <v>43</v>
      </c>
      <c r="B8" s="1042" t="s">
        <v>394</v>
      </c>
      <c r="C8" s="1006" t="s">
        <v>751</v>
      </c>
      <c r="D8" s="1006"/>
      <c r="E8" s="1006"/>
    </row>
    <row r="9" spans="1:5" s="14" customFormat="1" x14ac:dyDescent="0.25">
      <c r="A9" s="1042"/>
      <c r="B9" s="1042"/>
      <c r="C9" s="1042" t="s">
        <v>276</v>
      </c>
      <c r="D9" s="1006" t="s">
        <v>160</v>
      </c>
      <c r="E9" s="1006"/>
    </row>
    <row r="10" spans="1:5" s="87" customFormat="1" ht="78.75" customHeight="1" x14ac:dyDescent="0.25">
      <c r="A10" s="1042"/>
      <c r="B10" s="1042"/>
      <c r="C10" s="1042"/>
      <c r="D10" s="273" t="s">
        <v>161</v>
      </c>
      <c r="E10" s="273" t="s">
        <v>162</v>
      </c>
    </row>
    <row r="11" spans="1:5" s="98" customFormat="1" ht="20.100000000000001" customHeight="1" x14ac:dyDescent="0.25">
      <c r="A11" s="111"/>
      <c r="B11" s="41" t="s">
        <v>163</v>
      </c>
      <c r="C11" s="251">
        <f>SUM(C12,C17,C31,C32,C33,C34,C35,C36)</f>
        <v>12334250</v>
      </c>
      <c r="D11" s="251">
        <f>SUM(D12,D17,D31,D32,D33,D34,D35,D36)</f>
        <v>6237674</v>
      </c>
      <c r="E11" s="251">
        <f>SUM(E12,E17,E31,E32,E33,E34,E35,E36)</f>
        <v>6096576</v>
      </c>
    </row>
    <row r="12" spans="1:5" s="98" customFormat="1" ht="20.100000000000001" customHeight="1" x14ac:dyDescent="0.25">
      <c r="A12" s="101" t="s">
        <v>281</v>
      </c>
      <c r="B12" s="102" t="s">
        <v>516</v>
      </c>
      <c r="C12" s="264">
        <f>SUM(D12:E12)</f>
        <v>2866350</v>
      </c>
      <c r="D12" s="264">
        <f>SUM(D14:D16)</f>
        <v>2009653</v>
      </c>
      <c r="E12" s="264">
        <f>SUM(E14:E16)</f>
        <v>856697</v>
      </c>
    </row>
    <row r="13" spans="1:5" s="107" customFormat="1" x14ac:dyDescent="0.25">
      <c r="A13" s="236"/>
      <c r="B13" s="278" t="s">
        <v>86</v>
      </c>
      <c r="C13" s="474"/>
      <c r="D13" s="474"/>
      <c r="E13" s="474"/>
    </row>
    <row r="14" spans="1:5" x14ac:dyDescent="0.25">
      <c r="A14" s="103">
        <v>1</v>
      </c>
      <c r="B14" s="104" t="s">
        <v>246</v>
      </c>
      <c r="C14" s="475">
        <f>SUM(D14:E14)</f>
        <v>1036350</v>
      </c>
      <c r="D14" s="475">
        <f>'Phụ lục số 2'!N15</f>
        <v>559653</v>
      </c>
      <c r="E14" s="475">
        <f>'Phụ lục số 2'!O15</f>
        <v>476697</v>
      </c>
    </row>
    <row r="15" spans="1:5" x14ac:dyDescent="0.25">
      <c r="A15" s="103">
        <v>2</v>
      </c>
      <c r="B15" s="104" t="s">
        <v>247</v>
      </c>
      <c r="C15" s="475">
        <f>SUM(D15:E15)</f>
        <v>450000</v>
      </c>
      <c r="D15" s="475">
        <f>'Phụ lục số 2'!N16</f>
        <v>70000</v>
      </c>
      <c r="E15" s="475">
        <f>'Phụ lục số 2'!O16</f>
        <v>380000</v>
      </c>
    </row>
    <row r="16" spans="1:5" x14ac:dyDescent="0.25">
      <c r="A16" s="103">
        <v>3</v>
      </c>
      <c r="B16" s="278" t="s">
        <v>387</v>
      </c>
      <c r="C16" s="475">
        <f>SUM(D16:E16)</f>
        <v>1380000</v>
      </c>
      <c r="D16" s="475">
        <f>'Phụ lục số 2'!N17</f>
        <v>1380000</v>
      </c>
      <c r="E16" s="475">
        <f>'Phụ lục số 2'!O17</f>
        <v>0</v>
      </c>
    </row>
    <row r="17" spans="1:5" s="98" customFormat="1" ht="20.100000000000001" customHeight="1" x14ac:dyDescent="0.25">
      <c r="A17" s="101" t="s">
        <v>294</v>
      </c>
      <c r="B17" s="102" t="s">
        <v>515</v>
      </c>
      <c r="C17" s="264">
        <f>SUM(D17:E17)</f>
        <v>7613338</v>
      </c>
      <c r="D17" s="264">
        <f>'Phụ lục số 2'!N19</f>
        <v>2676305</v>
      </c>
      <c r="E17" s="264">
        <f>'Phụ lục số 2'!O19</f>
        <v>4937033</v>
      </c>
    </row>
    <row r="18" spans="1:5" s="14" customFormat="1" x14ac:dyDescent="0.25">
      <c r="A18" s="99"/>
      <c r="B18" s="278" t="s">
        <v>86</v>
      </c>
      <c r="C18" s="261"/>
      <c r="D18" s="261"/>
      <c r="E18" s="261"/>
    </row>
    <row r="19" spans="1:5" x14ac:dyDescent="0.25">
      <c r="A19" s="103">
        <v>1</v>
      </c>
      <c r="B19" s="104" t="s">
        <v>248</v>
      </c>
      <c r="C19" s="475">
        <f t="shared" ref="C19:C30" si="0">SUM(D19:E19)</f>
        <v>3322431</v>
      </c>
      <c r="D19" s="475">
        <f>'Phụ lục số 2'!N24</f>
        <v>691691</v>
      </c>
      <c r="E19" s="475">
        <f>'Phụ lục số 2'!O24</f>
        <v>2630740</v>
      </c>
    </row>
    <row r="20" spans="1:5" x14ac:dyDescent="0.25">
      <c r="A20" s="103">
        <v>2</v>
      </c>
      <c r="B20" s="104" t="s">
        <v>249</v>
      </c>
      <c r="C20" s="475">
        <f t="shared" si="0"/>
        <v>28000</v>
      </c>
      <c r="D20" s="475">
        <f>'Phụ lục số 2'!N23</f>
        <v>28000</v>
      </c>
      <c r="E20" s="475">
        <f>'Phụ lục số 2'!O23</f>
        <v>0</v>
      </c>
    </row>
    <row r="21" spans="1:5" x14ac:dyDescent="0.25">
      <c r="A21" s="103">
        <v>3</v>
      </c>
      <c r="B21" s="104" t="s">
        <v>250</v>
      </c>
      <c r="C21" s="475">
        <f t="shared" si="0"/>
        <v>129921</v>
      </c>
      <c r="D21" s="475">
        <f>'Phụ lục số 2'!N21</f>
        <v>80000</v>
      </c>
      <c r="E21" s="475">
        <f>'Phụ lục số 2'!O21</f>
        <v>49921</v>
      </c>
    </row>
    <row r="22" spans="1:5" x14ac:dyDescent="0.25">
      <c r="A22" s="274">
        <v>4</v>
      </c>
      <c r="B22" s="247" t="s">
        <v>136</v>
      </c>
      <c r="C22" s="475">
        <f t="shared" si="0"/>
        <v>1407216</v>
      </c>
      <c r="D22" s="258">
        <f>'Phụ lục số 2'!N20</f>
        <v>441409</v>
      </c>
      <c r="E22" s="258">
        <f>'Phụ lục số 2'!O20</f>
        <v>965807</v>
      </c>
    </row>
    <row r="23" spans="1:5" x14ac:dyDescent="0.25">
      <c r="A23" s="103">
        <v>5</v>
      </c>
      <c r="B23" s="247" t="s">
        <v>312</v>
      </c>
      <c r="C23" s="475">
        <f t="shared" si="0"/>
        <v>755689</v>
      </c>
      <c r="D23" s="475">
        <f>'Phụ lục số 2'!N25</f>
        <v>755689</v>
      </c>
      <c r="E23" s="475">
        <f>'Phụ lục số 2'!O25</f>
        <v>0</v>
      </c>
    </row>
    <row r="24" spans="1:5" x14ac:dyDescent="0.25">
      <c r="A24" s="274">
        <v>6</v>
      </c>
      <c r="B24" s="247" t="s">
        <v>314</v>
      </c>
      <c r="C24" s="475">
        <f t="shared" si="0"/>
        <v>69066</v>
      </c>
      <c r="D24" s="475">
        <f>'Phụ lục số 2'!N26</f>
        <v>36993</v>
      </c>
      <c r="E24" s="475">
        <f>'Phụ lục số 2'!O26</f>
        <v>32073</v>
      </c>
    </row>
    <row r="25" spans="1:5" x14ac:dyDescent="0.25">
      <c r="A25" s="103">
        <v>7</v>
      </c>
      <c r="B25" s="247" t="s">
        <v>316</v>
      </c>
      <c r="C25" s="475">
        <f t="shared" si="0"/>
        <v>30602</v>
      </c>
      <c r="D25" s="475">
        <f>'Phụ lục số 2'!N27</f>
        <v>5500</v>
      </c>
      <c r="E25" s="475">
        <f>'Phụ lục số 2'!O27</f>
        <v>25102</v>
      </c>
    </row>
    <row r="26" spans="1:5" x14ac:dyDescent="0.25">
      <c r="A26" s="274">
        <v>8</v>
      </c>
      <c r="B26" s="247" t="s">
        <v>318</v>
      </c>
      <c r="C26" s="475">
        <f t="shared" si="0"/>
        <v>32041</v>
      </c>
      <c r="D26" s="475">
        <f>'Phụ lục số 2'!N28</f>
        <v>21283</v>
      </c>
      <c r="E26" s="475">
        <f>'Phụ lục số 2'!O28</f>
        <v>10758</v>
      </c>
    </row>
    <row r="27" spans="1:5" x14ac:dyDescent="0.25">
      <c r="A27" s="103">
        <v>9</v>
      </c>
      <c r="B27" s="247" t="s">
        <v>319</v>
      </c>
      <c r="C27" s="475">
        <f t="shared" si="0"/>
        <v>373408</v>
      </c>
      <c r="D27" s="475">
        <f>'Phụ lục số 2'!N29</f>
        <v>70000</v>
      </c>
      <c r="E27" s="475">
        <f>'Phụ lục số 2'!O29</f>
        <v>303408</v>
      </c>
    </row>
    <row r="28" spans="1:5" x14ac:dyDescent="0.25">
      <c r="A28" s="274">
        <v>10</v>
      </c>
      <c r="B28" s="247" t="s">
        <v>320</v>
      </c>
      <c r="C28" s="258">
        <f t="shared" si="0"/>
        <v>1194942</v>
      </c>
      <c r="D28" s="475">
        <f>'Phụ lục số 2'!N30</f>
        <v>418567</v>
      </c>
      <c r="E28" s="475">
        <f>'Phụ lục số 2'!O30</f>
        <v>776375</v>
      </c>
    </row>
    <row r="29" spans="1:5" x14ac:dyDescent="0.25">
      <c r="A29" s="103">
        <v>11</v>
      </c>
      <c r="B29" s="247" t="s">
        <v>485</v>
      </c>
      <c r="C29" s="258">
        <f t="shared" si="0"/>
        <v>215487</v>
      </c>
      <c r="D29" s="475">
        <f>'Phụ lục số 2'!N31</f>
        <v>102173</v>
      </c>
      <c r="E29" s="475">
        <f>'Phụ lục số 2'!O31</f>
        <v>113314</v>
      </c>
    </row>
    <row r="30" spans="1:5" x14ac:dyDescent="0.25">
      <c r="A30" s="274">
        <v>12</v>
      </c>
      <c r="B30" s="247" t="s">
        <v>384</v>
      </c>
      <c r="C30" s="258">
        <f t="shared" si="0"/>
        <v>54535</v>
      </c>
      <c r="D30" s="475">
        <f>'Phụ lục số 2'!N32</f>
        <v>25000</v>
      </c>
      <c r="E30" s="475">
        <f>'Phụ lục số 2'!O32</f>
        <v>29535</v>
      </c>
    </row>
    <row r="31" spans="1:5" s="98" customFormat="1" ht="20.100000000000001" customHeight="1" x14ac:dyDescent="0.25">
      <c r="A31" s="101" t="s">
        <v>322</v>
      </c>
      <c r="B31" s="149" t="s">
        <v>69</v>
      </c>
      <c r="C31" s="264">
        <f t="shared" ref="C31:C36" si="1">SUM(D31:E31)</f>
        <v>2000</v>
      </c>
      <c r="D31" s="264">
        <f>'Phụ lục số 2'!N33</f>
        <v>2000</v>
      </c>
      <c r="E31" s="264">
        <f>'Phụ lục số 2'!O33</f>
        <v>0</v>
      </c>
    </row>
    <row r="32" spans="1:5" s="98" customFormat="1" ht="20.100000000000001" customHeight="1" x14ac:dyDescent="0.25">
      <c r="A32" s="101" t="s">
        <v>323</v>
      </c>
      <c r="B32" s="102" t="s">
        <v>361</v>
      </c>
      <c r="C32" s="264">
        <f t="shared" si="1"/>
        <v>209077</v>
      </c>
      <c r="D32" s="264">
        <f>'Phụ lục số 2'!N34</f>
        <v>110426</v>
      </c>
      <c r="E32" s="264">
        <f>'Phụ lục số 2'!O34</f>
        <v>98651</v>
      </c>
    </row>
    <row r="33" spans="1:5" s="98" customFormat="1" ht="20.100000000000001" customHeight="1" x14ac:dyDescent="0.25">
      <c r="A33" s="101" t="s">
        <v>346</v>
      </c>
      <c r="B33" s="102" t="s">
        <v>404</v>
      </c>
      <c r="C33" s="264">
        <f t="shared" si="1"/>
        <v>204195</v>
      </c>
      <c r="D33" s="264">
        <f>'Phụ lục số 2'!N36</f>
        <v>0</v>
      </c>
      <c r="E33" s="264">
        <f>'Phụ lục số 2'!O36</f>
        <v>204195</v>
      </c>
    </row>
    <row r="34" spans="1:5" s="98" customFormat="1" ht="20.100000000000001" customHeight="1" x14ac:dyDescent="0.25">
      <c r="A34" s="101" t="s">
        <v>347</v>
      </c>
      <c r="B34" s="45" t="s">
        <v>669</v>
      </c>
      <c r="C34" s="264">
        <f t="shared" si="1"/>
        <v>300</v>
      </c>
      <c r="D34" s="264">
        <f>'Phụ lục số 2'!N38</f>
        <v>300</v>
      </c>
      <c r="E34" s="264">
        <f>'Phụ lục số 2'!O38</f>
        <v>0</v>
      </c>
    </row>
    <row r="35" spans="1:5" s="98" customFormat="1" ht="20.100000000000001" customHeight="1" x14ac:dyDescent="0.25">
      <c r="A35" s="113" t="s">
        <v>389</v>
      </c>
      <c r="B35" s="114" t="s">
        <v>165</v>
      </c>
      <c r="C35" s="264">
        <f t="shared" si="1"/>
        <v>1423990</v>
      </c>
      <c r="D35" s="264">
        <f>'Phụ lục số 2'!N39</f>
        <v>1423990</v>
      </c>
      <c r="E35" s="264">
        <f>'Phụ lục số 2'!O39</f>
        <v>0</v>
      </c>
    </row>
    <row r="36" spans="1:5" ht="25.5" customHeight="1" x14ac:dyDescent="0.25">
      <c r="A36" s="179" t="s">
        <v>390</v>
      </c>
      <c r="B36" s="162" t="s">
        <v>1028</v>
      </c>
      <c r="C36" s="180">
        <f t="shared" si="1"/>
        <v>15000</v>
      </c>
      <c r="D36" s="180">
        <f>'Phụ lục số 2'!N44</f>
        <v>15000</v>
      </c>
      <c r="E36" s="180">
        <f>'Phụ lục số 2'!O44</f>
        <v>0</v>
      </c>
    </row>
    <row r="37" spans="1:5" x14ac:dyDescent="0.25">
      <c r="B37" s="153" t="s">
        <v>325</v>
      </c>
      <c r="C37" s="92"/>
      <c r="D37" s="92"/>
      <c r="E37" s="92"/>
    </row>
    <row r="38" spans="1:5" x14ac:dyDescent="0.25">
      <c r="B38" s="154" t="s">
        <v>167</v>
      </c>
      <c r="C38" s="92"/>
      <c r="D38" s="155">
        <f>'Phụ lục số 5'!E31</f>
        <v>4119360</v>
      </c>
      <c r="E38" s="91" t="s">
        <v>166</v>
      </c>
    </row>
    <row r="39" spans="1:5" x14ac:dyDescent="0.25">
      <c r="B39" s="154" t="s">
        <v>408</v>
      </c>
      <c r="C39" s="92"/>
      <c r="D39" s="154">
        <f>'Phụ lục số 5'!E32</f>
        <v>3464851</v>
      </c>
      <c r="E39" s="92" t="s">
        <v>166</v>
      </c>
    </row>
    <row r="40" spans="1:5" x14ac:dyDescent="0.25">
      <c r="B40" s="154" t="s">
        <v>504</v>
      </c>
      <c r="C40" s="92"/>
      <c r="D40" s="154">
        <f>'Phụ lục số 5'!E34</f>
        <v>317798</v>
      </c>
      <c r="E40" s="92" t="s">
        <v>166</v>
      </c>
    </row>
    <row r="41" spans="1:5" x14ac:dyDescent="0.25">
      <c r="B41" s="154" t="s">
        <v>619</v>
      </c>
      <c r="C41" s="92"/>
      <c r="D41" s="154">
        <f>'Phụ lục số 5'!E35</f>
        <v>195366</v>
      </c>
      <c r="E41" s="92" t="s">
        <v>166</v>
      </c>
    </row>
    <row r="42" spans="1:5" x14ac:dyDescent="0.25">
      <c r="B42" s="154" t="s">
        <v>621</v>
      </c>
      <c r="C42" s="92"/>
      <c r="D42" s="154">
        <f>'Phụ lục số 5'!E36</f>
        <v>5840</v>
      </c>
      <c r="E42" s="92" t="s">
        <v>166</v>
      </c>
    </row>
    <row r="43" spans="1:5" x14ac:dyDescent="0.25">
      <c r="B43" s="154" t="s">
        <v>620</v>
      </c>
      <c r="C43" s="92"/>
      <c r="D43" s="154">
        <f>'Phụ lục số 5'!E37</f>
        <v>91257</v>
      </c>
      <c r="E43" s="92" t="s">
        <v>166</v>
      </c>
    </row>
    <row r="44" spans="1:5" x14ac:dyDescent="0.25">
      <c r="B44" s="154" t="s">
        <v>1058</v>
      </c>
      <c r="C44" s="92"/>
      <c r="D44" s="154">
        <f>'Phụ lục số 5'!E38</f>
        <v>33750</v>
      </c>
      <c r="E44" s="92" t="s">
        <v>166</v>
      </c>
    </row>
    <row r="45" spans="1:5" x14ac:dyDescent="0.25">
      <c r="B45" s="154" t="s">
        <v>1059</v>
      </c>
      <c r="C45" s="92"/>
      <c r="D45" s="154">
        <f>'Phụ lục số 5'!E39</f>
        <v>10498</v>
      </c>
      <c r="E45" s="92" t="s">
        <v>166</v>
      </c>
    </row>
    <row r="46" spans="1:5" ht="15.75" hidden="1" customHeight="1" x14ac:dyDescent="0.25">
      <c r="A46" s="259"/>
      <c r="B46" s="280" t="s">
        <v>418</v>
      </c>
      <c r="C46" s="281"/>
      <c r="D46" s="154">
        <f>'Phụ lục số 5'!E40</f>
        <v>0</v>
      </c>
      <c r="E46" s="281" t="s">
        <v>166</v>
      </c>
    </row>
    <row r="47" spans="1:5" ht="15.75" customHeight="1" x14ac:dyDescent="0.25">
      <c r="B47" s="154" t="s">
        <v>707</v>
      </c>
      <c r="C47" s="281"/>
      <c r="D47" s="280"/>
      <c r="E47" s="281"/>
    </row>
    <row r="48" spans="1:5" x14ac:dyDescent="0.25">
      <c r="B48" s="1088" t="s">
        <v>1060</v>
      </c>
      <c r="C48" s="1088"/>
      <c r="D48" s="1088"/>
      <c r="E48" s="1088"/>
    </row>
    <row r="49" spans="2:5" x14ac:dyDescent="0.25">
      <c r="B49" s="152"/>
      <c r="C49" s="152"/>
      <c r="D49" s="152"/>
      <c r="E49" s="152"/>
    </row>
  </sheetData>
  <customSheetViews>
    <customSheetView guid="{88621519-296E-4458-B04E-813E881018FE}" fitToPage="1" hiddenRows="1" topLeftCell="A4">
      <selection activeCell="A4" sqref="A4:E4"/>
      <pageMargins left="0" right="0" top="0.59055118110236227" bottom="0.59055118110236227" header="0.19685039370078741" footer="0.19685039370078741"/>
      <printOptions horizontalCentered="1"/>
      <pageSetup paperSize="9" scale="93" orientation="portrait" r:id="rId1"/>
      <headerFooter alignWithMargins="0">
        <oddHeader>&amp;R&amp;A</oddHeader>
      </headerFooter>
    </customSheetView>
  </customSheetViews>
  <mergeCells count="10">
    <mergeCell ref="B48:E48"/>
    <mergeCell ref="B1:D1"/>
    <mergeCell ref="B2:D2"/>
    <mergeCell ref="C3:E3"/>
    <mergeCell ref="A5:E5"/>
    <mergeCell ref="A8:A10"/>
    <mergeCell ref="B8:B10"/>
    <mergeCell ref="C8:E8"/>
    <mergeCell ref="C9:C10"/>
    <mergeCell ref="D9:E9"/>
  </mergeCells>
  <phoneticPr fontId="3" type="noConversion"/>
  <printOptions horizontalCentered="1"/>
  <pageMargins left="0.5" right="0.5" top="0.75" bottom="0.25" header="0.25" footer="0.1"/>
  <pageSetup paperSize="9" scale="95" orientation="portrait" r:id="rId2"/>
  <headerFooter alignWithMargins="0">
    <oddHeader>&amp;R&amp;A</oddHead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43" customWidth="1"/>
    <col min="2" max="2" width="44.875" style="248" customWidth="1"/>
    <col min="3" max="7" width="12" style="248" customWidth="1"/>
    <col min="8" max="8" width="15.75" style="248" customWidth="1"/>
    <col min="9" max="16384" width="9" style="248"/>
  </cols>
  <sheetData>
    <row r="1" spans="1:8" x14ac:dyDescent="0.25">
      <c r="A1" s="977" t="s">
        <v>659</v>
      </c>
      <c r="B1" s="977"/>
      <c r="C1" s="977"/>
      <c r="D1" s="977"/>
      <c r="E1" s="977"/>
      <c r="F1" s="977"/>
      <c r="G1" s="977"/>
    </row>
    <row r="4" spans="1:8" x14ac:dyDescent="0.25">
      <c r="A4" s="1024" t="s">
        <v>396</v>
      </c>
      <c r="B4" s="1024" t="s">
        <v>394</v>
      </c>
      <c r="C4" s="1024" t="s">
        <v>648</v>
      </c>
      <c r="D4" s="1024"/>
      <c r="E4" s="1024" t="s">
        <v>649</v>
      </c>
      <c r="F4" s="1024"/>
      <c r="G4" s="1024" t="s">
        <v>650</v>
      </c>
      <c r="H4" s="1024" t="s">
        <v>637</v>
      </c>
    </row>
    <row r="5" spans="1:8" ht="47.25" x14ac:dyDescent="0.25">
      <c r="A5" s="1024"/>
      <c r="B5" s="1024"/>
      <c r="C5" s="444" t="s">
        <v>651</v>
      </c>
      <c r="D5" s="444" t="s">
        <v>652</v>
      </c>
      <c r="E5" s="444" t="s">
        <v>653</v>
      </c>
      <c r="F5" s="444" t="s">
        <v>654</v>
      </c>
      <c r="G5" s="1024"/>
      <c r="H5" s="1024"/>
    </row>
    <row r="6" spans="1:8" x14ac:dyDescent="0.25">
      <c r="A6" s="444">
        <v>1</v>
      </c>
      <c r="B6" s="444">
        <v>2</v>
      </c>
      <c r="C6" s="444">
        <v>3</v>
      </c>
      <c r="D6" s="444">
        <v>4</v>
      </c>
      <c r="E6" s="444">
        <v>5</v>
      </c>
      <c r="F6" s="444">
        <v>6</v>
      </c>
      <c r="G6" s="444">
        <v>7</v>
      </c>
      <c r="H6" s="444">
        <v>8</v>
      </c>
    </row>
    <row r="7" spans="1:8" ht="47.25" x14ac:dyDescent="0.25">
      <c r="A7" s="504">
        <v>1</v>
      </c>
      <c r="B7" s="505" t="s">
        <v>583</v>
      </c>
      <c r="C7" s="506">
        <f>40502-2390.3075</f>
        <v>38111.692499999997</v>
      </c>
      <c r="D7" s="506"/>
      <c r="E7" s="506"/>
      <c r="F7" s="506">
        <f>10653+2760</f>
        <v>13413</v>
      </c>
      <c r="G7" s="506">
        <f t="shared" ref="G7:G12" si="0">+C7+D7-E7-F7</f>
        <v>24698.692499999997</v>
      </c>
      <c r="H7" s="435" t="s">
        <v>655</v>
      </c>
    </row>
    <row r="8" spans="1:8" ht="94.5" x14ac:dyDescent="0.25">
      <c r="A8" s="274">
        <v>2</v>
      </c>
      <c r="B8" s="436" t="s">
        <v>622</v>
      </c>
      <c r="C8" s="507">
        <v>57563.1</v>
      </c>
      <c r="D8" s="507">
        <v>220096</v>
      </c>
      <c r="E8" s="507">
        <v>185647</v>
      </c>
      <c r="F8" s="507">
        <v>85542</v>
      </c>
      <c r="G8" s="507">
        <f t="shared" si="0"/>
        <v>6470.0999999999767</v>
      </c>
      <c r="H8" s="437" t="s">
        <v>656</v>
      </c>
    </row>
    <row r="9" spans="1:8" x14ac:dyDescent="0.25">
      <c r="A9" s="274">
        <v>3</v>
      </c>
      <c r="B9" s="438" t="s">
        <v>584</v>
      </c>
      <c r="C9" s="507">
        <v>22006</v>
      </c>
      <c r="D9" s="507">
        <v>23000</v>
      </c>
      <c r="E9" s="507">
        <v>19374</v>
      </c>
      <c r="F9" s="507"/>
      <c r="G9" s="507">
        <f t="shared" si="0"/>
        <v>25632</v>
      </c>
      <c r="H9" s="437"/>
    </row>
    <row r="10" spans="1:8" ht="31.5" x14ac:dyDescent="0.25">
      <c r="A10" s="274">
        <v>4</v>
      </c>
      <c r="B10" s="438" t="s">
        <v>585</v>
      </c>
      <c r="C10" s="507">
        <v>1765</v>
      </c>
      <c r="D10" s="507">
        <v>1942</v>
      </c>
      <c r="E10" s="507">
        <v>922</v>
      </c>
      <c r="F10" s="507">
        <v>555.44000000000005</v>
      </c>
      <c r="G10" s="507">
        <f t="shared" si="0"/>
        <v>2229.56</v>
      </c>
      <c r="H10" s="437"/>
    </row>
    <row r="11" spans="1:8" ht="31.5" x14ac:dyDescent="0.25">
      <c r="A11" s="274">
        <v>5</v>
      </c>
      <c r="B11" s="438" t="s">
        <v>586</v>
      </c>
      <c r="C11" s="507">
        <v>13710</v>
      </c>
      <c r="D11" s="507">
        <v>16702</v>
      </c>
      <c r="E11" s="507">
        <v>7053</v>
      </c>
      <c r="F11" s="507">
        <v>202</v>
      </c>
      <c r="G11" s="507">
        <f t="shared" si="0"/>
        <v>23157</v>
      </c>
      <c r="H11" s="437" t="s">
        <v>657</v>
      </c>
    </row>
    <row r="12" spans="1:8" ht="63" x14ac:dyDescent="0.25">
      <c r="A12" s="508">
        <v>6</v>
      </c>
      <c r="B12" s="509" t="s">
        <v>587</v>
      </c>
      <c r="C12" s="510">
        <f>890-1385+862-252.6018</f>
        <v>114.3982</v>
      </c>
      <c r="D12" s="510">
        <v>1144</v>
      </c>
      <c r="E12" s="510">
        <v>1175</v>
      </c>
      <c r="F12" s="510">
        <f>560+406</f>
        <v>966</v>
      </c>
      <c r="G12" s="510">
        <f t="shared" si="0"/>
        <v>-882.60179999999991</v>
      </c>
      <c r="H12" s="439" t="s">
        <v>656</v>
      </c>
    </row>
    <row r="13" spans="1:8" x14ac:dyDescent="0.25">
      <c r="A13" s="1097" t="s">
        <v>660</v>
      </c>
      <c r="B13" s="1098"/>
      <c r="C13" s="503">
        <f>SUM(C7:C12)</f>
        <v>133270.19069999998</v>
      </c>
      <c r="D13" s="503">
        <f>SUM(D7:D12)</f>
        <v>262884</v>
      </c>
      <c r="E13" s="503">
        <f>SUM(E7:E12)</f>
        <v>214171</v>
      </c>
      <c r="F13" s="503">
        <f>SUM(F7:F12)</f>
        <v>100678.44</v>
      </c>
      <c r="G13" s="503">
        <f>SUM(G7:G12)</f>
        <v>81304.750699999975</v>
      </c>
      <c r="H13" s="439"/>
    </row>
    <row r="15" spans="1:8" x14ac:dyDescent="0.25">
      <c r="B15" s="1096" t="s">
        <v>658</v>
      </c>
      <c r="C15" s="1096"/>
      <c r="D15" s="1096"/>
      <c r="E15" s="1096"/>
      <c r="F15" s="1096"/>
      <c r="G15" s="1096"/>
    </row>
    <row r="16" spans="1:8" x14ac:dyDescent="0.25">
      <c r="E16" s="511"/>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3" customWidth="1"/>
    <col min="2" max="2" width="34" style="249" customWidth="1"/>
    <col min="3" max="5" width="10.875" style="269" customWidth="1"/>
    <col min="6" max="6" width="10.75" style="269" customWidth="1"/>
    <col min="7" max="7" width="10.625" style="269" customWidth="1"/>
    <col min="8" max="16384" width="9" style="269"/>
  </cols>
  <sheetData>
    <row r="1" spans="1:7" x14ac:dyDescent="0.25">
      <c r="A1" s="12"/>
      <c r="B1" s="566"/>
    </row>
    <row r="2" spans="1:7" ht="41.25" customHeight="1" x14ac:dyDescent="0.25">
      <c r="A2" s="960" t="s">
        <v>814</v>
      </c>
      <c r="B2" s="960"/>
      <c r="C2" s="960"/>
      <c r="D2" s="960"/>
      <c r="E2" s="960"/>
      <c r="F2" s="960"/>
      <c r="G2" s="960"/>
    </row>
    <row r="3" spans="1:7" x14ac:dyDescent="0.25">
      <c r="A3" s="563"/>
      <c r="B3" s="563"/>
    </row>
    <row r="4" spans="1:7" ht="15" customHeight="1" x14ac:dyDescent="0.25">
      <c r="A4" s="14"/>
      <c r="B4" s="1"/>
      <c r="G4" s="34" t="s">
        <v>393</v>
      </c>
    </row>
    <row r="5" spans="1:7" s="39" customFormat="1" ht="20.25" customHeight="1" x14ac:dyDescent="0.25">
      <c r="A5" s="972" t="s">
        <v>272</v>
      </c>
      <c r="B5" s="962" t="s">
        <v>300</v>
      </c>
      <c r="C5" s="974" t="s">
        <v>523</v>
      </c>
      <c r="D5" s="974" t="s">
        <v>779</v>
      </c>
      <c r="E5" s="974" t="s">
        <v>721</v>
      </c>
      <c r="F5" s="962" t="s">
        <v>815</v>
      </c>
      <c r="G5" s="962" t="s">
        <v>816</v>
      </c>
    </row>
    <row r="6" spans="1:7" s="39" customFormat="1" ht="69" customHeight="1" x14ac:dyDescent="0.25">
      <c r="A6" s="973"/>
      <c r="B6" s="964"/>
      <c r="C6" s="975"/>
      <c r="D6" s="975"/>
      <c r="E6" s="975"/>
      <c r="F6" s="964"/>
      <c r="G6" s="964"/>
    </row>
    <row r="7" spans="1:7" s="11" customFormat="1" ht="19.5" customHeight="1" x14ac:dyDescent="0.25">
      <c r="A7" s="30">
        <v>1</v>
      </c>
      <c r="B7" s="30">
        <v>2</v>
      </c>
      <c r="C7" s="31">
        <v>3</v>
      </c>
      <c r="D7" s="599">
        <v>4</v>
      </c>
      <c r="E7" s="599">
        <v>5</v>
      </c>
      <c r="F7" s="599" t="s">
        <v>804</v>
      </c>
      <c r="G7" s="570" t="s">
        <v>805</v>
      </c>
    </row>
    <row r="8" spans="1:7" s="17" customFormat="1" ht="30" customHeight="1" x14ac:dyDescent="0.25">
      <c r="A8" s="600"/>
      <c r="B8" s="601" t="s">
        <v>1029</v>
      </c>
      <c r="C8" s="602">
        <f>SUM(C9,C35,C36)</f>
        <v>11991619</v>
      </c>
      <c r="D8" s="602">
        <f>SUM(D9,D35,D36)</f>
        <v>12300393</v>
      </c>
      <c r="E8" s="602">
        <f>SUM(E9,E35,E36)</f>
        <v>12334250</v>
      </c>
      <c r="F8" s="603">
        <f>D8/C8%</f>
        <v>102.57491503023904</v>
      </c>
      <c r="G8" s="603"/>
    </row>
    <row r="9" spans="1:7" s="17" customFormat="1" ht="30" customHeight="1" x14ac:dyDescent="0.25">
      <c r="A9" s="604" t="s">
        <v>279</v>
      </c>
      <c r="B9" s="602" t="s">
        <v>383</v>
      </c>
      <c r="C9" s="602">
        <f>SUM(C10,C15,C29,C30,C32,C33,C31,C34)</f>
        <v>10173333</v>
      </c>
      <c r="D9" s="602">
        <f>SUM(D10,D15,D29,D30,D32,D33,D31,D34)</f>
        <v>10482107</v>
      </c>
      <c r="E9" s="602">
        <f>SUM(E10,E15,E29,E30,E32,E33,E31,E34)</f>
        <v>10895260</v>
      </c>
      <c r="F9" s="603">
        <f>D9/C9%</f>
        <v>103.03513116104624</v>
      </c>
      <c r="G9" s="603">
        <f t="shared" ref="G9:G29" si="0">E9/C9%</f>
        <v>107.09626825348192</v>
      </c>
    </row>
    <row r="10" spans="1:7" s="11" customFormat="1" ht="20.100000000000001" customHeight="1" x14ac:dyDescent="0.25">
      <c r="A10" s="599" t="s">
        <v>281</v>
      </c>
      <c r="B10" s="605" t="s">
        <v>304</v>
      </c>
      <c r="C10" s="185">
        <f>SUM(C11:C14)</f>
        <v>2756350</v>
      </c>
      <c r="D10" s="185">
        <f>SUM(D11:D14)</f>
        <v>2976350</v>
      </c>
      <c r="E10" s="185">
        <f>SUM(E11:E14)</f>
        <v>2866350</v>
      </c>
      <c r="F10" s="606">
        <f t="shared" ref="F10:F35" si="1">D10/C10%</f>
        <v>107.98156982966604</v>
      </c>
      <c r="G10" s="606">
        <f>E10/C10%</f>
        <v>103.99078491483303</v>
      </c>
    </row>
    <row r="11" spans="1:7" ht="20.100000000000001" customHeight="1" x14ac:dyDescent="0.25">
      <c r="A11" s="607">
        <v>1</v>
      </c>
      <c r="B11" s="321" t="s">
        <v>256</v>
      </c>
      <c r="C11" s="608">
        <f>'Phụ lục số 2'!C15</f>
        <v>1036350</v>
      </c>
      <c r="D11" s="609">
        <f>'Phụ lục số 2'!F15</f>
        <v>1036350</v>
      </c>
      <c r="E11" s="609">
        <f>'Phụ lục số 2'!K15</f>
        <v>1036350</v>
      </c>
      <c r="F11" s="610">
        <f t="shared" si="1"/>
        <v>100</v>
      </c>
      <c r="G11" s="610">
        <f t="shared" si="0"/>
        <v>100</v>
      </c>
    </row>
    <row r="12" spans="1:7" ht="20.100000000000001" customHeight="1" x14ac:dyDescent="0.25">
      <c r="A12" s="607">
        <v>2</v>
      </c>
      <c r="B12" s="321" t="s">
        <v>353</v>
      </c>
      <c r="C12" s="608">
        <f>'Phụ lục số 2'!C16</f>
        <v>450000</v>
      </c>
      <c r="D12" s="609">
        <f>'Phụ lục số 2'!F16</f>
        <v>600000</v>
      </c>
      <c r="E12" s="609">
        <f>'Phụ lục số 2'!K16</f>
        <v>450000</v>
      </c>
      <c r="F12" s="610">
        <f t="shared" si="1"/>
        <v>133.33333333333334</v>
      </c>
      <c r="G12" s="610">
        <f t="shared" si="0"/>
        <v>100</v>
      </c>
    </row>
    <row r="13" spans="1:7" ht="20.100000000000001" customHeight="1" x14ac:dyDescent="0.25">
      <c r="A13" s="607">
        <v>3</v>
      </c>
      <c r="B13" s="247" t="s">
        <v>32</v>
      </c>
      <c r="C13" s="608">
        <f>'Phụ lục số 2'!C17</f>
        <v>1270000</v>
      </c>
      <c r="D13" s="609">
        <f>'Phụ lục số 2'!F17</f>
        <v>1340000</v>
      </c>
      <c r="E13" s="609">
        <f>'Phụ lục số 2'!K17</f>
        <v>1380000</v>
      </c>
      <c r="F13" s="610"/>
      <c r="G13" s="610"/>
    </row>
    <row r="14" spans="1:7" x14ac:dyDescent="0.25">
      <c r="A14" s="607">
        <v>4</v>
      </c>
      <c r="B14" s="321" t="s">
        <v>467</v>
      </c>
      <c r="C14" s="608">
        <f>'Phụ lục số 2'!C18</f>
        <v>0</v>
      </c>
      <c r="D14" s="609">
        <f>'Phụ lục số 2'!F18</f>
        <v>0</v>
      </c>
      <c r="E14" s="609">
        <f>'Phụ lục số 2'!K18</f>
        <v>0</v>
      </c>
      <c r="F14" s="610"/>
      <c r="G14" s="610"/>
    </row>
    <row r="15" spans="1:7" s="11" customFormat="1" x14ac:dyDescent="0.25">
      <c r="A15" s="599" t="s">
        <v>294</v>
      </c>
      <c r="B15" s="605" t="s">
        <v>306</v>
      </c>
      <c r="C15" s="185">
        <f>SUM(C16,C17,C18,C19)</f>
        <v>7131263</v>
      </c>
      <c r="D15" s="185">
        <f>SUM(D16,D17,D18,D19)</f>
        <v>7203490</v>
      </c>
      <c r="E15" s="185">
        <f>SUM(E16,E17,E18,E19)</f>
        <v>7613338</v>
      </c>
      <c r="F15" s="611">
        <f t="shared" si="1"/>
        <v>101.01282199240163</v>
      </c>
      <c r="G15" s="611">
        <f t="shared" si="0"/>
        <v>106.76002273370088</v>
      </c>
    </row>
    <row r="16" spans="1:7" ht="20.100000000000001" customHeight="1" x14ac:dyDescent="0.25">
      <c r="A16" s="607">
        <v>1</v>
      </c>
      <c r="B16" s="321" t="s">
        <v>260</v>
      </c>
      <c r="C16" s="608">
        <f>'Phụ lục số 2'!C24</f>
        <v>3098986</v>
      </c>
      <c r="D16" s="609">
        <f>'Phụ lục số 2'!F24</f>
        <v>3098986</v>
      </c>
      <c r="E16" s="609">
        <f>'Phụ lục số 2'!K24</f>
        <v>3322431</v>
      </c>
      <c r="F16" s="610">
        <f>D16/C16%</f>
        <v>100</v>
      </c>
      <c r="G16" s="610">
        <f t="shared" si="0"/>
        <v>107.21026167914279</v>
      </c>
    </row>
    <row r="17" spans="1:7" ht="20.100000000000001" customHeight="1" x14ac:dyDescent="0.25">
      <c r="A17" s="607">
        <v>2</v>
      </c>
      <c r="B17" s="321" t="s">
        <v>406</v>
      </c>
      <c r="C17" s="608">
        <f>'Phụ lục số 2'!C23</f>
        <v>28000</v>
      </c>
      <c r="D17" s="609">
        <f>'Phụ lục số 2'!F23</f>
        <v>28000</v>
      </c>
      <c r="E17" s="609">
        <f>'Phụ lục số 2'!K23</f>
        <v>28000</v>
      </c>
      <c r="F17" s="610">
        <f t="shared" si="1"/>
        <v>100</v>
      </c>
      <c r="G17" s="610">
        <f t="shared" si="0"/>
        <v>100</v>
      </c>
    </row>
    <row r="18" spans="1:7" ht="20.100000000000001" customHeight="1" x14ac:dyDescent="0.25">
      <c r="A18" s="607">
        <v>3</v>
      </c>
      <c r="B18" s="321" t="s">
        <v>379</v>
      </c>
      <c r="C18" s="608">
        <f>'Phụ lục số 2'!C21</f>
        <v>129921</v>
      </c>
      <c r="D18" s="609">
        <f>'Phụ lục số 2'!F21</f>
        <v>129921</v>
      </c>
      <c r="E18" s="609">
        <f>'Phụ lục số 2'!K21</f>
        <v>129921</v>
      </c>
      <c r="F18" s="610">
        <f t="shared" si="1"/>
        <v>100</v>
      </c>
      <c r="G18" s="610">
        <f t="shared" si="0"/>
        <v>100</v>
      </c>
    </row>
    <row r="19" spans="1:7" ht="20.100000000000001" customHeight="1" x14ac:dyDescent="0.25">
      <c r="A19" s="607">
        <v>4</v>
      </c>
      <c r="B19" s="608" t="s">
        <v>229</v>
      </c>
      <c r="C19" s="608">
        <f>SUM(C20:C28)</f>
        <v>3874356</v>
      </c>
      <c r="D19" s="608">
        <f>SUM(D20:D28)</f>
        <v>3946583</v>
      </c>
      <c r="E19" s="608">
        <f>SUM(E20:E28)</f>
        <v>4132986</v>
      </c>
      <c r="F19" s="610">
        <f t="shared" si="1"/>
        <v>101.86423240404342</v>
      </c>
      <c r="G19" s="610">
        <f t="shared" si="0"/>
        <v>106.67543199437533</v>
      </c>
    </row>
    <row r="20" spans="1:7" ht="20.100000000000001" customHeight="1" x14ac:dyDescent="0.25">
      <c r="A20" s="607" t="s">
        <v>449</v>
      </c>
      <c r="B20" s="608" t="s">
        <v>806</v>
      </c>
      <c r="C20" s="608">
        <f>'Phụ lục số 2'!C25</f>
        <v>715000</v>
      </c>
      <c r="D20" s="608">
        <f>'Phụ lục số 2'!F25</f>
        <v>715000</v>
      </c>
      <c r="E20" s="608">
        <f>'Phụ lục số 2'!K25</f>
        <v>755689</v>
      </c>
      <c r="F20" s="610">
        <f>D20/C20%</f>
        <v>100</v>
      </c>
      <c r="G20" s="610">
        <f t="shared" si="0"/>
        <v>105.69076923076923</v>
      </c>
    </row>
    <row r="21" spans="1:7" ht="20.100000000000001" customHeight="1" x14ac:dyDescent="0.25">
      <c r="A21" s="607" t="s">
        <v>449</v>
      </c>
      <c r="B21" s="608" t="s">
        <v>136</v>
      </c>
      <c r="C21" s="608">
        <f>'Phụ lục số 2'!C20</f>
        <v>1275496</v>
      </c>
      <c r="D21" s="608">
        <f>'Phụ lục số 2'!F20</f>
        <v>1342723</v>
      </c>
      <c r="E21" s="608">
        <f>'Phụ lục số 2'!K20</f>
        <v>1407216</v>
      </c>
      <c r="F21" s="610">
        <f t="shared" si="1"/>
        <v>105.27065549401959</v>
      </c>
      <c r="G21" s="610">
        <f t="shared" si="0"/>
        <v>110.32696300105999</v>
      </c>
    </row>
    <row r="22" spans="1:7" ht="20.100000000000001" customHeight="1" x14ac:dyDescent="0.25">
      <c r="A22" s="607" t="s">
        <v>449</v>
      </c>
      <c r="B22" s="608" t="s">
        <v>807</v>
      </c>
      <c r="C22" s="608">
        <f>'Phụ lục số 2'!C26</f>
        <v>66139</v>
      </c>
      <c r="D22" s="608">
        <f>'Phụ lục số 2'!F26</f>
        <v>66139</v>
      </c>
      <c r="E22" s="608">
        <f>'Phụ lục số 2'!K26</f>
        <v>69066</v>
      </c>
      <c r="F22" s="610">
        <f t="shared" si="1"/>
        <v>100</v>
      </c>
      <c r="G22" s="610">
        <f t="shared" si="0"/>
        <v>104.42552805455178</v>
      </c>
    </row>
    <row r="23" spans="1:7" ht="20.100000000000001" customHeight="1" x14ac:dyDescent="0.25">
      <c r="A23" s="607" t="s">
        <v>449</v>
      </c>
      <c r="B23" s="608" t="s">
        <v>808</v>
      </c>
      <c r="C23" s="608">
        <f>'Phụ lục số 2'!C27</f>
        <v>29871</v>
      </c>
      <c r="D23" s="608">
        <f>'Phụ lục số 2'!F27</f>
        <v>29871</v>
      </c>
      <c r="E23" s="608">
        <f>'Phụ lục số 2'!K27</f>
        <v>30602</v>
      </c>
      <c r="F23" s="610">
        <f t="shared" si="1"/>
        <v>100</v>
      </c>
      <c r="G23" s="610">
        <f t="shared" si="0"/>
        <v>102.44718958186871</v>
      </c>
    </row>
    <row r="24" spans="1:7" ht="20.100000000000001" customHeight="1" x14ac:dyDescent="0.25">
      <c r="A24" s="607" t="s">
        <v>449</v>
      </c>
      <c r="B24" s="608" t="s">
        <v>809</v>
      </c>
      <c r="C24" s="608">
        <f>'Phụ lục số 2'!C28</f>
        <v>28445</v>
      </c>
      <c r="D24" s="608">
        <f>'Phụ lục số 2'!F28</f>
        <v>28445</v>
      </c>
      <c r="E24" s="608">
        <f>'Phụ lục số 2'!K28</f>
        <v>32041</v>
      </c>
      <c r="F24" s="610">
        <f t="shared" si="1"/>
        <v>100</v>
      </c>
      <c r="G24" s="610">
        <f t="shared" si="0"/>
        <v>112.64194058709791</v>
      </c>
    </row>
    <row r="25" spans="1:7" ht="20.100000000000001" customHeight="1" x14ac:dyDescent="0.25">
      <c r="A25" s="607" t="s">
        <v>449</v>
      </c>
      <c r="B25" s="608" t="s">
        <v>810</v>
      </c>
      <c r="C25" s="608">
        <f>'Phụ lục số 2'!C29</f>
        <v>359571</v>
      </c>
      <c r="D25" s="608">
        <f>'Phụ lục số 2'!F29</f>
        <v>359571</v>
      </c>
      <c r="E25" s="608">
        <f>'Phụ lục số 2'!K29</f>
        <v>373408</v>
      </c>
      <c r="F25" s="610">
        <f>D25/C25%</f>
        <v>100</v>
      </c>
      <c r="G25" s="610">
        <f t="shared" si="0"/>
        <v>103.84819687905866</v>
      </c>
    </row>
    <row r="26" spans="1:7" ht="20.100000000000001" customHeight="1" x14ac:dyDescent="0.25">
      <c r="A26" s="607" t="s">
        <v>449</v>
      </c>
      <c r="B26" s="608" t="s">
        <v>811</v>
      </c>
      <c r="C26" s="608">
        <f>'Phụ lục số 2'!C30</f>
        <v>1141145</v>
      </c>
      <c r="D26" s="608">
        <f>'Phụ lục số 2'!F30</f>
        <v>1141145</v>
      </c>
      <c r="E26" s="608">
        <f>'Phụ lục số 2'!K30</f>
        <v>1194942</v>
      </c>
      <c r="F26" s="610">
        <f t="shared" si="1"/>
        <v>100</v>
      </c>
      <c r="G26" s="610">
        <f t="shared" si="0"/>
        <v>104.71430011085357</v>
      </c>
    </row>
    <row r="27" spans="1:7" ht="20.100000000000001" customHeight="1" x14ac:dyDescent="0.25">
      <c r="A27" s="607" t="s">
        <v>449</v>
      </c>
      <c r="B27" s="608" t="s">
        <v>812</v>
      </c>
      <c r="C27" s="608">
        <f>'Phụ lục số 2'!C31</f>
        <v>205014</v>
      </c>
      <c r="D27" s="608">
        <f>'Phụ lục số 2'!F31</f>
        <v>210014</v>
      </c>
      <c r="E27" s="608">
        <f>'Phụ lục số 2'!K31</f>
        <v>215487</v>
      </c>
      <c r="F27" s="610">
        <f t="shared" si="1"/>
        <v>102.43885783409914</v>
      </c>
      <c r="G27" s="610">
        <f t="shared" si="0"/>
        <v>105.10843161930406</v>
      </c>
    </row>
    <row r="28" spans="1:7" ht="20.100000000000001" customHeight="1" x14ac:dyDescent="0.25">
      <c r="A28" s="607" t="s">
        <v>449</v>
      </c>
      <c r="B28" s="608" t="s">
        <v>384</v>
      </c>
      <c r="C28" s="608">
        <f>'Phụ lục số 2'!C32</f>
        <v>53675</v>
      </c>
      <c r="D28" s="608">
        <f>'Phụ lục số 2'!F32</f>
        <v>53675</v>
      </c>
      <c r="E28" s="608">
        <f>'Phụ lục số 2'!K32</f>
        <v>54535</v>
      </c>
      <c r="F28" s="610">
        <f t="shared" si="1"/>
        <v>100</v>
      </c>
      <c r="G28" s="610">
        <f t="shared" si="0"/>
        <v>101.60223567768981</v>
      </c>
    </row>
    <row r="29" spans="1:7" s="11" customFormat="1" x14ac:dyDescent="0.25">
      <c r="A29" s="599" t="s">
        <v>322</v>
      </c>
      <c r="B29" s="185" t="s">
        <v>338</v>
      </c>
      <c r="C29" s="185">
        <f>'Phụ lục số 2'!C33</f>
        <v>2000</v>
      </c>
      <c r="D29" s="185">
        <f>'Phụ lục số 2'!F33</f>
        <v>2000</v>
      </c>
      <c r="E29" s="185">
        <f>'Phụ lục số 2'!K33</f>
        <v>2000</v>
      </c>
      <c r="F29" s="611">
        <f t="shared" si="1"/>
        <v>100</v>
      </c>
      <c r="G29" s="611">
        <f t="shared" si="0"/>
        <v>100</v>
      </c>
    </row>
    <row r="30" spans="1:7" s="11" customFormat="1" x14ac:dyDescent="0.25">
      <c r="A30" s="599" t="s">
        <v>323</v>
      </c>
      <c r="B30" s="185" t="s">
        <v>361</v>
      </c>
      <c r="C30" s="185">
        <f>'Phụ lục số 2'!C34</f>
        <v>199901</v>
      </c>
      <c r="D30" s="185">
        <f>'Phụ lục số 2'!F34</f>
        <v>0</v>
      </c>
      <c r="E30" s="185">
        <f>'Phụ lục số 2'!K34</f>
        <v>209077</v>
      </c>
      <c r="F30" s="611"/>
      <c r="G30" s="611"/>
    </row>
    <row r="31" spans="1:7" s="11" customFormat="1" x14ac:dyDescent="0.25">
      <c r="A31" s="599" t="s">
        <v>346</v>
      </c>
      <c r="B31" s="185" t="s">
        <v>527</v>
      </c>
      <c r="C31" s="185">
        <f>'Phụ lục số 2'!C35</f>
        <v>0</v>
      </c>
      <c r="D31" s="185">
        <f>'Phụ lục số 2'!F35</f>
        <v>140341</v>
      </c>
      <c r="E31" s="185">
        <f>'Phụ lục số 2'!K35</f>
        <v>0</v>
      </c>
      <c r="F31" s="611"/>
      <c r="G31" s="611"/>
    </row>
    <row r="32" spans="1:7" s="11" customFormat="1" x14ac:dyDescent="0.25">
      <c r="A32" s="599" t="s">
        <v>347</v>
      </c>
      <c r="B32" s="185" t="s">
        <v>404</v>
      </c>
      <c r="C32" s="185">
        <f>'Phụ lục số 2'!C36</f>
        <v>83719</v>
      </c>
      <c r="D32" s="185">
        <f>'Phụ lục số 2'!F36</f>
        <v>159826</v>
      </c>
      <c r="E32" s="185">
        <f>'Phụ lục số 2'!K36</f>
        <v>204195</v>
      </c>
      <c r="F32" s="611"/>
      <c r="G32" s="611"/>
    </row>
    <row r="33" spans="1:7" s="11" customFormat="1" x14ac:dyDescent="0.25">
      <c r="A33" s="599" t="s">
        <v>389</v>
      </c>
      <c r="B33" s="185" t="s">
        <v>813</v>
      </c>
      <c r="C33" s="185">
        <f>'Phụ lục số 2'!C37</f>
        <v>0</v>
      </c>
      <c r="D33" s="185">
        <f>'Phụ lục số 2'!F37</f>
        <v>0</v>
      </c>
      <c r="E33" s="185">
        <f>'Phụ lục số 2'!K37</f>
        <v>0</v>
      </c>
      <c r="F33" s="611"/>
      <c r="G33" s="611"/>
    </row>
    <row r="34" spans="1:7" s="11" customFormat="1" x14ac:dyDescent="0.25">
      <c r="A34" s="599" t="s">
        <v>390</v>
      </c>
      <c r="B34" s="185" t="s">
        <v>817</v>
      </c>
      <c r="C34" s="185">
        <f>'Phụ lục số 2'!C38</f>
        <v>100</v>
      </c>
      <c r="D34" s="185">
        <f>'Phụ lục số 2'!F38</f>
        <v>100</v>
      </c>
      <c r="E34" s="185">
        <f>'Phụ lục số 2'!K38</f>
        <v>300</v>
      </c>
      <c r="F34" s="611"/>
      <c r="G34" s="611"/>
    </row>
    <row r="35" spans="1:7" s="11" customFormat="1" ht="18" customHeight="1" x14ac:dyDescent="0.25">
      <c r="A35" s="604" t="s">
        <v>295</v>
      </c>
      <c r="B35" s="602" t="s">
        <v>324</v>
      </c>
      <c r="C35" s="602">
        <f>'Phụ lục số 2'!C39</f>
        <v>1818286</v>
      </c>
      <c r="D35" s="602">
        <f>'Phụ lục số 2'!F39</f>
        <v>1818286</v>
      </c>
      <c r="E35" s="602">
        <f>'Phụ lục số 2'!K39</f>
        <v>1423990</v>
      </c>
      <c r="F35" s="611">
        <f t="shared" si="1"/>
        <v>100</v>
      </c>
      <c r="G35" s="611"/>
    </row>
    <row r="36" spans="1:7" s="17" customFormat="1" x14ac:dyDescent="0.25">
      <c r="A36" s="604" t="s">
        <v>299</v>
      </c>
      <c r="B36" s="602" t="s">
        <v>1028</v>
      </c>
      <c r="C36" s="602">
        <f>'Phụ lục số 2'!C44</f>
        <v>0</v>
      </c>
      <c r="D36" s="602">
        <f>'Phụ lục số 2'!F44</f>
        <v>0</v>
      </c>
      <c r="E36" s="602">
        <f>'Phụ lục số 2'!K44</f>
        <v>15000</v>
      </c>
      <c r="F36" s="611"/>
      <c r="G36" s="611"/>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48" customWidth="1"/>
    <col min="2" max="2" width="39.625" style="248" customWidth="1"/>
    <col min="3" max="3" width="12.5" style="248" customWidth="1"/>
    <col min="4" max="4" width="13.5" style="248" bestFit="1" customWidth="1"/>
    <col min="5" max="5" width="11.875" style="248" customWidth="1"/>
    <col min="6" max="6" width="12.625" style="248" customWidth="1"/>
    <col min="7" max="7" width="13.25" style="248" customWidth="1"/>
    <col min="8" max="16384" width="9" style="248"/>
  </cols>
  <sheetData>
    <row r="1" spans="1:7" x14ac:dyDescent="0.25">
      <c r="A1" s="14"/>
      <c r="B1" s="14" t="s">
        <v>818</v>
      </c>
      <c r="C1" s="977"/>
      <c r="D1" s="977"/>
      <c r="E1" s="977"/>
    </row>
    <row r="2" spans="1:7" x14ac:dyDescent="0.25">
      <c r="A2" s="14"/>
      <c r="B2" s="14" t="s">
        <v>819</v>
      </c>
      <c r="C2" s="977"/>
      <c r="D2" s="977"/>
      <c r="E2" s="977"/>
    </row>
    <row r="3" spans="1:7" x14ac:dyDescent="0.25">
      <c r="A3" s="14"/>
      <c r="B3" s="14"/>
      <c r="C3" s="977"/>
      <c r="D3" s="977"/>
      <c r="E3" s="977"/>
    </row>
    <row r="4" spans="1:7" x14ac:dyDescent="0.25">
      <c r="A4" s="977" t="s">
        <v>830</v>
      </c>
      <c r="B4" s="977"/>
      <c r="C4" s="977"/>
      <c r="D4" s="977"/>
      <c r="E4" s="977"/>
      <c r="F4" s="977"/>
      <c r="G4" s="977"/>
    </row>
    <row r="5" spans="1:7" x14ac:dyDescent="0.25">
      <c r="A5" s="564"/>
      <c r="B5" s="564"/>
      <c r="C5" s="564"/>
      <c r="D5" s="978"/>
      <c r="E5" s="978"/>
    </row>
    <row r="6" spans="1:7" x14ac:dyDescent="0.25">
      <c r="A6" s="564"/>
      <c r="D6" s="976" t="s">
        <v>393</v>
      </c>
      <c r="E6" s="976"/>
    </row>
    <row r="7" spans="1:7" ht="31.5" x14ac:dyDescent="0.25">
      <c r="A7" s="565" t="s">
        <v>326</v>
      </c>
      <c r="B7" s="565" t="s">
        <v>394</v>
      </c>
      <c r="C7" s="565" t="s">
        <v>820</v>
      </c>
      <c r="D7" s="565" t="s">
        <v>831</v>
      </c>
      <c r="E7" s="565" t="s">
        <v>751</v>
      </c>
      <c r="F7" s="565" t="s">
        <v>821</v>
      </c>
      <c r="G7" s="565" t="s">
        <v>832</v>
      </c>
    </row>
    <row r="8" spans="1:7" x14ac:dyDescent="0.25">
      <c r="A8" s="612" t="s">
        <v>279</v>
      </c>
      <c r="B8" s="111" t="s">
        <v>822</v>
      </c>
      <c r="C8" s="21">
        <f>SUM(C9:C10)</f>
        <v>6691300</v>
      </c>
      <c r="D8" s="21">
        <f>SUM(D9:D10)</f>
        <v>6535000</v>
      </c>
      <c r="E8" s="21">
        <f>SUM(E9:E10)</f>
        <v>7085000</v>
      </c>
      <c r="F8" s="21" t="e">
        <f>SUM(F9:F10)</f>
        <v>#REF!</v>
      </c>
      <c r="G8" s="21" t="e">
        <f>SUM(G9:G10)</f>
        <v>#REF!</v>
      </c>
    </row>
    <row r="9" spans="1:7" s="14" customFormat="1" x14ac:dyDescent="0.25">
      <c r="A9" s="89" t="s">
        <v>281</v>
      </c>
      <c r="B9" s="95" t="s">
        <v>282</v>
      </c>
      <c r="C9" s="593">
        <f>'Thu NSNN 2018-2021'!E8</f>
        <v>6625300</v>
      </c>
      <c r="D9" s="593">
        <f>'Thu NSNN 2018-2021'!H8</f>
        <v>6469000</v>
      </c>
      <c r="E9" s="593">
        <f>'Thu NSNN 2018-2021'!K8</f>
        <v>7007000</v>
      </c>
      <c r="F9" s="593" t="e">
        <f>'Thu NSNN 2018-2021'!#REF!</f>
        <v>#REF!</v>
      </c>
      <c r="G9" s="593" t="e">
        <f>'Thu NSNN 2018-2021'!#REF!</f>
        <v>#REF!</v>
      </c>
    </row>
    <row r="10" spans="1:7" s="14" customFormat="1" x14ac:dyDescent="0.25">
      <c r="A10" s="89" t="s">
        <v>294</v>
      </c>
      <c r="B10" s="95" t="s">
        <v>823</v>
      </c>
      <c r="C10" s="593">
        <f>'Thu NSNN 2018-2021'!E27</f>
        <v>66000</v>
      </c>
      <c r="D10" s="593">
        <f>'Thu NSNN 2018-2021'!H27</f>
        <v>66000</v>
      </c>
      <c r="E10" s="593">
        <f>'Thu NSNN 2018-2021'!K27</f>
        <v>78000</v>
      </c>
      <c r="F10" s="593" t="e">
        <f>'Thu NSNN 2018-2021'!#REF!</f>
        <v>#REF!</v>
      </c>
      <c r="G10" s="593" t="e">
        <f>'Thu NSNN 2018-2021'!#REF!</f>
        <v>#REF!</v>
      </c>
    </row>
    <row r="11" spans="1:7" s="168" customFormat="1" x14ac:dyDescent="0.25">
      <c r="A11" s="613" t="s">
        <v>295</v>
      </c>
      <c r="B11" s="614" t="s">
        <v>824</v>
      </c>
      <c r="C11" s="590">
        <f>SUM(C12,C18-C19-C20,C22)</f>
        <v>11991619</v>
      </c>
      <c r="D11" s="590">
        <f>SUM(D12,D18-D19-D20,D22)</f>
        <v>12300393</v>
      </c>
      <c r="E11" s="590">
        <f>SUM(E12,E18-E19-E20,E22)</f>
        <v>12319250</v>
      </c>
      <c r="F11" s="590">
        <f>SUM(F12,F18-F19-F20,F22)</f>
        <v>12143872</v>
      </c>
      <c r="G11" s="590">
        <f>SUM(G12,G18-G19-G20,G22)</f>
        <v>12188650</v>
      </c>
    </row>
    <row r="12" spans="1:7" x14ac:dyDescent="0.25">
      <c r="A12" s="89" t="s">
        <v>281</v>
      </c>
      <c r="B12" s="95" t="s">
        <v>825</v>
      </c>
      <c r="C12" s="593">
        <f>SUM(C13,C17,C19,C21,C20)</f>
        <v>10084246</v>
      </c>
      <c r="D12" s="593">
        <f>SUM(D13,D17,D19,D21,D20)</f>
        <v>10393020</v>
      </c>
      <c r="E12" s="593">
        <f>SUM(E13,E17,E19,E21,E20)</f>
        <v>10714006</v>
      </c>
      <c r="F12" s="593">
        <f>SUM(F13,F17,F19,F21,F20)</f>
        <v>10538628</v>
      </c>
      <c r="G12" s="593">
        <f>SUM(G13,G17,G19,G21,G20)</f>
        <v>10583406</v>
      </c>
    </row>
    <row r="13" spans="1:7" x14ac:dyDescent="0.25">
      <c r="A13" s="315">
        <v>1</v>
      </c>
      <c r="B13" s="316" t="s">
        <v>156</v>
      </c>
      <c r="C13" s="594">
        <f>'Phụ lục số 1'!E12</f>
        <v>5060304</v>
      </c>
      <c r="D13" s="594">
        <f>'Phụ lục số 1'!K12</f>
        <v>5305000</v>
      </c>
      <c r="E13" s="594">
        <f>'Phụ lục số 1'!Q12</f>
        <v>5466580</v>
      </c>
      <c r="F13" s="594">
        <f>'Phụ lục số 1'!W12</f>
        <v>5555000</v>
      </c>
      <c r="G13" s="594">
        <f>'Phụ lục số 1'!AC12</f>
        <v>5736000</v>
      </c>
    </row>
    <row r="14" spans="1:7" s="107" customFormat="1" x14ac:dyDescent="0.25">
      <c r="A14" s="223" t="s">
        <v>307</v>
      </c>
      <c r="B14" s="615" t="s">
        <v>62</v>
      </c>
      <c r="C14" s="616">
        <f>C13-C15</f>
        <v>2383420</v>
      </c>
      <c r="D14" s="616">
        <f>D13-D15</f>
        <v>2764100</v>
      </c>
      <c r="E14" s="616">
        <f>E13-E15</f>
        <v>2563830</v>
      </c>
      <c r="F14" s="616">
        <f>F13-F15</f>
        <v>2582950</v>
      </c>
      <c r="G14" s="616">
        <f>G13-G15</f>
        <v>2597100</v>
      </c>
    </row>
    <row r="15" spans="1:7" s="107" customFormat="1" ht="31.5" x14ac:dyDescent="0.25">
      <c r="A15" s="108" t="s">
        <v>308</v>
      </c>
      <c r="B15" s="109" t="s">
        <v>132</v>
      </c>
      <c r="C15" s="617">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17">
        <f>'Phụ lục số 1'!K16+'Phụ lục số 1'!K17+'Phụ lục số 1'!K18+'Phụ lục số 1'!K23+'Phụ lục số 1'!K24+'Phụ lục số 1'!K30+'Phụ lục số 1'!K31+'Phụ lục số 1'!K36+'Phụ lục số 1'!K37+'Phụ lục số 1'!K38+'Phụ lục số 1'!K45+'Phụ lục số 1'!K46</f>
        <v>2540900</v>
      </c>
      <c r="E15" s="617">
        <f>'Phụ lục số 1'!Q16+'Phụ lục số 1'!Q17+'Phụ lục số 1'!Q18+'Phụ lục số 1'!Q23+'Phụ lục số 1'!Q24+'Phụ lục số 1'!Q30+'Phụ lục số 1'!Q31+'Phụ lục số 1'!Q36+'Phụ lục số 1'!Q37+'Phụ lục số 1'!Q38+'Phụ lục số 1'!Q45+'Phụ lục số 1'!Q46</f>
        <v>2902750</v>
      </c>
      <c r="F15" s="617">
        <f>'Phụ lục số 1'!W16+'Phụ lục số 1'!W17+'Phụ lục số 1'!W18+'Phụ lục số 1'!W23+'Phụ lục số 1'!W24+'Phụ lục số 1'!W30+'Phụ lục số 1'!W31+'Phụ lục số 1'!W36+'Phụ lục số 1'!W37+'Phụ lục số 1'!W38+'Phụ lục số 1'!W45+'Phụ lục số 1'!W46</f>
        <v>2972050</v>
      </c>
      <c r="G15" s="617">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15">
        <v>2</v>
      </c>
      <c r="B16" s="316" t="s">
        <v>64</v>
      </c>
      <c r="C16" s="594">
        <f>SUM(C17:C18)</f>
        <v>6694954</v>
      </c>
      <c r="D16" s="594">
        <f>SUM(D17:D18)</f>
        <v>6759032</v>
      </c>
      <c r="E16" s="594">
        <f>SUM(E17:E18)</f>
        <v>6498723</v>
      </c>
      <c r="F16" s="594">
        <f>SUM(F17:F18)</f>
        <v>6298370</v>
      </c>
      <c r="G16" s="594">
        <f>SUM(G17:G18)</f>
        <v>6298370</v>
      </c>
    </row>
    <row r="17" spans="1:12" s="107" customFormat="1" x14ac:dyDescent="0.25">
      <c r="A17" s="223" t="s">
        <v>307</v>
      </c>
      <c r="B17" s="615" t="s">
        <v>826</v>
      </c>
      <c r="C17" s="616">
        <f>'Phụ lục số 1'!C60</f>
        <v>4693126</v>
      </c>
      <c r="D17" s="616">
        <f>'Phụ lục số 1'!H60</f>
        <v>4693126</v>
      </c>
      <c r="E17" s="616">
        <f>'Phụ lục số 1'!N60</f>
        <v>4693126</v>
      </c>
      <c r="F17" s="616">
        <f>'Phụ lục số 1'!T60</f>
        <v>4693126</v>
      </c>
      <c r="G17" s="616">
        <f>'Phụ lục số 1'!Z60</f>
        <v>4693126</v>
      </c>
    </row>
    <row r="18" spans="1:12" s="107" customFormat="1" x14ac:dyDescent="0.25">
      <c r="A18" s="223" t="s">
        <v>308</v>
      </c>
      <c r="B18" s="615" t="s">
        <v>412</v>
      </c>
      <c r="C18" s="616">
        <f>'Phụ lục số 1'!C61</f>
        <v>2001828</v>
      </c>
      <c r="D18" s="616">
        <f>'Phụ lục số 1'!H61</f>
        <v>2065906</v>
      </c>
      <c r="E18" s="616">
        <f>'Phụ lục số 1'!N61</f>
        <v>1805597</v>
      </c>
      <c r="F18" s="616">
        <f>'Phụ lục số 1'!T61</f>
        <v>1605244</v>
      </c>
      <c r="G18" s="616">
        <f>'Phụ lục số 1'!Z61</f>
        <v>1605244</v>
      </c>
    </row>
    <row r="19" spans="1:12" s="107" customFormat="1" ht="51.75" customHeight="1" x14ac:dyDescent="0.25">
      <c r="A19" s="108" t="s">
        <v>65</v>
      </c>
      <c r="B19" s="109" t="s">
        <v>833</v>
      </c>
      <c r="C19" s="617">
        <f>'Phụ lục số 1'!C65</f>
        <v>94455</v>
      </c>
      <c r="D19" s="617">
        <f>'Phụ lục số 1'!H65</f>
        <v>158533</v>
      </c>
      <c r="E19" s="617">
        <f>'Phụ lục số 1'!N65</f>
        <v>200353</v>
      </c>
      <c r="F19" s="617">
        <f>'Phụ lục số 1'!T65</f>
        <v>0</v>
      </c>
      <c r="G19" s="617">
        <f>'Phụ lục số 1'!Z65</f>
        <v>0</v>
      </c>
    </row>
    <row r="20" spans="1:12" s="107" customFormat="1" x14ac:dyDescent="0.25">
      <c r="A20" s="108" t="s">
        <v>827</v>
      </c>
      <c r="B20" s="109" t="s">
        <v>774</v>
      </c>
      <c r="C20" s="617">
        <f>'[3]Phụ lục số x'!D35</f>
        <v>0</v>
      </c>
      <c r="D20" s="617">
        <f>'[3]Phụ lục số x'!F35</f>
        <v>0</v>
      </c>
      <c r="E20" s="617">
        <f>'[3]Phụ lục số x'!H35</f>
        <v>0</v>
      </c>
      <c r="F20" s="617">
        <f>'[3]Phụ lục số x'!L35</f>
        <v>0</v>
      </c>
      <c r="G20" s="617">
        <f>'[3]Phụ lục số x'!M35</f>
        <v>0</v>
      </c>
    </row>
    <row r="21" spans="1:12" x14ac:dyDescent="0.25">
      <c r="A21" s="315">
        <v>3</v>
      </c>
      <c r="B21" s="316" t="s">
        <v>392</v>
      </c>
      <c r="C21" s="594">
        <f>'Phụ lục số 1'!C66</f>
        <v>236361</v>
      </c>
      <c r="D21" s="594">
        <f>'Phụ lục số 1'!H66</f>
        <v>236361</v>
      </c>
      <c r="E21" s="594">
        <f>'Phụ lục số 1'!N66</f>
        <v>353947</v>
      </c>
      <c r="F21" s="594">
        <f>'Phụ lục số 1'!T66</f>
        <v>290502</v>
      </c>
      <c r="G21" s="594">
        <f>'Phụ lục số 1'!Z66</f>
        <v>154280</v>
      </c>
    </row>
    <row r="22" spans="1:12" x14ac:dyDescent="0.25">
      <c r="A22" s="89" t="s">
        <v>294</v>
      </c>
      <c r="B22" s="95" t="s">
        <v>413</v>
      </c>
      <c r="C22" s="593"/>
      <c r="D22" s="593"/>
      <c r="E22" s="593"/>
      <c r="F22" s="593"/>
      <c r="G22" s="593"/>
    </row>
    <row r="23" spans="1:12" s="168" customFormat="1" x14ac:dyDescent="0.25">
      <c r="A23" s="613" t="s">
        <v>299</v>
      </c>
      <c r="B23" s="614" t="s">
        <v>828</v>
      </c>
      <c r="C23" s="590">
        <f>SUM(C24,C33:C33,C34)</f>
        <v>11991619</v>
      </c>
      <c r="D23" s="590">
        <f>SUM(D24,D33:D33,D34)</f>
        <v>12300393</v>
      </c>
      <c r="E23" s="590">
        <f>SUM(E24,E33:E33,E34)</f>
        <v>12319250</v>
      </c>
      <c r="F23" s="590">
        <f>SUM(F24,F33:F33,F34)</f>
        <v>12143872</v>
      </c>
      <c r="G23" s="590">
        <f>SUM(G24,G33:G33,G34)</f>
        <v>12188650</v>
      </c>
    </row>
    <row r="24" spans="1:12" x14ac:dyDescent="0.25">
      <c r="A24" s="89" t="s">
        <v>281</v>
      </c>
      <c r="B24" s="95" t="s">
        <v>383</v>
      </c>
      <c r="C24" s="593">
        <f>SUM(C25:C32)</f>
        <v>10173333</v>
      </c>
      <c r="D24" s="593">
        <f>SUM(D25:D32)</f>
        <v>10482107</v>
      </c>
      <c r="E24" s="593">
        <f>SUM(E25:E32)</f>
        <v>10895260</v>
      </c>
      <c r="F24" s="593">
        <f>SUM(F25:F32)</f>
        <v>10719882</v>
      </c>
      <c r="G24" s="593">
        <f>SUM(G25:G32)</f>
        <v>10764660</v>
      </c>
      <c r="H24" s="249"/>
      <c r="I24" s="249"/>
      <c r="J24" s="249"/>
      <c r="K24" s="249"/>
      <c r="L24" s="249"/>
    </row>
    <row r="25" spans="1:12" x14ac:dyDescent="0.25">
      <c r="A25" s="315">
        <v>1</v>
      </c>
      <c r="B25" s="316" t="s">
        <v>68</v>
      </c>
      <c r="C25" s="594">
        <f>'Phụ lục số 2'!C14</f>
        <v>2756350</v>
      </c>
      <c r="D25" s="594">
        <f>'Phụ lục số 2'!F14</f>
        <v>2976350</v>
      </c>
      <c r="E25" s="594">
        <f>'Phụ lục số 2'!K14</f>
        <v>2866350</v>
      </c>
      <c r="F25" s="594">
        <f>'Phụ lục số 2'!P14</f>
        <v>2886350</v>
      </c>
      <c r="G25" s="594">
        <f>'Phụ lục số 2'!U14</f>
        <v>2886350</v>
      </c>
    </row>
    <row r="26" spans="1:12" x14ac:dyDescent="0.25">
      <c r="A26" s="315">
        <v>2</v>
      </c>
      <c r="B26" s="316" t="s">
        <v>333</v>
      </c>
      <c r="C26" s="594">
        <f>'Phụ lục số 2'!C19</f>
        <v>7131263</v>
      </c>
      <c r="D26" s="594">
        <f>'Phụ lục số 2'!F19</f>
        <v>7203490</v>
      </c>
      <c r="E26" s="594">
        <f>'Phụ lục số 2'!K19</f>
        <v>7613338</v>
      </c>
      <c r="F26" s="594">
        <f>'Phụ lục số 2'!P19</f>
        <v>7622455</v>
      </c>
      <c r="G26" s="594">
        <f>'Phụ lục số 2'!U19</f>
        <v>7667233</v>
      </c>
    </row>
    <row r="27" spans="1:12" x14ac:dyDescent="0.25">
      <c r="A27" s="315">
        <v>3</v>
      </c>
      <c r="B27" s="316" t="s">
        <v>69</v>
      </c>
      <c r="C27" s="594">
        <f>'Phụ lục số 2'!C33</f>
        <v>2000</v>
      </c>
      <c r="D27" s="594">
        <f>'Phụ lục số 2'!F33</f>
        <v>2000</v>
      </c>
      <c r="E27" s="594">
        <f>'Phụ lục số 2'!K33</f>
        <v>2000</v>
      </c>
      <c r="F27" s="594">
        <f>'Phụ lục số 2'!P33</f>
        <v>2000</v>
      </c>
      <c r="G27" s="594">
        <f>'Phụ lục số 2'!U33</f>
        <v>2000</v>
      </c>
    </row>
    <row r="28" spans="1:12" x14ac:dyDescent="0.25">
      <c r="A28" s="315">
        <v>4</v>
      </c>
      <c r="B28" s="316" t="s">
        <v>361</v>
      </c>
      <c r="C28" s="594">
        <f>'Phụ lục số 2'!C34</f>
        <v>199901</v>
      </c>
      <c r="D28" s="594">
        <f>'Phụ lục số 2'!F34</f>
        <v>0</v>
      </c>
      <c r="E28" s="594">
        <f>'Phụ lục số 2'!K34</f>
        <v>209077</v>
      </c>
      <c r="F28" s="594">
        <f>'Phụ lục số 2'!P34</f>
        <v>209077</v>
      </c>
      <c r="G28" s="594">
        <f>'Phụ lục số 2'!U34</f>
        <v>209077</v>
      </c>
    </row>
    <row r="29" spans="1:12" ht="28.5" customHeight="1" x14ac:dyDescent="0.25">
      <c r="A29" s="315">
        <v>5</v>
      </c>
      <c r="B29" s="317" t="s">
        <v>527</v>
      </c>
      <c r="C29" s="594">
        <f>'Phụ lục số 2'!C35</f>
        <v>0</v>
      </c>
      <c r="D29" s="594">
        <f>'Phụ lục số 2'!F35</f>
        <v>140341</v>
      </c>
      <c r="E29" s="594">
        <f>'Phụ lục số 2'!K35</f>
        <v>0</v>
      </c>
      <c r="F29" s="594">
        <f>'Phụ lục số 2'!P35</f>
        <v>0</v>
      </c>
      <c r="G29" s="594">
        <f>'Phụ lục số 2'!U35</f>
        <v>0</v>
      </c>
    </row>
    <row r="30" spans="1:12" x14ac:dyDescent="0.25">
      <c r="A30" s="315">
        <v>6</v>
      </c>
      <c r="B30" s="316" t="s">
        <v>404</v>
      </c>
      <c r="C30" s="594">
        <f>'Phụ lục số 2'!C36</f>
        <v>83719</v>
      </c>
      <c r="D30" s="594">
        <f>'Phụ lục số 2'!F36</f>
        <v>159826</v>
      </c>
      <c r="E30" s="594">
        <f>'Phụ lục số 2'!K36</f>
        <v>204195</v>
      </c>
      <c r="F30" s="594">
        <f>'Phụ lục số 2'!P36</f>
        <v>0</v>
      </c>
      <c r="G30" s="594">
        <f>'Phụ lục số 2'!U36</f>
        <v>0</v>
      </c>
    </row>
    <row r="31" spans="1:12" x14ac:dyDescent="0.25">
      <c r="A31" s="315">
        <v>7</v>
      </c>
      <c r="B31" s="316" t="s">
        <v>829</v>
      </c>
      <c r="C31" s="594">
        <f>'Phụ lục số 2'!C37</f>
        <v>0</v>
      </c>
      <c r="D31" s="594">
        <f>'Phụ lục số 2'!F37</f>
        <v>0</v>
      </c>
      <c r="E31" s="594">
        <f>'Phụ lục số 2'!K37</f>
        <v>0</v>
      </c>
      <c r="F31" s="594">
        <f>'Phụ lục số 2'!P37</f>
        <v>0</v>
      </c>
      <c r="G31" s="594">
        <f>'Phụ lục số 2'!U37</f>
        <v>0</v>
      </c>
    </row>
    <row r="32" spans="1:12" x14ac:dyDescent="0.25">
      <c r="A32" s="315">
        <v>8</v>
      </c>
      <c r="B32" s="316" t="s">
        <v>834</v>
      </c>
      <c r="C32" s="594">
        <f>'Phụ lục số 2'!C38</f>
        <v>100</v>
      </c>
      <c r="D32" s="594">
        <f>'Phụ lục số 2'!F38</f>
        <v>100</v>
      </c>
      <c r="E32" s="594">
        <f>'Phụ lục số 2'!K38</f>
        <v>300</v>
      </c>
      <c r="F32" s="594">
        <f>'Phụ lục số 2'!P38</f>
        <v>0</v>
      </c>
      <c r="G32" s="594">
        <f>'Phụ lục số 2'!U38</f>
        <v>0</v>
      </c>
    </row>
    <row r="33" spans="1:7" x14ac:dyDescent="0.25">
      <c r="A33" s="89" t="s">
        <v>294</v>
      </c>
      <c r="B33" s="90" t="s">
        <v>70</v>
      </c>
      <c r="C33" s="593">
        <f>'Phụ lục số 2'!C39</f>
        <v>1818286</v>
      </c>
      <c r="D33" s="593">
        <f>'Phụ lục số 2'!F39</f>
        <v>1818286</v>
      </c>
      <c r="E33" s="593">
        <f>'Phụ lục số 2'!K39</f>
        <v>1423990</v>
      </c>
      <c r="F33" s="593">
        <f>'Phụ lục số 2'!P39</f>
        <v>1423990</v>
      </c>
      <c r="G33" s="593">
        <f>'Phụ lục số 2'!U39</f>
        <v>1423990</v>
      </c>
    </row>
    <row r="34" spans="1:7" x14ac:dyDescent="0.25">
      <c r="A34" s="618" t="s">
        <v>323</v>
      </c>
      <c r="B34" s="619" t="s">
        <v>270</v>
      </c>
      <c r="C34" s="620"/>
      <c r="D34" s="620"/>
      <c r="E34" s="620"/>
      <c r="F34" s="620"/>
      <c r="G34" s="620"/>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499" customWidth="1"/>
    <col min="2" max="2" width="56.875" style="499" customWidth="1"/>
    <col min="3" max="3" width="14.75" style="499" customWidth="1"/>
    <col min="4" max="5" width="11" style="499" customWidth="1"/>
    <col min="6" max="16384" width="9" style="499"/>
  </cols>
  <sheetData>
    <row r="2" spans="1:11" ht="33.75" customHeight="1" x14ac:dyDescent="0.2">
      <c r="A2" s="979" t="s">
        <v>761</v>
      </c>
      <c r="B2" s="979"/>
      <c r="C2" s="979"/>
      <c r="D2" s="979"/>
      <c r="E2" s="979"/>
    </row>
    <row r="4" spans="1:11" ht="15.75" x14ac:dyDescent="0.25">
      <c r="C4" s="500" t="s">
        <v>393</v>
      </c>
    </row>
    <row r="5" spans="1:11" ht="47.25" customHeight="1" x14ac:dyDescent="0.2">
      <c r="A5" s="327" t="s">
        <v>396</v>
      </c>
      <c r="B5" s="327" t="s">
        <v>258</v>
      </c>
      <c r="C5" s="327" t="s">
        <v>276</v>
      </c>
      <c r="D5" s="327" t="s">
        <v>262</v>
      </c>
      <c r="E5" s="327" t="s">
        <v>263</v>
      </c>
    </row>
    <row r="6" spans="1:11" ht="15.75" x14ac:dyDescent="0.2">
      <c r="A6" s="328"/>
      <c r="B6" s="328"/>
      <c r="C6" s="328"/>
      <c r="D6" s="328"/>
      <c r="E6" s="328"/>
    </row>
    <row r="7" spans="1:11" s="501" customFormat="1" ht="30" customHeight="1" x14ac:dyDescent="0.25">
      <c r="A7" s="329"/>
      <c r="B7" s="330" t="s">
        <v>633</v>
      </c>
      <c r="C7" s="429">
        <f>SUM(C8,C13,C18,C19,C20,C21)</f>
        <v>721727</v>
      </c>
      <c r="D7" s="429">
        <f>SUM(D8,D13,D18,D19,D20,D21)</f>
        <v>300876</v>
      </c>
      <c r="E7" s="429">
        <f>SUM(E8,E13,E18,E19,E20,E21)</f>
        <v>420851</v>
      </c>
      <c r="F7" s="746">
        <f>G7+H7</f>
        <v>406276</v>
      </c>
      <c r="G7" s="746">
        <f>'Phụ lục số 3-thu bs'!V7</f>
        <v>293046</v>
      </c>
      <c r="H7" s="746">
        <f>'Phụ lục số 3-thu bs'!W7</f>
        <v>113230</v>
      </c>
      <c r="I7" s="746">
        <f>J7+K7</f>
        <v>-315451</v>
      </c>
      <c r="J7" s="746">
        <f>G7-D7</f>
        <v>-7830</v>
      </c>
      <c r="K7" s="746">
        <f>H7-E7</f>
        <v>-307621</v>
      </c>
    </row>
    <row r="8" spans="1:11" s="502" customFormat="1" ht="30" customHeight="1" x14ac:dyDescent="0.2">
      <c r="A8" s="427" t="s">
        <v>281</v>
      </c>
      <c r="B8" s="428" t="s">
        <v>259</v>
      </c>
      <c r="C8" s="430">
        <f>SUM(C9:C12)</f>
        <v>110000</v>
      </c>
      <c r="D8" s="430">
        <f>SUM(D9:D12)</f>
        <v>130000</v>
      </c>
      <c r="E8" s="430">
        <f>SUM(E9:E12)</f>
        <v>-20000</v>
      </c>
    </row>
    <row r="9" spans="1:11" ht="30" customHeight="1" x14ac:dyDescent="0.2">
      <c r="A9" s="334">
        <v>1</v>
      </c>
      <c r="B9" s="331" t="s">
        <v>256</v>
      </c>
      <c r="C9" s="411">
        <f>D9+E9</f>
        <v>0</v>
      </c>
      <c r="D9" s="411">
        <f>'Phụ lục số 3-thu bs'!J20-'Phụ lục số 3-thu bs'!D20</f>
        <v>0</v>
      </c>
      <c r="E9" s="411">
        <f>'Phụ lục số 3-thu bs'!K20-'Phụ lục số 3-thu bs'!E20</f>
        <v>0</v>
      </c>
    </row>
    <row r="10" spans="1:11" ht="30" customHeight="1" x14ac:dyDescent="0.2">
      <c r="A10" s="334">
        <v>2</v>
      </c>
      <c r="B10" s="331" t="s">
        <v>353</v>
      </c>
      <c r="C10" s="411">
        <f>D10+E10</f>
        <v>0</v>
      </c>
      <c r="D10" s="411">
        <f>'Phụ lục số 3-thu bs'!J21-'Phụ lục số 3-thu bs'!D21</f>
        <v>20000</v>
      </c>
      <c r="E10" s="411">
        <f>'Phụ lục số 3-thu bs'!K21-'Phụ lục số 3-thu bs'!E21</f>
        <v>-20000</v>
      </c>
    </row>
    <row r="11" spans="1:11" ht="30" customHeight="1" x14ac:dyDescent="0.2">
      <c r="A11" s="334">
        <v>3</v>
      </c>
      <c r="B11" s="331" t="s">
        <v>32</v>
      </c>
      <c r="C11" s="411">
        <f>D11+E11</f>
        <v>110000</v>
      </c>
      <c r="D11" s="411">
        <f>'Phụ lục số 3-thu bs'!J22-'Phụ lục số 3-thu bs'!D22</f>
        <v>110000</v>
      </c>
      <c r="E11" s="411">
        <f>'Phụ lục số 3-thu bs'!K22-'Phụ lục số 3-thu bs'!E22</f>
        <v>0</v>
      </c>
    </row>
    <row r="12" spans="1:11" ht="30" customHeight="1" x14ac:dyDescent="0.2">
      <c r="A12" s="334">
        <v>3</v>
      </c>
      <c r="B12" s="331" t="s">
        <v>543</v>
      </c>
      <c r="C12" s="411">
        <f>D12+E12</f>
        <v>0</v>
      </c>
      <c r="D12" s="411">
        <f>'Phụ lục số 3-thu bs'!J23-'Phụ lục số 3-thu bs'!D23</f>
        <v>0</v>
      </c>
      <c r="E12" s="411">
        <f>'Phụ lục số 3-thu bs'!K23-'Phụ lục số 3-thu bs'!E23</f>
        <v>0</v>
      </c>
    </row>
    <row r="13" spans="1:11" s="502" customFormat="1" ht="30" customHeight="1" x14ac:dyDescent="0.2">
      <c r="A13" s="427" t="s">
        <v>294</v>
      </c>
      <c r="B13" s="428" t="s">
        <v>631</v>
      </c>
      <c r="C13" s="430">
        <f>SUM(C14:C17)</f>
        <v>482075</v>
      </c>
      <c r="D13" s="430">
        <f>'Phụ lục số 3-thu bs'!J24-'Phụ lục số 3-thu bs'!D24</f>
        <v>165025</v>
      </c>
      <c r="E13" s="430">
        <f>'Phụ lục số 3-thu bs'!K24-'Phụ lục số 3-thu bs'!E24</f>
        <v>317050</v>
      </c>
    </row>
    <row r="14" spans="1:11" ht="30" customHeight="1" x14ac:dyDescent="0.2">
      <c r="A14" s="334">
        <v>1</v>
      </c>
      <c r="B14" s="331" t="s">
        <v>260</v>
      </c>
      <c r="C14" s="411">
        <f>D14+E14</f>
        <v>223445</v>
      </c>
      <c r="D14" s="431">
        <f>'Phụ lục số 3-thu bs'!J25-'Phụ lục số 3-thu bs'!D25</f>
        <v>51424</v>
      </c>
      <c r="E14" s="431">
        <f>'Phụ lục số 3-thu bs'!K25-'Phụ lục số 3-thu bs'!E25</f>
        <v>172021</v>
      </c>
    </row>
    <row r="15" spans="1:11" ht="30" customHeight="1" x14ac:dyDescent="0.2">
      <c r="A15" s="334">
        <v>2</v>
      </c>
      <c r="B15" s="331" t="s">
        <v>406</v>
      </c>
      <c r="C15" s="411">
        <f t="shared" ref="C15:C21" si="0">D15+E15</f>
        <v>0</v>
      </c>
      <c r="D15" s="432">
        <f>'Phụ lục số 3-thu bs'!J26-'Phụ lục số 3-thu bs'!D26</f>
        <v>0</v>
      </c>
      <c r="E15" s="432">
        <f>'Phụ lục số 3-thu bs'!K26-'Phụ lục số 3-thu bs'!E26</f>
        <v>0</v>
      </c>
    </row>
    <row r="16" spans="1:11" ht="30" customHeight="1" x14ac:dyDescent="0.2">
      <c r="A16" s="334">
        <v>3</v>
      </c>
      <c r="B16" s="331" t="s">
        <v>379</v>
      </c>
      <c r="C16" s="411">
        <f t="shared" si="0"/>
        <v>0</v>
      </c>
      <c r="D16" s="432">
        <f>'Phụ lục số 3-thu bs'!J27-'Phụ lục số 3-thu bs'!D27</f>
        <v>0</v>
      </c>
      <c r="E16" s="432">
        <f>'Phụ lục số 3-thu bs'!K27-'Phụ lục số 3-thu bs'!E27</f>
        <v>0</v>
      </c>
    </row>
    <row r="17" spans="1:5" ht="30" customHeight="1" x14ac:dyDescent="0.2">
      <c r="A17" s="334">
        <v>4</v>
      </c>
      <c r="B17" s="331" t="s">
        <v>229</v>
      </c>
      <c r="C17" s="411">
        <f t="shared" si="0"/>
        <v>258630</v>
      </c>
      <c r="D17" s="431">
        <f>'Phụ lục số 3-thu bs'!J28-'Phụ lục số 3-thu bs'!D28</f>
        <v>113601</v>
      </c>
      <c r="E17" s="431">
        <f>'Phụ lục số 3-thu bs'!K28-'Phụ lục số 3-thu bs'!E28</f>
        <v>145029</v>
      </c>
    </row>
    <row r="18" spans="1:5" s="502" customFormat="1" ht="30" customHeight="1" x14ac:dyDescent="0.2">
      <c r="A18" s="427" t="s">
        <v>322</v>
      </c>
      <c r="B18" s="428" t="s">
        <v>338</v>
      </c>
      <c r="C18" s="433">
        <f t="shared" si="0"/>
        <v>0</v>
      </c>
      <c r="D18" s="433">
        <f>'Phụ lục số 3-thu bs'!J32-'Phụ lục số 3-thu bs'!D32</f>
        <v>0</v>
      </c>
      <c r="E18" s="433">
        <f>'Phụ lục số 3-thu bs'!K32-'Phụ lục số 3-thu bs'!E32</f>
        <v>0</v>
      </c>
    </row>
    <row r="19" spans="1:5" s="502" customFormat="1" ht="30" customHeight="1" x14ac:dyDescent="0.2">
      <c r="A19" s="427" t="s">
        <v>323</v>
      </c>
      <c r="B19" s="428" t="s">
        <v>261</v>
      </c>
      <c r="C19" s="433">
        <f t="shared" si="0"/>
        <v>9176</v>
      </c>
      <c r="D19" s="433">
        <f>'Phụ lục số 3-thu bs'!J33-'Phụ lục số 3-thu bs'!D33</f>
        <v>5851</v>
      </c>
      <c r="E19" s="433">
        <f>'Phụ lục số 3-thu bs'!K33-'Phụ lục số 3-thu bs'!E33</f>
        <v>3325</v>
      </c>
    </row>
    <row r="20" spans="1:5" s="502" customFormat="1" ht="30" customHeight="1" x14ac:dyDescent="0.2">
      <c r="A20" s="427" t="s">
        <v>346</v>
      </c>
      <c r="B20" s="428" t="s">
        <v>963</v>
      </c>
      <c r="C20" s="433">
        <f t="shared" si="0"/>
        <v>0</v>
      </c>
      <c r="D20" s="433">
        <f>'Phụ lục số 2'!N35-'Phụ lục số 2'!D35</f>
        <v>0</v>
      </c>
      <c r="E20" s="433">
        <f>'Phụ lục số 2'!O35-'Phụ lục số 2'!E35</f>
        <v>0</v>
      </c>
    </row>
    <row r="21" spans="1:5" s="502" customFormat="1" ht="30" customHeight="1" x14ac:dyDescent="0.2">
      <c r="A21" s="427" t="s">
        <v>347</v>
      </c>
      <c r="B21" s="428" t="s">
        <v>632</v>
      </c>
      <c r="C21" s="433">
        <f t="shared" si="0"/>
        <v>120476</v>
      </c>
      <c r="D21" s="433">
        <f>'Phụ lục số 3-thu bs'!J30-'Phụ lục số 3-thu bs'!D30</f>
        <v>0</v>
      </c>
      <c r="E21" s="433">
        <f>'Phụ lục số 3-thu bs'!K30-'Phụ lục số 3-thu bs'!E30</f>
        <v>120476</v>
      </c>
    </row>
    <row r="22" spans="1:5" ht="15.75" x14ac:dyDescent="0.2">
      <c r="A22" s="332"/>
      <c r="B22" s="333"/>
      <c r="C22" s="434"/>
      <c r="D22" s="434"/>
      <c r="E22" s="434"/>
    </row>
    <row r="25" spans="1:5" x14ac:dyDescent="0.2">
      <c r="C25" s="514">
        <f>'Phụ lục số 3'!U7</f>
        <v>406276</v>
      </c>
    </row>
    <row r="26" spans="1:5" x14ac:dyDescent="0.2">
      <c r="C26" s="514">
        <f>'Phụ lục số 1'!N64-'Phụ lục số 2'!K42</f>
        <v>181254</v>
      </c>
    </row>
    <row r="27" spans="1:5" x14ac:dyDescent="0.2">
      <c r="C27" s="514">
        <f>'Phụ lục số 1'!N65</f>
        <v>200353</v>
      </c>
    </row>
    <row r="28" spans="1:5" x14ac:dyDescent="0.2">
      <c r="C28" s="514">
        <f>'Phụ lục số 1'!N66</f>
        <v>353947</v>
      </c>
    </row>
    <row r="29" spans="1:5" x14ac:dyDescent="0.2">
      <c r="C29" s="514">
        <f>SUM(C25:C28)</f>
        <v>1141830</v>
      </c>
    </row>
    <row r="30" spans="1:5" x14ac:dyDescent="0.2">
      <c r="C30" s="514">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43"/>
    <col min="2" max="2" width="42" style="248" customWidth="1"/>
    <col min="3" max="5" width="10.625" style="248" customWidth="1"/>
    <col min="6" max="8" width="0" style="248" hidden="1" customWidth="1"/>
    <col min="9" max="16384" width="9" style="248"/>
  </cols>
  <sheetData>
    <row r="1" spans="1:7" x14ac:dyDescent="0.25">
      <c r="A1" s="977" t="s">
        <v>1064</v>
      </c>
      <c r="B1" s="977"/>
      <c r="C1" s="977"/>
      <c r="D1" s="977"/>
      <c r="E1" s="977"/>
    </row>
    <row r="2" spans="1:7" x14ac:dyDescent="0.25">
      <c r="A2" s="445"/>
      <c r="B2" s="445"/>
      <c r="C2" s="445"/>
      <c r="D2" s="445"/>
      <c r="E2" s="148" t="s">
        <v>393</v>
      </c>
    </row>
    <row r="3" spans="1:7" s="168" customFormat="1" x14ac:dyDescent="0.25">
      <c r="A3" s="219" t="s">
        <v>281</v>
      </c>
      <c r="B3" s="220" t="s">
        <v>628</v>
      </c>
      <c r="C3" s="446">
        <f>SUM(C4:C6)</f>
        <v>12300393</v>
      </c>
      <c r="D3" s="446">
        <f>SUM(D4:D6)</f>
        <v>10346285</v>
      </c>
      <c r="E3" s="446">
        <f>SUM(E4:E6)</f>
        <v>1954108</v>
      </c>
    </row>
    <row r="4" spans="1:7" s="168" customFormat="1" x14ac:dyDescent="0.25">
      <c r="A4" s="221">
        <v>1</v>
      </c>
      <c r="B4" s="167" t="s">
        <v>331</v>
      </c>
      <c r="C4" s="447">
        <f t="shared" ref="C4:C7" si="0">D4+E4</f>
        <v>5305000</v>
      </c>
      <c r="D4" s="447">
        <f>'Phụ lục số 1'!L12</f>
        <v>3404300</v>
      </c>
      <c r="E4" s="447">
        <f>'Phụ lục số 1'!M12</f>
        <v>1900700</v>
      </c>
    </row>
    <row r="5" spans="1:7" s="168" customFormat="1" x14ac:dyDescent="0.25">
      <c r="A5" s="221">
        <v>2</v>
      </c>
      <c r="B5" s="167" t="s">
        <v>332</v>
      </c>
      <c r="C5" s="447">
        <f t="shared" si="0"/>
        <v>6759032</v>
      </c>
      <c r="D5" s="447">
        <f>'Phụ lục số 1'!L59</f>
        <v>6759032</v>
      </c>
      <c r="E5" s="447"/>
      <c r="F5" s="168">
        <f>223000+316490</f>
        <v>539490</v>
      </c>
      <c r="G5" s="168">
        <f>+F5/1153620%</f>
        <v>46.764965933322927</v>
      </c>
    </row>
    <row r="6" spans="1:7" s="168" customFormat="1" x14ac:dyDescent="0.25">
      <c r="A6" s="221">
        <v>3</v>
      </c>
      <c r="B6" s="167" t="s">
        <v>66</v>
      </c>
      <c r="C6" s="447">
        <f t="shared" si="0"/>
        <v>236361</v>
      </c>
      <c r="D6" s="447">
        <f>'Phụ lục số 1'!L66</f>
        <v>182953</v>
      </c>
      <c r="E6" s="447">
        <f>'Phụ lục số 1'!M66</f>
        <v>53408</v>
      </c>
    </row>
    <row r="7" spans="1:7" x14ac:dyDescent="0.25">
      <c r="A7" s="221">
        <v>4</v>
      </c>
      <c r="B7" s="167" t="s">
        <v>1065</v>
      </c>
      <c r="C7" s="447">
        <f t="shared" si="0"/>
        <v>0</v>
      </c>
      <c r="D7" s="447">
        <f>'Phụ lục số 1'!L67</f>
        <v>0</v>
      </c>
      <c r="E7" s="447">
        <f>'Phụ lục số 1'!M67</f>
        <v>0</v>
      </c>
    </row>
    <row r="8" spans="1:7" s="168" customFormat="1" x14ac:dyDescent="0.25">
      <c r="A8" s="219" t="s">
        <v>281</v>
      </c>
      <c r="B8" s="220" t="s">
        <v>629</v>
      </c>
      <c r="C8" s="446">
        <f>SUM(C9,C14,C15,C20,C21,C22,C23,C24,C25,C26)</f>
        <v>12300393.016215011</v>
      </c>
      <c r="D8" s="446">
        <f>SUM(D9,D14,D15,D20,D21,D22,D23,D24,D25,D26)</f>
        <v>6400128</v>
      </c>
      <c r="E8" s="446">
        <f>SUM(E9,E14,E15,E20,E21,E22,E23,E24,E25,E26)</f>
        <v>5900265.0162150115</v>
      </c>
    </row>
    <row r="9" spans="1:7" s="168" customFormat="1" x14ac:dyDescent="0.25">
      <c r="A9" s="221">
        <v>1</v>
      </c>
      <c r="B9" s="167" t="s">
        <v>68</v>
      </c>
      <c r="C9" s="447">
        <f>SUM(C10:C13)</f>
        <v>2976350</v>
      </c>
      <c r="D9" s="447">
        <f>SUM(D10:D13)</f>
        <v>1999653</v>
      </c>
      <c r="E9" s="447">
        <f>SUM(E10:E13)</f>
        <v>976697</v>
      </c>
    </row>
    <row r="10" spans="1:7" s="168" customFormat="1" x14ac:dyDescent="0.25">
      <c r="A10" s="315" t="s">
        <v>307</v>
      </c>
      <c r="B10" s="272" t="s">
        <v>305</v>
      </c>
      <c r="C10" s="452">
        <f>D10+E10</f>
        <v>1036350</v>
      </c>
      <c r="D10" s="452">
        <f>'Phụ lục số 2'!I15</f>
        <v>559653</v>
      </c>
      <c r="E10" s="452">
        <f>'Phụ lục số 2'!J15</f>
        <v>476697</v>
      </c>
    </row>
    <row r="11" spans="1:7" s="168" customFormat="1" x14ac:dyDescent="0.25">
      <c r="A11" s="315" t="s">
        <v>308</v>
      </c>
      <c r="B11" s="272" t="s">
        <v>353</v>
      </c>
      <c r="C11" s="452">
        <f t="shared" ref="C11:C26" si="1">D11+E11</f>
        <v>600000</v>
      </c>
      <c r="D11" s="452">
        <f>'Phụ lục số 2'!I16</f>
        <v>100000</v>
      </c>
      <c r="E11" s="452">
        <f>'Phụ lục số 2'!J16</f>
        <v>500000</v>
      </c>
    </row>
    <row r="12" spans="1:7" s="107" customFormat="1" x14ac:dyDescent="0.25">
      <c r="A12" s="315" t="s">
        <v>309</v>
      </c>
      <c r="B12" s="272" t="s">
        <v>626</v>
      </c>
      <c r="C12" s="452">
        <f t="shared" si="1"/>
        <v>1340000</v>
      </c>
      <c r="D12" s="452">
        <f>'Phụ lục số 2'!I17</f>
        <v>1340000</v>
      </c>
      <c r="E12" s="452">
        <f>'Phụ lục số 2'!J17</f>
        <v>0</v>
      </c>
    </row>
    <row r="13" spans="1:7" s="107" customFormat="1" x14ac:dyDescent="0.25">
      <c r="A13" s="315" t="s">
        <v>310</v>
      </c>
      <c r="B13" s="272" t="s">
        <v>467</v>
      </c>
      <c r="C13" s="452">
        <f t="shared" si="1"/>
        <v>0</v>
      </c>
      <c r="D13" s="452">
        <f>'Phụ lục số 2'!I18</f>
        <v>0</v>
      </c>
      <c r="E13" s="452">
        <f>'Phụ lục số 2'!J18</f>
        <v>0</v>
      </c>
    </row>
    <row r="14" spans="1:7" s="107" customFormat="1" x14ac:dyDescent="0.25">
      <c r="A14" s="221">
        <v>2</v>
      </c>
      <c r="B14" s="167" t="s">
        <v>333</v>
      </c>
      <c r="C14" s="447">
        <f t="shared" si="1"/>
        <v>7203490</v>
      </c>
      <c r="D14" s="447">
        <f>'Phụ lục số 2'!I19</f>
        <v>2543280</v>
      </c>
      <c r="E14" s="447">
        <f>'Phụ lục số 2'!J19</f>
        <v>4660210</v>
      </c>
    </row>
    <row r="15" spans="1:7" s="222" customFormat="1" x14ac:dyDescent="0.25">
      <c r="A15" s="221">
        <v>3</v>
      </c>
      <c r="B15" s="167" t="s">
        <v>334</v>
      </c>
      <c r="C15" s="447">
        <f>SUM(C16:C19)</f>
        <v>1818286</v>
      </c>
      <c r="D15" s="447">
        <f>SUM(D16:D19)</f>
        <v>1818286</v>
      </c>
      <c r="E15" s="447">
        <f>SUM(E16:E19)</f>
        <v>0</v>
      </c>
    </row>
    <row r="16" spans="1:7" s="168" customFormat="1" x14ac:dyDescent="0.25">
      <c r="A16" s="223" t="s">
        <v>307</v>
      </c>
      <c r="B16" s="207" t="s">
        <v>461</v>
      </c>
      <c r="C16" s="448">
        <f t="shared" si="1"/>
        <v>158489</v>
      </c>
      <c r="D16" s="448">
        <f>'Phụ lục số 2'!I40</f>
        <v>158489</v>
      </c>
      <c r="E16" s="448">
        <f>'Phụ lục số 2'!J40</f>
        <v>0</v>
      </c>
    </row>
    <row r="17" spans="1:5" s="168" customFormat="1" x14ac:dyDescent="0.25">
      <c r="A17" s="223" t="s">
        <v>308</v>
      </c>
      <c r="B17" s="207" t="s">
        <v>462</v>
      </c>
      <c r="C17" s="448">
        <f t="shared" si="1"/>
        <v>1503647</v>
      </c>
      <c r="D17" s="448">
        <f>'Phụ lục số 2'!I41</f>
        <v>1503647</v>
      </c>
      <c r="E17" s="448">
        <f>'Phụ lục số 2'!J41</f>
        <v>0</v>
      </c>
    </row>
    <row r="18" spans="1:5" s="168" customFormat="1" x14ac:dyDescent="0.25">
      <c r="A18" s="223" t="s">
        <v>309</v>
      </c>
      <c r="B18" s="207" t="s">
        <v>463</v>
      </c>
      <c r="C18" s="448">
        <f t="shared" si="1"/>
        <v>156150</v>
      </c>
      <c r="D18" s="448">
        <f>'Phụ lục số 2'!I42</f>
        <v>156150</v>
      </c>
      <c r="E18" s="448">
        <f>'Phụ lục số 2'!J42</f>
        <v>0</v>
      </c>
    </row>
    <row r="19" spans="1:5" s="168" customFormat="1" x14ac:dyDescent="0.25">
      <c r="A19" s="223" t="s">
        <v>310</v>
      </c>
      <c r="B19" s="207" t="s">
        <v>464</v>
      </c>
      <c r="C19" s="448">
        <f t="shared" si="1"/>
        <v>0</v>
      </c>
      <c r="D19" s="448">
        <f>'Phụ lục số 2'!I43</f>
        <v>0</v>
      </c>
      <c r="E19" s="448">
        <f>'Phụ lục số 2'!J43</f>
        <v>0</v>
      </c>
    </row>
    <row r="20" spans="1:5" x14ac:dyDescent="0.25">
      <c r="A20" s="221">
        <v>4</v>
      </c>
      <c r="B20" s="167" t="s">
        <v>335</v>
      </c>
      <c r="C20" s="447">
        <f t="shared" si="1"/>
        <v>2000.0162150110464</v>
      </c>
      <c r="D20" s="447">
        <f>'Phụ lục số 2'!K33</f>
        <v>2000</v>
      </c>
      <c r="E20" s="447">
        <f>'Phụ lục số 2'!L33</f>
        <v>1.6215011046476276E-2</v>
      </c>
    </row>
    <row r="21" spans="1:5" x14ac:dyDescent="0.25">
      <c r="A21" s="221">
        <v>5</v>
      </c>
      <c r="B21" s="167" t="s">
        <v>460</v>
      </c>
      <c r="C21" s="447">
        <f t="shared" si="1"/>
        <v>0</v>
      </c>
      <c r="D21" s="447">
        <f>'Phụ lục số 2'!I34</f>
        <v>0</v>
      </c>
      <c r="E21" s="447">
        <f>'Phụ lục số 2'!J34</f>
        <v>0</v>
      </c>
    </row>
    <row r="22" spans="1:5" x14ac:dyDescent="0.25">
      <c r="A22" s="221">
        <v>6</v>
      </c>
      <c r="B22" s="167" t="s">
        <v>627</v>
      </c>
      <c r="C22" s="447">
        <f t="shared" si="1"/>
        <v>140341</v>
      </c>
      <c r="D22" s="447">
        <f>'Phụ lục số 2'!I35</f>
        <v>36809</v>
      </c>
      <c r="E22" s="447">
        <f>'Phụ lục số 2'!J35</f>
        <v>103532</v>
      </c>
    </row>
    <row r="23" spans="1:5" x14ac:dyDescent="0.25">
      <c r="A23" s="221">
        <v>7</v>
      </c>
      <c r="B23" s="167" t="s">
        <v>465</v>
      </c>
      <c r="C23" s="447">
        <f t="shared" si="1"/>
        <v>159826</v>
      </c>
      <c r="D23" s="447">
        <f>'Phụ lục số 2'!I36</f>
        <v>0</v>
      </c>
      <c r="E23" s="447">
        <f>'Phụ lục số 2'!J36</f>
        <v>159826</v>
      </c>
    </row>
    <row r="24" spans="1:5" s="168" customFormat="1" x14ac:dyDescent="0.25">
      <c r="A24" s="221">
        <v>8</v>
      </c>
      <c r="B24" s="426" t="s">
        <v>402</v>
      </c>
      <c r="C24" s="447">
        <f t="shared" si="1"/>
        <v>0</v>
      </c>
      <c r="D24" s="447">
        <f>'Phụ lục số 2'!I37</f>
        <v>0</v>
      </c>
      <c r="E24" s="447">
        <f>'Phụ lục số 2'!J37</f>
        <v>0</v>
      </c>
    </row>
    <row r="25" spans="1:5" x14ac:dyDescent="0.25">
      <c r="A25" s="221">
        <v>9</v>
      </c>
      <c r="B25" s="167" t="s">
        <v>673</v>
      </c>
      <c r="C25" s="447">
        <f t="shared" si="1"/>
        <v>100</v>
      </c>
      <c r="D25" s="447">
        <f>'Phụ lục số 2'!I38</f>
        <v>100</v>
      </c>
      <c r="E25" s="447">
        <f>'Phụ lục số 2'!J38</f>
        <v>0</v>
      </c>
    </row>
    <row r="26" spans="1:5" x14ac:dyDescent="0.25">
      <c r="A26" s="221">
        <v>10</v>
      </c>
      <c r="B26" s="167" t="s">
        <v>1066</v>
      </c>
      <c r="C26" s="447">
        <f t="shared" si="1"/>
        <v>0</v>
      </c>
      <c r="D26" s="447">
        <f>'Phụ lục số 2'!I44</f>
        <v>0</v>
      </c>
      <c r="E26" s="447">
        <f>'Phụ lục số 2'!J44</f>
        <v>0</v>
      </c>
    </row>
    <row r="27" spans="1:5" x14ac:dyDescent="0.25">
      <c r="A27" s="219"/>
      <c r="B27" s="219" t="s">
        <v>630</v>
      </c>
      <c r="C27" s="446">
        <f>D27+E27</f>
        <v>-1.6215011477470398E-2</v>
      </c>
      <c r="D27" s="446">
        <f>D3-D8</f>
        <v>3946157</v>
      </c>
      <c r="E27" s="446">
        <f>E3-E8</f>
        <v>-3946157.0162150115</v>
      </c>
    </row>
    <row r="28" spans="1:5" x14ac:dyDescent="0.25">
      <c r="A28" s="219" t="s">
        <v>294</v>
      </c>
      <c r="B28" s="220" t="s">
        <v>1061</v>
      </c>
      <c r="C28" s="446">
        <f>SUM(C29:C32)</f>
        <v>12334250</v>
      </c>
      <c r="D28" s="446">
        <f>SUM(D29:D32)</f>
        <v>10357034</v>
      </c>
      <c r="E28" s="446">
        <f>SUM(E29:E32)</f>
        <v>1977216</v>
      </c>
    </row>
    <row r="29" spans="1:5" x14ac:dyDescent="0.25">
      <c r="A29" s="221">
        <v>1</v>
      </c>
      <c r="B29" s="167" t="s">
        <v>331</v>
      </c>
      <c r="C29" s="447">
        <f>D29+E29</f>
        <v>5466580</v>
      </c>
      <c r="D29" s="447">
        <f>'Phụ lục số 1'!R12</f>
        <v>3649190</v>
      </c>
      <c r="E29" s="447">
        <f>'Phụ lục số 1'!S12</f>
        <v>1817390</v>
      </c>
    </row>
    <row r="30" spans="1:5" x14ac:dyDescent="0.25">
      <c r="A30" s="221">
        <v>2</v>
      </c>
      <c r="B30" s="167" t="s">
        <v>332</v>
      </c>
      <c r="C30" s="447">
        <f>D30+E30</f>
        <v>6498723</v>
      </c>
      <c r="D30" s="447">
        <f>'Phụ lục số 1'!R59</f>
        <v>6498723</v>
      </c>
      <c r="E30" s="447">
        <f>'Phụ lục số 1'!S59</f>
        <v>0</v>
      </c>
    </row>
    <row r="31" spans="1:5" x14ac:dyDescent="0.25">
      <c r="A31" s="221">
        <v>3</v>
      </c>
      <c r="B31" s="167" t="s">
        <v>66</v>
      </c>
      <c r="C31" s="447">
        <f>D31+E31</f>
        <v>353947</v>
      </c>
      <c r="D31" s="449">
        <f>'Phụ lục số 1'!R66</f>
        <v>194121</v>
      </c>
      <c r="E31" s="449">
        <f>'Phụ lục số 1'!S66</f>
        <v>159826</v>
      </c>
    </row>
    <row r="32" spans="1:5" x14ac:dyDescent="0.25">
      <c r="A32" s="221">
        <v>4</v>
      </c>
      <c r="B32" s="167" t="s">
        <v>1065</v>
      </c>
      <c r="C32" s="447">
        <f>D32+E32</f>
        <v>15000</v>
      </c>
      <c r="D32" s="449">
        <f>'Phụ lục số 1'!R67</f>
        <v>15000</v>
      </c>
      <c r="E32" s="449">
        <f>'Phụ lục số 1'!S67</f>
        <v>0</v>
      </c>
    </row>
    <row r="33" spans="1:5" x14ac:dyDescent="0.25">
      <c r="A33" s="219" t="s">
        <v>294</v>
      </c>
      <c r="B33" s="220" t="s">
        <v>1062</v>
      </c>
      <c r="C33" s="446">
        <f>SUM(C34,C39,C40,C45,C46,C47,C48,C49)</f>
        <v>12334250</v>
      </c>
      <c r="D33" s="446">
        <f>SUM(D34,D39,D40,D45,D46,D47,D48,D49)</f>
        <v>6237674</v>
      </c>
      <c r="E33" s="446">
        <f>SUM(E34,E39,E40,E45,E46,E47,E48,E49)</f>
        <v>6096576</v>
      </c>
    </row>
    <row r="34" spans="1:5" x14ac:dyDescent="0.25">
      <c r="A34" s="221">
        <v>1</v>
      </c>
      <c r="B34" s="167" t="s">
        <v>68</v>
      </c>
      <c r="C34" s="447">
        <f>SUM(C35:C38)</f>
        <v>2866350</v>
      </c>
      <c r="D34" s="447">
        <f>SUM(D35:D38)</f>
        <v>2009653</v>
      </c>
      <c r="E34" s="447">
        <f>SUM(E35:E38)</f>
        <v>856697</v>
      </c>
    </row>
    <row r="35" spans="1:5" x14ac:dyDescent="0.25">
      <c r="A35" s="315" t="s">
        <v>307</v>
      </c>
      <c r="B35" s="272" t="s">
        <v>305</v>
      </c>
      <c r="C35" s="452">
        <f>D35+E35</f>
        <v>1036350</v>
      </c>
      <c r="D35" s="452">
        <f>'Phụ lục số 2'!N15</f>
        <v>559653</v>
      </c>
      <c r="E35" s="452">
        <f>'Phụ lục số 2'!O15</f>
        <v>476697</v>
      </c>
    </row>
    <row r="36" spans="1:5" x14ac:dyDescent="0.25">
      <c r="A36" s="315" t="s">
        <v>308</v>
      </c>
      <c r="B36" s="272" t="s">
        <v>353</v>
      </c>
      <c r="C36" s="452">
        <f>D36+E36</f>
        <v>450000</v>
      </c>
      <c r="D36" s="452">
        <f>'Phụ lục số 2'!N16</f>
        <v>70000</v>
      </c>
      <c r="E36" s="452">
        <f>'Phụ lục số 2'!O16</f>
        <v>380000</v>
      </c>
    </row>
    <row r="37" spans="1:5" x14ac:dyDescent="0.25">
      <c r="A37" s="315" t="s">
        <v>309</v>
      </c>
      <c r="B37" s="272" t="s">
        <v>626</v>
      </c>
      <c r="C37" s="452">
        <f>D37+E37</f>
        <v>1380000</v>
      </c>
      <c r="D37" s="452">
        <f>'Phụ lục số 2'!N17</f>
        <v>1380000</v>
      </c>
      <c r="E37" s="452">
        <f>'Phụ lục số 2'!O17</f>
        <v>0</v>
      </c>
    </row>
    <row r="38" spans="1:5" hidden="1" x14ac:dyDescent="0.25">
      <c r="A38" s="315" t="s">
        <v>310</v>
      </c>
      <c r="B38" s="272" t="s">
        <v>467</v>
      </c>
      <c r="C38" s="452">
        <f>D38+E38</f>
        <v>0</v>
      </c>
      <c r="D38" s="452">
        <f>'Phụ lục số 2'!N18</f>
        <v>0</v>
      </c>
      <c r="E38" s="452">
        <f>'Phụ lục số 2'!O18</f>
        <v>0</v>
      </c>
    </row>
    <row r="39" spans="1:5" x14ac:dyDescent="0.25">
      <c r="A39" s="221">
        <v>2</v>
      </c>
      <c r="B39" s="167" t="s">
        <v>333</v>
      </c>
      <c r="C39" s="447">
        <f>D39+E39</f>
        <v>7613338</v>
      </c>
      <c r="D39" s="447">
        <f>'Phụ lục số 2'!N19</f>
        <v>2676305</v>
      </c>
      <c r="E39" s="447">
        <f>'Phụ lục số 2'!O19</f>
        <v>4937033</v>
      </c>
    </row>
    <row r="40" spans="1:5" x14ac:dyDescent="0.25">
      <c r="A40" s="221">
        <v>3</v>
      </c>
      <c r="B40" s="167" t="s">
        <v>334</v>
      </c>
      <c r="C40" s="447">
        <f>SUM(C41:C44)</f>
        <v>1423990</v>
      </c>
      <c r="D40" s="447">
        <f>SUM(D41:D44)</f>
        <v>1423990</v>
      </c>
      <c r="E40" s="447">
        <f>SUM(E41:E44)</f>
        <v>0</v>
      </c>
    </row>
    <row r="41" spans="1:5" x14ac:dyDescent="0.25">
      <c r="A41" s="223" t="s">
        <v>307</v>
      </c>
      <c r="B41" s="207" t="s">
        <v>461</v>
      </c>
      <c r="C41" s="448">
        <f t="shared" ref="C41:C49" si="2">D41+E41</f>
        <v>237567</v>
      </c>
      <c r="D41" s="448">
        <f>'Phụ lục số 2'!N40</f>
        <v>237567</v>
      </c>
      <c r="E41" s="448">
        <f>'Phụ lục số 2'!O40</f>
        <v>0</v>
      </c>
    </row>
    <row r="42" spans="1:5" ht="14.25" customHeight="1" x14ac:dyDescent="0.25">
      <c r="A42" s="223" t="s">
        <v>308</v>
      </c>
      <c r="B42" s="207" t="s">
        <v>462</v>
      </c>
      <c r="C42" s="448">
        <f t="shared" si="2"/>
        <v>849684</v>
      </c>
      <c r="D42" s="448">
        <f>'Phụ lục số 2'!N41</f>
        <v>849684</v>
      </c>
      <c r="E42" s="448">
        <f>'Phụ lục số 2'!O41</f>
        <v>0</v>
      </c>
    </row>
    <row r="43" spans="1:5" x14ac:dyDescent="0.25">
      <c r="A43" s="223" t="s">
        <v>309</v>
      </c>
      <c r="B43" s="207" t="s">
        <v>463</v>
      </c>
      <c r="C43" s="448">
        <f t="shared" si="2"/>
        <v>336739</v>
      </c>
      <c r="D43" s="448">
        <f>'Phụ lục số 2'!N42</f>
        <v>336739</v>
      </c>
      <c r="E43" s="448">
        <f>'Phụ lục số 2'!O42</f>
        <v>0</v>
      </c>
    </row>
    <row r="44" spans="1:5" hidden="1" x14ac:dyDescent="0.25">
      <c r="A44" s="223" t="s">
        <v>310</v>
      </c>
      <c r="B44" s="207" t="s">
        <v>464</v>
      </c>
      <c r="C44" s="448">
        <f t="shared" si="2"/>
        <v>0</v>
      </c>
      <c r="D44" s="448">
        <f>'Phụ lục số 2'!N43</f>
        <v>0</v>
      </c>
      <c r="E44" s="448">
        <f>'Phụ lục số 2'!O43</f>
        <v>0</v>
      </c>
    </row>
    <row r="45" spans="1:5" x14ac:dyDescent="0.25">
      <c r="A45" s="221">
        <v>4</v>
      </c>
      <c r="B45" s="167" t="s">
        <v>335</v>
      </c>
      <c r="C45" s="447">
        <f t="shared" si="2"/>
        <v>2000</v>
      </c>
      <c r="D45" s="447">
        <f>'Phụ lục số 2'!N33</f>
        <v>2000</v>
      </c>
      <c r="E45" s="447">
        <f>'Phụ lục số 2'!O33</f>
        <v>0</v>
      </c>
    </row>
    <row r="46" spans="1:5" x14ac:dyDescent="0.25">
      <c r="A46" s="221">
        <v>5</v>
      </c>
      <c r="B46" s="167" t="s">
        <v>460</v>
      </c>
      <c r="C46" s="447">
        <f t="shared" si="2"/>
        <v>209077</v>
      </c>
      <c r="D46" s="447">
        <f>'Phụ lục số 2'!N34</f>
        <v>110426</v>
      </c>
      <c r="E46" s="447">
        <f>'Phụ lục số 2'!O34</f>
        <v>98651</v>
      </c>
    </row>
    <row r="47" spans="1:5" x14ac:dyDescent="0.25">
      <c r="A47" s="221">
        <v>6</v>
      </c>
      <c r="B47" s="167" t="s">
        <v>465</v>
      </c>
      <c r="C47" s="447">
        <f t="shared" si="2"/>
        <v>204195</v>
      </c>
      <c r="D47" s="447">
        <f>'Phụ lục số 2'!N36</f>
        <v>0</v>
      </c>
      <c r="E47" s="447">
        <f>'Phụ lục số 2'!O36</f>
        <v>204195</v>
      </c>
    </row>
    <row r="48" spans="1:5" x14ac:dyDescent="0.25">
      <c r="A48" s="221">
        <v>7</v>
      </c>
      <c r="B48" s="167" t="s">
        <v>673</v>
      </c>
      <c r="C48" s="447">
        <f t="shared" si="2"/>
        <v>300</v>
      </c>
      <c r="D48" s="447">
        <f>'Phụ lục số 2'!N38</f>
        <v>300</v>
      </c>
      <c r="E48" s="447">
        <f>'Phụ lục số 2'!O38</f>
        <v>0</v>
      </c>
    </row>
    <row r="49" spans="1:5" x14ac:dyDescent="0.25">
      <c r="A49" s="221">
        <v>9</v>
      </c>
      <c r="B49" s="167" t="s">
        <v>1066</v>
      </c>
      <c r="C49" s="447">
        <f t="shared" si="2"/>
        <v>15000</v>
      </c>
      <c r="D49" s="447">
        <f>'Phụ lục số 2'!N44</f>
        <v>15000</v>
      </c>
      <c r="E49" s="447">
        <f>'Phụ lục số 2'!O44</f>
        <v>0</v>
      </c>
    </row>
    <row r="50" spans="1:5" s="98" customFormat="1" x14ac:dyDescent="0.25">
      <c r="A50" s="219"/>
      <c r="B50" s="219" t="s">
        <v>1063</v>
      </c>
      <c r="C50" s="446">
        <f>D50+E50</f>
        <v>0</v>
      </c>
      <c r="D50" s="446">
        <f>D28-D33</f>
        <v>4119360</v>
      </c>
      <c r="E50" s="446">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49" customWidth="1"/>
    <col min="2" max="2" width="27" style="249" customWidth="1"/>
    <col min="3" max="3" width="8.375" style="249" customWidth="1"/>
    <col min="4" max="4" width="8.125" style="249" hidden="1" customWidth="1"/>
    <col min="5" max="5" width="10.875" style="249" hidden="1" customWidth="1"/>
    <col min="6" max="7" width="8.125" style="249" hidden="1" customWidth="1"/>
    <col min="8" max="8" width="8.125" style="249" customWidth="1"/>
    <col min="9" max="9" width="6.625" style="249" customWidth="1"/>
    <col min="10" max="12" width="8.125" style="249" customWidth="1"/>
    <col min="13" max="13" width="8.5" style="249" customWidth="1"/>
    <col min="14" max="14" width="8.125" style="249" customWidth="1"/>
    <col min="15" max="15" width="6.625" style="249" customWidth="1"/>
    <col min="16" max="16" width="8.125" style="249" customWidth="1"/>
    <col min="17" max="17" width="10.875" style="249" bestFit="1" customWidth="1"/>
    <col min="18" max="19" width="8.125" style="249" customWidth="1"/>
    <col min="20" max="16384" width="9" style="249"/>
  </cols>
  <sheetData>
    <row r="1" spans="1:31" s="1" customFormat="1" ht="21" hidden="1" customHeight="1" x14ac:dyDescent="0.25">
      <c r="A1" s="985" t="s">
        <v>380</v>
      </c>
      <c r="B1" s="985"/>
      <c r="C1" s="985" t="s">
        <v>349</v>
      </c>
      <c r="D1" s="985"/>
      <c r="E1" s="985"/>
      <c r="F1" s="985"/>
      <c r="G1" s="985"/>
      <c r="H1" s="985"/>
      <c r="I1" s="985"/>
      <c r="J1" s="985"/>
      <c r="K1" s="985"/>
      <c r="L1" s="985"/>
      <c r="M1" s="985"/>
      <c r="N1" s="985"/>
      <c r="O1" s="985"/>
      <c r="P1" s="985"/>
      <c r="Q1" s="985"/>
    </row>
    <row r="2" spans="1:31" s="1" customFormat="1" ht="21" hidden="1" customHeight="1" x14ac:dyDescent="0.25">
      <c r="A2" s="985" t="s">
        <v>381</v>
      </c>
      <c r="B2" s="985"/>
      <c r="C2" s="985" t="s">
        <v>336</v>
      </c>
      <c r="D2" s="985"/>
      <c r="E2" s="985"/>
      <c r="F2" s="985"/>
      <c r="G2" s="985"/>
      <c r="H2" s="985"/>
      <c r="I2" s="985"/>
      <c r="J2" s="985"/>
      <c r="K2" s="985"/>
      <c r="L2" s="985"/>
      <c r="M2" s="985"/>
      <c r="N2" s="985"/>
      <c r="O2" s="985"/>
      <c r="P2" s="985"/>
      <c r="Q2" s="985"/>
    </row>
    <row r="3" spans="1:31" ht="17.25" hidden="1" customHeight="1" x14ac:dyDescent="0.25">
      <c r="A3" s="978" t="s">
        <v>271</v>
      </c>
      <c r="B3" s="978"/>
      <c r="C3" s="986" t="s">
        <v>350</v>
      </c>
      <c r="D3" s="986"/>
      <c r="E3" s="986"/>
      <c r="F3" s="986"/>
      <c r="G3" s="986"/>
      <c r="H3" s="986"/>
      <c r="I3" s="986"/>
      <c r="J3" s="986"/>
      <c r="K3" s="986"/>
      <c r="L3" s="986"/>
      <c r="M3" s="986"/>
      <c r="N3" s="986"/>
      <c r="O3" s="986"/>
      <c r="P3" s="986"/>
      <c r="Q3" s="986"/>
      <c r="S3" s="37" t="s">
        <v>370</v>
      </c>
    </row>
    <row r="4" spans="1:31" ht="17.25" hidden="1" customHeight="1" x14ac:dyDescent="0.25">
      <c r="A4" s="888"/>
      <c r="B4" s="888"/>
      <c r="C4" s="889"/>
      <c r="D4" s="889"/>
      <c r="E4" s="889"/>
      <c r="F4" s="889"/>
      <c r="G4" s="889"/>
      <c r="H4" s="889"/>
      <c r="I4" s="889"/>
      <c r="J4" s="889"/>
      <c r="K4" s="889"/>
      <c r="L4" s="889"/>
      <c r="M4" s="889"/>
    </row>
    <row r="5" spans="1:31" s="1" customFormat="1" ht="31.5" x14ac:dyDescent="0.25">
      <c r="A5" s="29" t="s">
        <v>724</v>
      </c>
      <c r="B5" s="28"/>
      <c r="C5" s="28"/>
      <c r="D5" s="28"/>
      <c r="E5" s="28"/>
      <c r="F5" s="28"/>
      <c r="G5" s="28"/>
      <c r="H5" s="28"/>
      <c r="I5" s="28"/>
      <c r="J5" s="28"/>
      <c r="K5" s="28"/>
      <c r="L5" s="28"/>
      <c r="M5" s="28"/>
      <c r="N5" s="28"/>
      <c r="O5" s="28"/>
      <c r="P5" s="28"/>
      <c r="Q5" s="28"/>
      <c r="R5" s="28"/>
      <c r="S5" s="28"/>
    </row>
    <row r="6" spans="1:31" s="1" customFormat="1" x14ac:dyDescent="0.25">
      <c r="A6" s="214"/>
      <c r="B6" s="214"/>
      <c r="C6" s="214"/>
      <c r="D6" s="214"/>
      <c r="E6" s="987"/>
      <c r="F6" s="987"/>
      <c r="G6" s="987"/>
      <c r="H6" s="215"/>
      <c r="I6" s="216"/>
      <c r="J6" s="216"/>
      <c r="K6" s="989"/>
      <c r="L6" s="989"/>
      <c r="M6" s="989"/>
      <c r="N6" s="215"/>
      <c r="O6" s="217"/>
      <c r="P6" s="218"/>
      <c r="Q6" s="218"/>
      <c r="R6" s="218"/>
      <c r="S6" s="218"/>
    </row>
    <row r="7" spans="1:31" x14ac:dyDescent="0.25">
      <c r="B7" s="287"/>
      <c r="C7" s="288"/>
      <c r="D7" s="288"/>
      <c r="E7" s="988"/>
      <c r="F7" s="988"/>
      <c r="G7" s="988"/>
      <c r="H7" s="289"/>
      <c r="I7" s="290"/>
      <c r="J7" s="291"/>
      <c r="L7" s="268"/>
      <c r="S7" s="890" t="s">
        <v>348</v>
      </c>
    </row>
    <row r="8" spans="1:31" s="7" customFormat="1" ht="21.75" customHeight="1" x14ac:dyDescent="0.25">
      <c r="A8" s="962" t="s">
        <v>272</v>
      </c>
      <c r="B8" s="962" t="s">
        <v>273</v>
      </c>
      <c r="C8" s="982" t="s">
        <v>719</v>
      </c>
      <c r="D8" s="5"/>
      <c r="E8" s="5"/>
      <c r="F8" s="5"/>
      <c r="G8" s="6"/>
      <c r="H8" s="33" t="s">
        <v>720</v>
      </c>
      <c r="I8" s="5"/>
      <c r="J8" s="5"/>
      <c r="K8" s="5"/>
      <c r="L8" s="5"/>
      <c r="M8" s="6"/>
      <c r="N8" s="33" t="s">
        <v>721</v>
      </c>
      <c r="O8" s="5"/>
      <c r="P8" s="5"/>
      <c r="Q8" s="5"/>
      <c r="R8" s="5"/>
      <c r="S8" s="6"/>
      <c r="T8" s="33" t="s">
        <v>529</v>
      </c>
      <c r="U8" s="5"/>
      <c r="V8" s="5"/>
      <c r="W8" s="5"/>
      <c r="X8" s="5"/>
      <c r="Y8" s="6"/>
      <c r="Z8" s="33" t="s">
        <v>718</v>
      </c>
      <c r="AA8" s="5"/>
      <c r="AB8" s="5"/>
      <c r="AC8" s="5"/>
      <c r="AD8" s="5"/>
      <c r="AE8" s="6"/>
    </row>
    <row r="9" spans="1:31" s="7" customFormat="1" ht="15.75" customHeight="1" x14ac:dyDescent="0.25">
      <c r="A9" s="981"/>
      <c r="B9" s="981"/>
      <c r="C9" s="983"/>
      <c r="D9" s="962" t="s">
        <v>274</v>
      </c>
      <c r="E9" s="4" t="s">
        <v>275</v>
      </c>
      <c r="F9" s="5"/>
      <c r="G9" s="6"/>
      <c r="H9" s="962" t="s">
        <v>339</v>
      </c>
      <c r="I9" s="962" t="s">
        <v>257</v>
      </c>
      <c r="J9" s="962" t="s">
        <v>274</v>
      </c>
      <c r="K9" s="4" t="s">
        <v>275</v>
      </c>
      <c r="L9" s="5"/>
      <c r="M9" s="6"/>
      <c r="N9" s="962" t="s">
        <v>339</v>
      </c>
      <c r="O9" s="962" t="s">
        <v>722</v>
      </c>
      <c r="P9" s="962" t="s">
        <v>274</v>
      </c>
      <c r="Q9" s="4" t="s">
        <v>275</v>
      </c>
      <c r="R9" s="5"/>
      <c r="S9" s="6"/>
      <c r="T9" s="962" t="s">
        <v>339</v>
      </c>
      <c r="U9" s="962" t="s">
        <v>530</v>
      </c>
      <c r="V9" s="962" t="s">
        <v>274</v>
      </c>
      <c r="W9" s="4" t="s">
        <v>275</v>
      </c>
      <c r="X9" s="5"/>
      <c r="Y9" s="6"/>
      <c r="Z9" s="962" t="s">
        <v>339</v>
      </c>
      <c r="AA9" s="962" t="s">
        <v>723</v>
      </c>
      <c r="AB9" s="962" t="s">
        <v>274</v>
      </c>
      <c r="AC9" s="4" t="s">
        <v>275</v>
      </c>
      <c r="AD9" s="5"/>
      <c r="AE9" s="6"/>
    </row>
    <row r="10" spans="1:31" s="7" customFormat="1" ht="79.5" customHeight="1" x14ac:dyDescent="0.25">
      <c r="A10" s="980"/>
      <c r="B10" s="980"/>
      <c r="C10" s="984"/>
      <c r="D10" s="964"/>
      <c r="E10" s="887" t="s">
        <v>276</v>
      </c>
      <c r="F10" s="887" t="s">
        <v>277</v>
      </c>
      <c r="G10" s="887" t="s">
        <v>343</v>
      </c>
      <c r="H10" s="980"/>
      <c r="I10" s="980"/>
      <c r="J10" s="980"/>
      <c r="K10" s="887" t="s">
        <v>276</v>
      </c>
      <c r="L10" s="887" t="s">
        <v>277</v>
      </c>
      <c r="M10" s="887" t="s">
        <v>343</v>
      </c>
      <c r="N10" s="980"/>
      <c r="O10" s="980"/>
      <c r="P10" s="980"/>
      <c r="Q10" s="887" t="s">
        <v>276</v>
      </c>
      <c r="R10" s="887" t="s">
        <v>277</v>
      </c>
      <c r="S10" s="887" t="s">
        <v>343</v>
      </c>
      <c r="T10" s="980"/>
      <c r="U10" s="980"/>
      <c r="V10" s="980"/>
      <c r="W10" s="887" t="s">
        <v>276</v>
      </c>
      <c r="X10" s="887" t="s">
        <v>277</v>
      </c>
      <c r="Y10" s="887" t="s">
        <v>343</v>
      </c>
      <c r="Z10" s="980"/>
      <c r="AA10" s="980"/>
      <c r="AB10" s="980"/>
      <c r="AC10" s="887" t="s">
        <v>276</v>
      </c>
      <c r="AD10" s="887" t="s">
        <v>277</v>
      </c>
      <c r="AE10" s="887" t="s">
        <v>343</v>
      </c>
    </row>
    <row r="11" spans="1:31" s="293" customFormat="1" x14ac:dyDescent="0.25">
      <c r="A11" s="292">
        <v>1</v>
      </c>
      <c r="B11" s="292">
        <v>2</v>
      </c>
      <c r="C11" s="292">
        <v>3</v>
      </c>
      <c r="D11" s="292"/>
      <c r="E11" s="292"/>
      <c r="F11" s="292"/>
      <c r="G11" s="292"/>
      <c r="H11" s="292" t="s">
        <v>359</v>
      </c>
      <c r="I11" s="32" t="s">
        <v>354</v>
      </c>
      <c r="J11" s="292">
        <v>6</v>
      </c>
      <c r="K11" s="292" t="s">
        <v>355</v>
      </c>
      <c r="L11" s="292">
        <v>8</v>
      </c>
      <c r="M11" s="32">
        <v>9</v>
      </c>
      <c r="N11" s="292" t="s">
        <v>357</v>
      </c>
      <c r="O11" s="292" t="s">
        <v>362</v>
      </c>
      <c r="P11" s="32">
        <v>12</v>
      </c>
      <c r="Q11" s="292" t="s">
        <v>358</v>
      </c>
      <c r="R11" s="292">
        <v>14</v>
      </c>
      <c r="S11" s="292">
        <v>15</v>
      </c>
      <c r="T11" s="292">
        <v>16</v>
      </c>
      <c r="U11" s="292" t="s">
        <v>536</v>
      </c>
      <c r="V11" s="292">
        <v>18</v>
      </c>
      <c r="W11" s="292" t="s">
        <v>535</v>
      </c>
      <c r="X11" s="292">
        <v>20</v>
      </c>
      <c r="Y11" s="292">
        <v>21</v>
      </c>
      <c r="Z11" s="292">
        <v>22</v>
      </c>
      <c r="AA11" s="292" t="s">
        <v>538</v>
      </c>
      <c r="AB11" s="292">
        <v>24</v>
      </c>
      <c r="AC11" s="292" t="s">
        <v>537</v>
      </c>
      <c r="AD11" s="292">
        <v>26</v>
      </c>
      <c r="AE11" s="292">
        <v>27</v>
      </c>
    </row>
    <row r="12" spans="1:31" s="18" customFormat="1" x14ac:dyDescent="0.25">
      <c r="A12" s="73" t="s">
        <v>279</v>
      </c>
      <c r="B12" s="54" t="s">
        <v>280</v>
      </c>
      <c r="C12" s="785">
        <f t="shared" ref="C12:H12" si="0">SUM(C13,C56)</f>
        <v>6691300</v>
      </c>
      <c r="D12" s="822">
        <f t="shared" si="0"/>
        <v>1630996</v>
      </c>
      <c r="E12" s="822">
        <f t="shared" si="0"/>
        <v>5060304</v>
      </c>
      <c r="F12" s="822">
        <f t="shared" si="0"/>
        <v>3356144</v>
      </c>
      <c r="G12" s="822">
        <f t="shared" si="0"/>
        <v>1704160</v>
      </c>
      <c r="H12" s="785">
        <f t="shared" si="0"/>
        <v>6535000</v>
      </c>
      <c r="I12" s="844">
        <f>H12/C12*100</f>
        <v>97.664131035822635</v>
      </c>
      <c r="J12" s="785">
        <f>SUM(J13,J56)</f>
        <v>1230000</v>
      </c>
      <c r="K12" s="785">
        <f>SUM(K13,K56)</f>
        <v>5305000</v>
      </c>
      <c r="L12" s="785">
        <f>SUM(L13,L56)</f>
        <v>3404300</v>
      </c>
      <c r="M12" s="785">
        <f>SUM(M13,M56)</f>
        <v>1900700</v>
      </c>
      <c r="N12" s="850">
        <f>SUM(N13,N56)</f>
        <v>7085000</v>
      </c>
      <c r="O12" s="850">
        <f>N12/H12*100</f>
        <v>108.41622035195104</v>
      </c>
      <c r="P12" s="785">
        <f>SUM(P13,P56)</f>
        <v>1618420</v>
      </c>
      <c r="Q12" s="785">
        <f>SUM(Q13,Q56)</f>
        <v>5466580</v>
      </c>
      <c r="R12" s="785">
        <f>SUM(R13,R56)</f>
        <v>3649190</v>
      </c>
      <c r="S12" s="785">
        <f>SUM(S13,S56)</f>
        <v>1817390</v>
      </c>
      <c r="T12" s="785">
        <f>SUM(T13,T56)</f>
        <v>7200000</v>
      </c>
      <c r="U12" s="844">
        <f>T12/N12*100</f>
        <v>101.62314749470713</v>
      </c>
      <c r="V12" s="785">
        <f>SUM(V13,V56)</f>
        <v>1645000</v>
      </c>
      <c r="W12" s="785">
        <f>SUM(W13,W56)</f>
        <v>5555000</v>
      </c>
      <c r="X12" s="785">
        <f>SUM(X13,X56)</f>
        <v>3760850</v>
      </c>
      <c r="Y12" s="785">
        <f>SUM(Y13,Y56)</f>
        <v>1794150</v>
      </c>
      <c r="Z12" s="785">
        <f>SUM(Z13,Z56)</f>
        <v>7526000</v>
      </c>
      <c r="AA12" s="844">
        <f>Z12/T12*100</f>
        <v>104.52777777777777</v>
      </c>
      <c r="AB12" s="785">
        <f>SUM(AB13,AB56)</f>
        <v>1790000</v>
      </c>
      <c r="AC12" s="785">
        <f>SUM(AC13,AC56)</f>
        <v>5736000</v>
      </c>
      <c r="AD12" s="785">
        <f>SUM(AD13,AD56)</f>
        <v>3871500</v>
      </c>
      <c r="AE12" s="785">
        <f>SUM(AE13,AE56)</f>
        <v>1864500</v>
      </c>
    </row>
    <row r="13" spans="1:31" s="18" customFormat="1" x14ac:dyDescent="0.25">
      <c r="A13" s="64" t="s">
        <v>281</v>
      </c>
      <c r="B13" s="45" t="s">
        <v>282</v>
      </c>
      <c r="C13" s="798">
        <f t="shared" ref="C13:H13" si="1">SUM(C15,C22,C29,C35,C42:C55)</f>
        <v>6625300</v>
      </c>
      <c r="D13" s="798">
        <f t="shared" si="1"/>
        <v>1564996</v>
      </c>
      <c r="E13" s="798">
        <f t="shared" si="1"/>
        <v>5060304</v>
      </c>
      <c r="F13" s="798">
        <f t="shared" si="1"/>
        <v>3356144</v>
      </c>
      <c r="G13" s="798">
        <f t="shared" si="1"/>
        <v>1704160</v>
      </c>
      <c r="H13" s="798">
        <f t="shared" si="1"/>
        <v>6469000</v>
      </c>
      <c r="I13" s="845">
        <f>H13/C13*100</f>
        <v>97.640861545892264</v>
      </c>
      <c r="J13" s="798">
        <f>SUM(J15,J22,J29,J35,J42:J55)</f>
        <v>1164000</v>
      </c>
      <c r="K13" s="798">
        <f>SUM(K15,K22,K29,K35,K42:K55)</f>
        <v>5305000</v>
      </c>
      <c r="L13" s="798">
        <f>SUM(L15,L22,L29,L35,L42:L55)</f>
        <v>3404300</v>
      </c>
      <c r="M13" s="798">
        <f>SUM(M15,M22,M29,M35,M42:M55)</f>
        <v>1900700</v>
      </c>
      <c r="N13" s="850">
        <f>SUM(N15,N22,N29,N35,N42:N55)</f>
        <v>7007000</v>
      </c>
      <c r="O13" s="850">
        <f>N13/H13*100</f>
        <v>108.31658679857783</v>
      </c>
      <c r="P13" s="798">
        <f>SUM(P15,P22,P29,P35,P42:P54)</f>
        <v>1540420</v>
      </c>
      <c r="Q13" s="798">
        <f>SUM(Q15,Q22,Q29,Q35,Q42:Q55)</f>
        <v>5466580</v>
      </c>
      <c r="R13" s="798">
        <f>SUM(R15,R22,R29,R35,R42:R55)</f>
        <v>3649190</v>
      </c>
      <c r="S13" s="798">
        <f>SUM(S15,S22,S29,S35,S42:S55)</f>
        <v>1817390</v>
      </c>
      <c r="T13" s="798">
        <f>SUM(T15,T22,T29,T35,T42:T55)</f>
        <v>7114000</v>
      </c>
      <c r="U13" s="845">
        <f>T13/N13*100</f>
        <v>101.52704438418725</v>
      </c>
      <c r="V13" s="798">
        <f>SUM(V15,V22,V29,V35,V42:V54)</f>
        <v>1559000</v>
      </c>
      <c r="W13" s="798">
        <f>SUM(W15,W22,W29,W35,W42:W55)</f>
        <v>5555000</v>
      </c>
      <c r="X13" s="798">
        <f>SUM(X15,X22,X29,X35,X42:X55)</f>
        <v>3760850</v>
      </c>
      <c r="Y13" s="798">
        <f>SUM(Y15,Y22,Y29,Y35,Y42:Y55)</f>
        <v>1794150</v>
      </c>
      <c r="Z13" s="798">
        <f>SUM(Z15,Z22,Z29,Z35,Z42:Z55)</f>
        <v>7431000</v>
      </c>
      <c r="AA13" s="845">
        <f>Z13/T13*100</f>
        <v>104.45600224908631</v>
      </c>
      <c r="AB13" s="798">
        <f>SUM(AB15,AB22,AB29,AB35,AB42:AB54)</f>
        <v>1695000</v>
      </c>
      <c r="AC13" s="798">
        <f>SUM(AC15,AC22,AC29,AC35,AC42:AC55)</f>
        <v>5736000</v>
      </c>
      <c r="AD13" s="798">
        <f>SUM(AD15,AD22,AD29,AD35,AD42:AD55)</f>
        <v>3871500</v>
      </c>
      <c r="AE13" s="798">
        <f>SUM(AE15,AE22,AE29,AE35,AE42:AE55)</f>
        <v>1864500</v>
      </c>
    </row>
    <row r="14" spans="1:31" s="18" customFormat="1" x14ac:dyDescent="0.25">
      <c r="A14" s="64"/>
      <c r="B14" s="45" t="s">
        <v>547</v>
      </c>
      <c r="C14" s="798">
        <f>C13-C48-C55</f>
        <v>4905300</v>
      </c>
      <c r="D14" s="798"/>
      <c r="E14" s="798">
        <f>F14+G14</f>
        <v>3340304</v>
      </c>
      <c r="F14" s="798">
        <f>F13-F48-F55</f>
        <v>2036144</v>
      </c>
      <c r="G14" s="798">
        <f>G13-G48-G55</f>
        <v>1304160</v>
      </c>
      <c r="H14" s="798">
        <f>H13-H48-H55</f>
        <v>4529000</v>
      </c>
      <c r="I14" s="845">
        <f>H14/C14*100</f>
        <v>92.328705685686913</v>
      </c>
      <c r="J14" s="798">
        <f>J13-J48-J55</f>
        <v>1164000</v>
      </c>
      <c r="K14" s="798">
        <f>K13-K48-K55</f>
        <v>3365000</v>
      </c>
      <c r="L14" s="798">
        <f>L13-L48-L55</f>
        <v>1964300</v>
      </c>
      <c r="M14" s="798">
        <f>M13-M48-M55</f>
        <v>1400700</v>
      </c>
      <c r="N14" s="798">
        <f>N13-N48-N55</f>
        <v>5177000</v>
      </c>
      <c r="O14" s="845">
        <f>N14/H14*100</f>
        <v>114.30779421505852</v>
      </c>
      <c r="P14" s="798">
        <f>P13-P48-P55</f>
        <v>1540420</v>
      </c>
      <c r="Q14" s="798">
        <f>Q13-Q48-Q55</f>
        <v>3636580</v>
      </c>
      <c r="R14" s="798">
        <f>R13-R48-R55</f>
        <v>2199190</v>
      </c>
      <c r="S14" s="798">
        <f>S13-S48-S55</f>
        <v>1437390</v>
      </c>
      <c r="T14" s="798">
        <f>T13-T48-T55</f>
        <v>5264000</v>
      </c>
      <c r="U14" s="845">
        <f>T14/N14*100</f>
        <v>101.68050994784625</v>
      </c>
      <c r="V14" s="798">
        <f>V13-V48-V55</f>
        <v>1559000</v>
      </c>
      <c r="W14" s="798">
        <f>W13-W48-W55</f>
        <v>3705000</v>
      </c>
      <c r="X14" s="798">
        <f>X13-X48-X55</f>
        <v>2290850</v>
      </c>
      <c r="Y14" s="798">
        <f>Y13-Y48-Y55</f>
        <v>1414150</v>
      </c>
      <c r="Z14" s="798">
        <f>Z13-Z48-Z55</f>
        <v>5581000</v>
      </c>
      <c r="AA14" s="845">
        <f>Z14/T14*100</f>
        <v>106.02203647416412</v>
      </c>
      <c r="AB14" s="798">
        <f>AB13-AB48-AB55</f>
        <v>1695000</v>
      </c>
      <c r="AC14" s="798">
        <f>AC13-AC48-AC55</f>
        <v>3886000</v>
      </c>
      <c r="AD14" s="798">
        <f>AD13-AD48-AD55</f>
        <v>2401500</v>
      </c>
      <c r="AE14" s="798">
        <f>AE13-AE48-AE55</f>
        <v>1484500</v>
      </c>
    </row>
    <row r="15" spans="1:31" s="294" customFormat="1" ht="15" customHeight="1" x14ac:dyDescent="0.25">
      <c r="A15" s="161">
        <v>1</v>
      </c>
      <c r="B15" s="27" t="s">
        <v>414</v>
      </c>
      <c r="C15" s="797">
        <f t="shared" ref="C15:H15" si="2">SUM(C16:C21)</f>
        <v>215000</v>
      </c>
      <c r="D15" s="851">
        <f t="shared" si="2"/>
        <v>0</v>
      </c>
      <c r="E15" s="851">
        <f t="shared" si="2"/>
        <v>215000</v>
      </c>
      <c r="F15" s="851">
        <f t="shared" si="2"/>
        <v>215000</v>
      </c>
      <c r="G15" s="851">
        <f t="shared" si="2"/>
        <v>0</v>
      </c>
      <c r="H15" s="797">
        <f t="shared" si="2"/>
        <v>182000</v>
      </c>
      <c r="I15" s="846">
        <f>H15/C15*100</f>
        <v>84.651162790697683</v>
      </c>
      <c r="J15" s="797">
        <f>SUM(J16:J21)</f>
        <v>0</v>
      </c>
      <c r="K15" s="797">
        <f>SUM(K16:K21)</f>
        <v>182000</v>
      </c>
      <c r="L15" s="797">
        <f>SUM(L16:L21)</f>
        <v>182000</v>
      </c>
      <c r="M15" s="797">
        <f>SUM(M16:M21)</f>
        <v>0</v>
      </c>
      <c r="N15" s="797">
        <f>SUM(N16:N21)</f>
        <v>195000</v>
      </c>
      <c r="O15" s="846">
        <f>N15/H15*100</f>
        <v>107.14285714285714</v>
      </c>
      <c r="P15" s="797">
        <f>SUM(P16:P21)</f>
        <v>0</v>
      </c>
      <c r="Q15" s="797">
        <f>SUM(Q16:Q21)</f>
        <v>195000</v>
      </c>
      <c r="R15" s="797">
        <f>SUM(R16:R21)</f>
        <v>195000</v>
      </c>
      <c r="S15" s="797">
        <f>SUM(S16:S21)</f>
        <v>0</v>
      </c>
      <c r="T15" s="797">
        <f>SUM(T16:T21)</f>
        <v>200000</v>
      </c>
      <c r="U15" s="846">
        <f>T15/N15*100</f>
        <v>102.56410256410255</v>
      </c>
      <c r="V15" s="797">
        <f>SUM(V16:V21)</f>
        <v>0</v>
      </c>
      <c r="W15" s="797">
        <f>SUM(W16:W21)</f>
        <v>200000</v>
      </c>
      <c r="X15" s="797">
        <f>SUM(X16:X21)</f>
        <v>200000</v>
      </c>
      <c r="Y15" s="797">
        <f>SUM(Y16:Y21)</f>
        <v>0</v>
      </c>
      <c r="Z15" s="797">
        <f>SUM(Z16:Z21)</f>
        <v>210000</v>
      </c>
      <c r="AA15" s="846">
        <f>Z15/T15*100</f>
        <v>105</v>
      </c>
      <c r="AB15" s="797">
        <f>SUM(AB16:AB21)</f>
        <v>0</v>
      </c>
      <c r="AC15" s="797">
        <f>SUM(AC16:AC21)</f>
        <v>210000</v>
      </c>
      <c r="AD15" s="797">
        <f>SUM(AD16:AD21)</f>
        <v>210000</v>
      </c>
      <c r="AE15" s="797">
        <f>SUM(AE16:AE21)</f>
        <v>0</v>
      </c>
    </row>
    <row r="16" spans="1:31" s="294" customFormat="1" ht="15.75" hidden="1" customHeight="1" x14ac:dyDescent="0.25">
      <c r="A16" s="295"/>
      <c r="B16" s="247" t="s">
        <v>283</v>
      </c>
      <c r="C16" s="788">
        <v>116000</v>
      </c>
      <c r="D16" s="852">
        <v>0</v>
      </c>
      <c r="E16" s="852">
        <f t="shared" ref="E16:E21" si="3">C16-D16</f>
        <v>116000</v>
      </c>
      <c r="F16" s="852">
        <f>E16-G16</f>
        <v>116000</v>
      </c>
      <c r="G16" s="852">
        <v>0</v>
      </c>
      <c r="H16" s="788">
        <v>116000</v>
      </c>
      <c r="I16" s="847"/>
      <c r="J16" s="788"/>
      <c r="K16" s="788">
        <f>H16-J16</f>
        <v>116000</v>
      </c>
      <c r="L16" s="788">
        <f t="shared" ref="L16:L28" si="4">K16</f>
        <v>116000</v>
      </c>
      <c r="M16" s="788">
        <v>0</v>
      </c>
      <c r="N16" s="788">
        <v>124500</v>
      </c>
      <c r="O16" s="847"/>
      <c r="P16" s="788"/>
      <c r="Q16" s="788">
        <f t="shared" ref="Q16:Q21" si="5">N16-P16</f>
        <v>124500</v>
      </c>
      <c r="R16" s="788">
        <f t="shared" ref="R16:R18" si="6">Q16</f>
        <v>124500</v>
      </c>
      <c r="S16" s="788">
        <v>0</v>
      </c>
      <c r="T16" s="788">
        <v>126000</v>
      </c>
      <c r="U16" s="847"/>
      <c r="V16" s="788"/>
      <c r="W16" s="788">
        <f t="shared" ref="W16:W19" si="7">T16-V16</f>
        <v>126000</v>
      </c>
      <c r="X16" s="788">
        <f t="shared" ref="X16:X19" si="8">W16</f>
        <v>126000</v>
      </c>
      <c r="Y16" s="788">
        <v>0</v>
      </c>
      <c r="Z16" s="788">
        <v>132000</v>
      </c>
      <c r="AA16" s="847"/>
      <c r="AB16" s="788"/>
      <c r="AC16" s="788">
        <f t="shared" ref="AC16:AC19" si="9">Z16-AB16</f>
        <v>132000</v>
      </c>
      <c r="AD16" s="788">
        <f t="shared" ref="AD16:AD21" si="10">AC16</f>
        <v>132000</v>
      </c>
      <c r="AE16" s="788">
        <v>0</v>
      </c>
    </row>
    <row r="17" spans="1:31" s="294" customFormat="1" ht="15.75" hidden="1" customHeight="1" x14ac:dyDescent="0.25">
      <c r="A17" s="295"/>
      <c r="B17" s="247" t="s">
        <v>284</v>
      </c>
      <c r="C17" s="788">
        <v>21000</v>
      </c>
      <c r="D17" s="852">
        <v>0</v>
      </c>
      <c r="E17" s="852">
        <f t="shared" si="3"/>
        <v>21000</v>
      </c>
      <c r="F17" s="852">
        <f t="shared" ref="F17:F34" si="11">E17-G17</f>
        <v>21000</v>
      </c>
      <c r="G17" s="852">
        <v>0</v>
      </c>
      <c r="H17" s="788">
        <v>15000</v>
      </c>
      <c r="I17" s="847"/>
      <c r="J17" s="788"/>
      <c r="K17" s="788">
        <f t="shared" ref="K17:K28" si="12">H17-J17</f>
        <v>15000</v>
      </c>
      <c r="L17" s="788">
        <f t="shared" si="4"/>
        <v>15000</v>
      </c>
      <c r="M17" s="788">
        <v>0</v>
      </c>
      <c r="N17" s="788">
        <v>15500</v>
      </c>
      <c r="O17" s="847"/>
      <c r="P17" s="788"/>
      <c r="Q17" s="788">
        <f t="shared" si="5"/>
        <v>15500</v>
      </c>
      <c r="R17" s="788">
        <f t="shared" si="6"/>
        <v>15500</v>
      </c>
      <c r="S17" s="788">
        <v>0</v>
      </c>
      <c r="T17" s="788">
        <v>16000</v>
      </c>
      <c r="U17" s="847"/>
      <c r="V17" s="788"/>
      <c r="W17" s="788">
        <f t="shared" si="7"/>
        <v>16000</v>
      </c>
      <c r="X17" s="788">
        <f t="shared" si="8"/>
        <v>16000</v>
      </c>
      <c r="Y17" s="788">
        <v>0</v>
      </c>
      <c r="Z17" s="788">
        <v>17000</v>
      </c>
      <c r="AA17" s="847"/>
      <c r="AB17" s="788"/>
      <c r="AC17" s="788">
        <f t="shared" si="9"/>
        <v>17000</v>
      </c>
      <c r="AD17" s="788">
        <f t="shared" si="10"/>
        <v>17000</v>
      </c>
      <c r="AE17" s="788">
        <v>0</v>
      </c>
    </row>
    <row r="18" spans="1:31" s="294" customFormat="1" ht="15.75" hidden="1" customHeight="1" x14ac:dyDescent="0.25">
      <c r="A18" s="295"/>
      <c r="B18" s="247" t="s">
        <v>285</v>
      </c>
      <c r="C18" s="788">
        <v>78000</v>
      </c>
      <c r="D18" s="852">
        <v>0</v>
      </c>
      <c r="E18" s="852">
        <f t="shared" si="3"/>
        <v>78000</v>
      </c>
      <c r="F18" s="852">
        <f t="shared" si="11"/>
        <v>78000</v>
      </c>
      <c r="G18" s="852">
        <v>0</v>
      </c>
      <c r="H18" s="788">
        <v>51000</v>
      </c>
      <c r="I18" s="847"/>
      <c r="J18" s="788"/>
      <c r="K18" s="788">
        <f t="shared" si="12"/>
        <v>51000</v>
      </c>
      <c r="L18" s="788">
        <f t="shared" si="4"/>
        <v>51000</v>
      </c>
      <c r="M18" s="788">
        <v>0</v>
      </c>
      <c r="N18" s="788">
        <v>55000</v>
      </c>
      <c r="O18" s="847"/>
      <c r="P18" s="788"/>
      <c r="Q18" s="788">
        <f t="shared" si="5"/>
        <v>55000</v>
      </c>
      <c r="R18" s="788">
        <f t="shared" si="6"/>
        <v>55000</v>
      </c>
      <c r="S18" s="788">
        <v>0</v>
      </c>
      <c r="T18" s="788">
        <v>58000</v>
      </c>
      <c r="U18" s="847"/>
      <c r="V18" s="788"/>
      <c r="W18" s="788">
        <f t="shared" si="7"/>
        <v>58000</v>
      </c>
      <c r="X18" s="788">
        <f t="shared" si="8"/>
        <v>58000</v>
      </c>
      <c r="Y18" s="788">
        <v>0</v>
      </c>
      <c r="Z18" s="788">
        <v>61000</v>
      </c>
      <c r="AA18" s="847"/>
      <c r="AB18" s="788"/>
      <c r="AC18" s="788">
        <f t="shared" si="9"/>
        <v>61000</v>
      </c>
      <c r="AD18" s="788">
        <f t="shared" si="10"/>
        <v>61000</v>
      </c>
      <c r="AE18" s="788">
        <v>0</v>
      </c>
    </row>
    <row r="19" spans="1:31" s="294" customFormat="1" ht="15.75" hidden="1" customHeight="1" x14ac:dyDescent="0.25">
      <c r="A19" s="295"/>
      <c r="B19" s="247" t="s">
        <v>286</v>
      </c>
      <c r="C19" s="788">
        <v>0</v>
      </c>
      <c r="D19" s="852">
        <v>0</v>
      </c>
      <c r="E19" s="852">
        <f t="shared" si="3"/>
        <v>0</v>
      </c>
      <c r="F19" s="852">
        <f t="shared" si="11"/>
        <v>0</v>
      </c>
      <c r="G19" s="852">
        <v>0</v>
      </c>
      <c r="H19" s="788">
        <f>C19*1.05</f>
        <v>0</v>
      </c>
      <c r="I19" s="847"/>
      <c r="J19" s="788"/>
      <c r="K19" s="788">
        <f t="shared" si="12"/>
        <v>0</v>
      </c>
      <c r="L19" s="788">
        <f t="shared" si="4"/>
        <v>0</v>
      </c>
      <c r="M19" s="788">
        <v>0</v>
      </c>
      <c r="N19" s="788">
        <v>0</v>
      </c>
      <c r="O19" s="847"/>
      <c r="P19" s="788"/>
      <c r="Q19" s="788">
        <f t="shared" si="5"/>
        <v>0</v>
      </c>
      <c r="R19" s="788"/>
      <c r="S19" s="788">
        <v>0</v>
      </c>
      <c r="T19" s="788">
        <v>0</v>
      </c>
      <c r="U19" s="847"/>
      <c r="V19" s="788"/>
      <c r="W19" s="788">
        <f t="shared" si="7"/>
        <v>0</v>
      </c>
      <c r="X19" s="788">
        <f t="shared" si="8"/>
        <v>0</v>
      </c>
      <c r="Y19" s="788">
        <v>0</v>
      </c>
      <c r="Z19" s="788">
        <v>0</v>
      </c>
      <c r="AA19" s="847"/>
      <c r="AB19" s="788"/>
      <c r="AC19" s="788">
        <f t="shared" si="9"/>
        <v>0</v>
      </c>
      <c r="AD19" s="788">
        <f t="shared" si="10"/>
        <v>0</v>
      </c>
      <c r="AE19" s="788">
        <v>0</v>
      </c>
    </row>
    <row r="20" spans="1:31" s="294" customFormat="1" ht="15.75" hidden="1" customHeight="1" x14ac:dyDescent="0.25">
      <c r="A20" s="295"/>
      <c r="B20" s="247" t="s">
        <v>497</v>
      </c>
      <c r="C20" s="788">
        <v>0</v>
      </c>
      <c r="D20" s="852">
        <v>0</v>
      </c>
      <c r="E20" s="852">
        <f t="shared" si="3"/>
        <v>0</v>
      </c>
      <c r="F20" s="852">
        <f t="shared" si="11"/>
        <v>0</v>
      </c>
      <c r="G20" s="852">
        <v>0</v>
      </c>
      <c r="H20" s="788"/>
      <c r="I20" s="847"/>
      <c r="J20" s="788"/>
      <c r="K20" s="788">
        <f t="shared" si="12"/>
        <v>0</v>
      </c>
      <c r="L20" s="788">
        <f t="shared" si="4"/>
        <v>0</v>
      </c>
      <c r="M20" s="788">
        <v>0</v>
      </c>
      <c r="N20" s="788">
        <v>0</v>
      </c>
      <c r="O20" s="847"/>
      <c r="P20" s="788"/>
      <c r="Q20" s="788">
        <f t="shared" si="5"/>
        <v>0</v>
      </c>
      <c r="R20" s="788"/>
      <c r="S20" s="788"/>
      <c r="T20" s="788"/>
      <c r="U20" s="847"/>
      <c r="V20" s="788"/>
      <c r="W20" s="788"/>
      <c r="X20" s="788"/>
      <c r="Y20" s="788"/>
      <c r="Z20" s="788"/>
      <c r="AA20" s="847"/>
      <c r="AB20" s="788"/>
      <c r="AC20" s="788"/>
      <c r="AD20" s="788">
        <f t="shared" si="10"/>
        <v>0</v>
      </c>
      <c r="AE20" s="788">
        <v>0</v>
      </c>
    </row>
    <row r="21" spans="1:31" s="294" customFormat="1" ht="15.75" hidden="1" customHeight="1" x14ac:dyDescent="0.25">
      <c r="A21" s="295"/>
      <c r="B21" s="247" t="s">
        <v>340</v>
      </c>
      <c r="C21" s="788"/>
      <c r="D21" s="852">
        <f>C21</f>
        <v>0</v>
      </c>
      <c r="E21" s="852">
        <f t="shared" si="3"/>
        <v>0</v>
      </c>
      <c r="F21" s="852">
        <f t="shared" si="11"/>
        <v>0</v>
      </c>
      <c r="G21" s="852">
        <v>0</v>
      </c>
      <c r="H21" s="788"/>
      <c r="I21" s="847"/>
      <c r="J21" s="788">
        <f>H21</f>
        <v>0</v>
      </c>
      <c r="K21" s="788">
        <f t="shared" si="12"/>
        <v>0</v>
      </c>
      <c r="L21" s="788">
        <f t="shared" si="4"/>
        <v>0</v>
      </c>
      <c r="M21" s="788">
        <v>0</v>
      </c>
      <c r="N21" s="788">
        <v>0</v>
      </c>
      <c r="O21" s="847"/>
      <c r="P21" s="788">
        <f>N21</f>
        <v>0</v>
      </c>
      <c r="Q21" s="788">
        <f t="shared" si="5"/>
        <v>0</v>
      </c>
      <c r="R21" s="788"/>
      <c r="S21" s="788"/>
      <c r="T21" s="788"/>
      <c r="U21" s="847"/>
      <c r="V21" s="788"/>
      <c r="W21" s="788"/>
      <c r="X21" s="788"/>
      <c r="Y21" s="788"/>
      <c r="Z21" s="788"/>
      <c r="AA21" s="847"/>
      <c r="AB21" s="788"/>
      <c r="AC21" s="788"/>
      <c r="AD21" s="788">
        <f t="shared" si="10"/>
        <v>0</v>
      </c>
      <c r="AE21" s="788">
        <v>0</v>
      </c>
    </row>
    <row r="22" spans="1:31" s="294" customFormat="1" x14ac:dyDescent="0.25">
      <c r="A22" s="161">
        <v>2</v>
      </c>
      <c r="B22" s="27" t="s">
        <v>415</v>
      </c>
      <c r="C22" s="797">
        <f t="shared" ref="C22:H22" si="13">SUM(C23:C28)</f>
        <v>320000</v>
      </c>
      <c r="D22" s="851">
        <f t="shared" si="13"/>
        <v>0</v>
      </c>
      <c r="E22" s="851">
        <f t="shared" si="13"/>
        <v>320000</v>
      </c>
      <c r="F22" s="851">
        <f t="shared" si="13"/>
        <v>320000</v>
      </c>
      <c r="G22" s="851">
        <f t="shared" si="13"/>
        <v>0</v>
      </c>
      <c r="H22" s="797">
        <f t="shared" si="13"/>
        <v>410000</v>
      </c>
      <c r="I22" s="846">
        <f>H22/C22*100</f>
        <v>128.125</v>
      </c>
      <c r="J22" s="797">
        <f>SUM(J23:J28)</f>
        <v>0</v>
      </c>
      <c r="K22" s="797">
        <f>SUM(K23:K28)</f>
        <v>410000</v>
      </c>
      <c r="L22" s="797">
        <f>SUM(L23:L28)</f>
        <v>410000</v>
      </c>
      <c r="M22" s="797">
        <f>SUM(M23:M28)</f>
        <v>0</v>
      </c>
      <c r="N22" s="797">
        <f>SUM(N23:N28)</f>
        <v>440000</v>
      </c>
      <c r="O22" s="846">
        <f>N22/H22*100</f>
        <v>107.31707317073172</v>
      </c>
      <c r="P22" s="797">
        <f>SUM(P23:P28)</f>
        <v>0</v>
      </c>
      <c r="Q22" s="797">
        <f>SUM(Q23:Q28)</f>
        <v>440000</v>
      </c>
      <c r="R22" s="797">
        <f t="shared" ref="R22:S22" si="14">SUM(R23:R28)</f>
        <v>440000</v>
      </c>
      <c r="S22" s="797">
        <f t="shared" si="14"/>
        <v>0</v>
      </c>
      <c r="T22" s="797">
        <f>SUM(T23:T28)</f>
        <v>470000</v>
      </c>
      <c r="U22" s="846">
        <f>T22/N22*100</f>
        <v>106.81818181818181</v>
      </c>
      <c r="V22" s="797">
        <f t="shared" ref="V22:Y22" si="15">SUM(V23:V28)</f>
        <v>0</v>
      </c>
      <c r="W22" s="797">
        <f t="shared" si="15"/>
        <v>470000</v>
      </c>
      <c r="X22" s="797">
        <f t="shared" si="15"/>
        <v>470000</v>
      </c>
      <c r="Y22" s="797">
        <f t="shared" si="15"/>
        <v>0</v>
      </c>
      <c r="Z22" s="797">
        <f>SUM(Z23:Z28)</f>
        <v>490000</v>
      </c>
      <c r="AA22" s="846">
        <f>Z22/T22*100</f>
        <v>104.25531914893618</v>
      </c>
      <c r="AB22" s="797">
        <f>SUM(AB23:AB28)</f>
        <v>0</v>
      </c>
      <c r="AC22" s="797">
        <f>SUM(AC23:AC28)</f>
        <v>490000</v>
      </c>
      <c r="AD22" s="797">
        <f>SUM(AD23:AD28)</f>
        <v>490000</v>
      </c>
      <c r="AE22" s="797">
        <f t="shared" ref="AE22" si="16">SUM(AE23:AE28)</f>
        <v>0</v>
      </c>
    </row>
    <row r="23" spans="1:31" s="294" customFormat="1" ht="15.75" customHeight="1" x14ac:dyDescent="0.25">
      <c r="A23" s="295"/>
      <c r="B23" s="247" t="s">
        <v>283</v>
      </c>
      <c r="C23" s="788">
        <v>249800</v>
      </c>
      <c r="D23" s="852">
        <v>0</v>
      </c>
      <c r="E23" s="852">
        <f t="shared" ref="E23:E28" si="17">C23-D23</f>
        <v>249800</v>
      </c>
      <c r="F23" s="852">
        <f t="shared" si="11"/>
        <v>249800</v>
      </c>
      <c r="G23" s="852">
        <v>0</v>
      </c>
      <c r="H23" s="788">
        <v>260000</v>
      </c>
      <c r="I23" s="847"/>
      <c r="J23" s="788"/>
      <c r="K23" s="788">
        <f t="shared" si="12"/>
        <v>260000</v>
      </c>
      <c r="L23" s="788">
        <f t="shared" si="4"/>
        <v>260000</v>
      </c>
      <c r="M23" s="788">
        <v>0</v>
      </c>
      <c r="N23" s="788">
        <v>280000</v>
      </c>
      <c r="O23" s="847"/>
      <c r="P23" s="788"/>
      <c r="Q23" s="788">
        <f t="shared" ref="Q23:Q28" si="18">N23-P23</f>
        <v>280000</v>
      </c>
      <c r="R23" s="788">
        <f t="shared" ref="R23:R28" si="19">Q23</f>
        <v>280000</v>
      </c>
      <c r="S23" s="788">
        <v>0</v>
      </c>
      <c r="T23" s="788">
        <v>300000</v>
      </c>
      <c r="U23" s="847"/>
      <c r="V23" s="788"/>
      <c r="W23" s="788">
        <f t="shared" ref="W23:W28" si="20">T23-V23</f>
        <v>300000</v>
      </c>
      <c r="X23" s="788">
        <f t="shared" ref="X23:X28" si="21">W23</f>
        <v>300000</v>
      </c>
      <c r="Y23" s="788">
        <v>0</v>
      </c>
      <c r="Z23" s="788">
        <v>310000</v>
      </c>
      <c r="AA23" s="847"/>
      <c r="AB23" s="788"/>
      <c r="AC23" s="788">
        <f t="shared" ref="AC23:AC28" si="22">Z23-AB23</f>
        <v>310000</v>
      </c>
      <c r="AD23" s="788">
        <f t="shared" ref="AD23:AD28" si="23">AC23</f>
        <v>310000</v>
      </c>
      <c r="AE23" s="788">
        <v>0</v>
      </c>
    </row>
    <row r="24" spans="1:31" s="294" customFormat="1" ht="15.75" customHeight="1" x14ac:dyDescent="0.25">
      <c r="A24" s="295"/>
      <c r="B24" s="247" t="s">
        <v>284</v>
      </c>
      <c r="C24" s="788">
        <v>37000</v>
      </c>
      <c r="D24" s="852">
        <v>0</v>
      </c>
      <c r="E24" s="852">
        <f t="shared" si="17"/>
        <v>37000</v>
      </c>
      <c r="F24" s="852">
        <f t="shared" si="11"/>
        <v>37000</v>
      </c>
      <c r="G24" s="852">
        <v>0</v>
      </c>
      <c r="H24" s="788">
        <v>80000</v>
      </c>
      <c r="I24" s="847"/>
      <c r="J24" s="788"/>
      <c r="K24" s="788">
        <f t="shared" si="12"/>
        <v>80000</v>
      </c>
      <c r="L24" s="788">
        <f t="shared" si="4"/>
        <v>80000</v>
      </c>
      <c r="M24" s="788">
        <v>0</v>
      </c>
      <c r="N24" s="788">
        <v>85000</v>
      </c>
      <c r="O24" s="847"/>
      <c r="P24" s="788"/>
      <c r="Q24" s="788">
        <f t="shared" si="18"/>
        <v>85000</v>
      </c>
      <c r="R24" s="788">
        <f t="shared" si="19"/>
        <v>85000</v>
      </c>
      <c r="S24" s="788">
        <v>0</v>
      </c>
      <c r="T24" s="788">
        <v>90000</v>
      </c>
      <c r="U24" s="847"/>
      <c r="V24" s="788"/>
      <c r="W24" s="788">
        <f t="shared" si="20"/>
        <v>90000</v>
      </c>
      <c r="X24" s="788">
        <f t="shared" si="21"/>
        <v>90000</v>
      </c>
      <c r="Y24" s="788">
        <v>0</v>
      </c>
      <c r="Z24" s="788">
        <v>100000</v>
      </c>
      <c r="AA24" s="847"/>
      <c r="AB24" s="788"/>
      <c r="AC24" s="788">
        <f t="shared" si="22"/>
        <v>100000</v>
      </c>
      <c r="AD24" s="788">
        <f t="shared" si="23"/>
        <v>100000</v>
      </c>
      <c r="AE24" s="788">
        <v>0</v>
      </c>
    </row>
    <row r="25" spans="1:31" s="294" customFormat="1" ht="15.75" customHeight="1" x14ac:dyDescent="0.25">
      <c r="A25" s="295"/>
      <c r="B25" s="247" t="s">
        <v>285</v>
      </c>
      <c r="C25" s="788">
        <v>200</v>
      </c>
      <c r="D25" s="852">
        <v>0</v>
      </c>
      <c r="E25" s="852">
        <f t="shared" si="17"/>
        <v>200</v>
      </c>
      <c r="F25" s="852">
        <f t="shared" si="11"/>
        <v>200</v>
      </c>
      <c r="G25" s="852">
        <v>0</v>
      </c>
      <c r="H25" s="788">
        <v>0</v>
      </c>
      <c r="I25" s="847"/>
      <c r="J25" s="788"/>
      <c r="K25" s="788">
        <f t="shared" si="12"/>
        <v>0</v>
      </c>
      <c r="L25" s="788">
        <f t="shared" si="4"/>
        <v>0</v>
      </c>
      <c r="M25" s="788">
        <v>0</v>
      </c>
      <c r="N25" s="788">
        <v>0</v>
      </c>
      <c r="O25" s="847"/>
      <c r="P25" s="788"/>
      <c r="Q25" s="788">
        <f t="shared" si="18"/>
        <v>0</v>
      </c>
      <c r="R25" s="788">
        <f t="shared" si="19"/>
        <v>0</v>
      </c>
      <c r="S25" s="788">
        <v>0</v>
      </c>
      <c r="T25" s="788"/>
      <c r="U25" s="847"/>
      <c r="V25" s="788"/>
      <c r="W25" s="788">
        <f t="shared" si="20"/>
        <v>0</v>
      </c>
      <c r="X25" s="788">
        <f t="shared" si="21"/>
        <v>0</v>
      </c>
      <c r="Y25" s="788">
        <v>0</v>
      </c>
      <c r="Z25" s="788"/>
      <c r="AA25" s="847"/>
      <c r="AB25" s="788"/>
      <c r="AC25" s="788">
        <f t="shared" si="22"/>
        <v>0</v>
      </c>
      <c r="AD25" s="788">
        <f t="shared" si="23"/>
        <v>0</v>
      </c>
      <c r="AE25" s="788">
        <v>0</v>
      </c>
    </row>
    <row r="26" spans="1:31" s="294" customFormat="1" ht="15.75" customHeight="1" x14ac:dyDescent="0.25">
      <c r="A26" s="295"/>
      <c r="B26" s="247" t="s">
        <v>286</v>
      </c>
      <c r="C26" s="788">
        <v>33000</v>
      </c>
      <c r="D26" s="852">
        <v>0</v>
      </c>
      <c r="E26" s="852">
        <f t="shared" si="17"/>
        <v>33000</v>
      </c>
      <c r="F26" s="852">
        <f t="shared" si="11"/>
        <v>33000</v>
      </c>
      <c r="G26" s="852">
        <v>0</v>
      </c>
      <c r="H26" s="788">
        <v>70000</v>
      </c>
      <c r="I26" s="847"/>
      <c r="J26" s="788"/>
      <c r="K26" s="788">
        <f t="shared" si="12"/>
        <v>70000</v>
      </c>
      <c r="L26" s="788">
        <f t="shared" si="4"/>
        <v>70000</v>
      </c>
      <c r="M26" s="788">
        <v>0</v>
      </c>
      <c r="N26" s="788">
        <v>75000</v>
      </c>
      <c r="O26" s="847"/>
      <c r="P26" s="788"/>
      <c r="Q26" s="788">
        <f t="shared" si="18"/>
        <v>75000</v>
      </c>
      <c r="R26" s="788">
        <f t="shared" si="19"/>
        <v>75000</v>
      </c>
      <c r="S26" s="788">
        <v>0</v>
      </c>
      <c r="T26" s="788">
        <v>80000</v>
      </c>
      <c r="U26" s="847"/>
      <c r="V26" s="788"/>
      <c r="W26" s="788">
        <f t="shared" si="20"/>
        <v>80000</v>
      </c>
      <c r="X26" s="788">
        <f t="shared" si="21"/>
        <v>80000</v>
      </c>
      <c r="Y26" s="788">
        <v>0</v>
      </c>
      <c r="Z26" s="788">
        <v>80000</v>
      </c>
      <c r="AA26" s="847"/>
      <c r="AB26" s="788"/>
      <c r="AC26" s="788">
        <f t="shared" si="22"/>
        <v>80000</v>
      </c>
      <c r="AD26" s="788">
        <f t="shared" si="23"/>
        <v>80000</v>
      </c>
      <c r="AE26" s="788">
        <v>0</v>
      </c>
    </row>
    <row r="27" spans="1:31" s="294" customFormat="1" ht="15.75" customHeight="1" x14ac:dyDescent="0.25">
      <c r="A27" s="295"/>
      <c r="B27" s="247" t="s">
        <v>287</v>
      </c>
      <c r="C27" s="788">
        <v>0</v>
      </c>
      <c r="D27" s="852">
        <v>0</v>
      </c>
      <c r="E27" s="852">
        <f t="shared" si="17"/>
        <v>0</v>
      </c>
      <c r="F27" s="852">
        <f t="shared" si="11"/>
        <v>0</v>
      </c>
      <c r="G27" s="852">
        <v>0</v>
      </c>
      <c r="H27" s="788">
        <v>0</v>
      </c>
      <c r="I27" s="847"/>
      <c r="J27" s="788"/>
      <c r="K27" s="788">
        <f t="shared" si="12"/>
        <v>0</v>
      </c>
      <c r="L27" s="788">
        <f t="shared" si="4"/>
        <v>0</v>
      </c>
      <c r="M27" s="788">
        <v>0</v>
      </c>
      <c r="N27" s="788">
        <v>0</v>
      </c>
      <c r="O27" s="847"/>
      <c r="P27" s="788"/>
      <c r="Q27" s="788">
        <f t="shared" si="18"/>
        <v>0</v>
      </c>
      <c r="R27" s="788">
        <f t="shared" si="19"/>
        <v>0</v>
      </c>
      <c r="S27" s="788">
        <v>0</v>
      </c>
      <c r="T27" s="788">
        <v>0</v>
      </c>
      <c r="U27" s="847"/>
      <c r="V27" s="788"/>
      <c r="W27" s="788">
        <f t="shared" si="20"/>
        <v>0</v>
      </c>
      <c r="X27" s="788">
        <f t="shared" si="21"/>
        <v>0</v>
      </c>
      <c r="Y27" s="788">
        <v>0</v>
      </c>
      <c r="Z27" s="788">
        <v>0</v>
      </c>
      <c r="AA27" s="847"/>
      <c r="AB27" s="788"/>
      <c r="AC27" s="788">
        <f t="shared" si="22"/>
        <v>0</v>
      </c>
      <c r="AD27" s="788">
        <f t="shared" si="23"/>
        <v>0</v>
      </c>
      <c r="AE27" s="788">
        <v>0</v>
      </c>
    </row>
    <row r="28" spans="1:31" s="294" customFormat="1" ht="15.75" customHeight="1" x14ac:dyDescent="0.25">
      <c r="A28" s="295"/>
      <c r="B28" s="247" t="s">
        <v>340</v>
      </c>
      <c r="C28" s="788">
        <v>0</v>
      </c>
      <c r="D28" s="852">
        <v>0</v>
      </c>
      <c r="E28" s="852">
        <f t="shared" si="17"/>
        <v>0</v>
      </c>
      <c r="F28" s="852">
        <f t="shared" si="11"/>
        <v>0</v>
      </c>
      <c r="G28" s="852">
        <v>0</v>
      </c>
      <c r="H28" s="788"/>
      <c r="I28" s="847"/>
      <c r="J28" s="788"/>
      <c r="K28" s="788">
        <f t="shared" si="12"/>
        <v>0</v>
      </c>
      <c r="L28" s="788">
        <f t="shared" si="4"/>
        <v>0</v>
      </c>
      <c r="M28" s="788">
        <v>0</v>
      </c>
      <c r="N28" s="788">
        <v>0</v>
      </c>
      <c r="O28" s="847"/>
      <c r="P28" s="788"/>
      <c r="Q28" s="788">
        <f t="shared" si="18"/>
        <v>0</v>
      </c>
      <c r="R28" s="788">
        <f t="shared" si="19"/>
        <v>0</v>
      </c>
      <c r="S28" s="788">
        <v>0</v>
      </c>
      <c r="T28" s="788"/>
      <c r="U28" s="847"/>
      <c r="V28" s="788"/>
      <c r="W28" s="788">
        <f t="shared" si="20"/>
        <v>0</v>
      </c>
      <c r="X28" s="788">
        <f t="shared" si="21"/>
        <v>0</v>
      </c>
      <c r="Y28" s="788">
        <v>0</v>
      </c>
      <c r="Z28" s="788"/>
      <c r="AA28" s="847"/>
      <c r="AB28" s="788"/>
      <c r="AC28" s="788">
        <f t="shared" si="22"/>
        <v>0</v>
      </c>
      <c r="AD28" s="788">
        <f t="shared" si="23"/>
        <v>0</v>
      </c>
      <c r="AE28" s="788">
        <v>0</v>
      </c>
    </row>
    <row r="29" spans="1:31" s="294" customFormat="1" ht="16.5" customHeight="1" x14ac:dyDescent="0.25">
      <c r="A29" s="161">
        <v>3</v>
      </c>
      <c r="B29" s="27" t="s">
        <v>341</v>
      </c>
      <c r="C29" s="797">
        <f t="shared" ref="C29:H29" si="24">SUM(C30:C34)</f>
        <v>31000</v>
      </c>
      <c r="D29" s="851">
        <f t="shared" si="24"/>
        <v>0</v>
      </c>
      <c r="E29" s="851">
        <f t="shared" si="24"/>
        <v>31000</v>
      </c>
      <c r="F29" s="851">
        <f t="shared" si="24"/>
        <v>31000</v>
      </c>
      <c r="G29" s="851">
        <f t="shared" si="24"/>
        <v>0</v>
      </c>
      <c r="H29" s="797">
        <f t="shared" si="24"/>
        <v>31000</v>
      </c>
      <c r="I29" s="846">
        <f>H29/C29*100</f>
        <v>100</v>
      </c>
      <c r="J29" s="797">
        <f>SUM(J30:J34)</f>
        <v>0</v>
      </c>
      <c r="K29" s="797">
        <f>SUM(K30:K34)</f>
        <v>31000</v>
      </c>
      <c r="L29" s="797">
        <f>SUM(L30:L34)</f>
        <v>31000</v>
      </c>
      <c r="M29" s="797">
        <f>SUM(M30:M34)</f>
        <v>0</v>
      </c>
      <c r="N29" s="797">
        <f>SUM(N30:N34)</f>
        <v>33000</v>
      </c>
      <c r="O29" s="846">
        <f>N29/H29*100</f>
        <v>106.45161290322579</v>
      </c>
      <c r="P29" s="797">
        <f>SUM(P30:P34)</f>
        <v>0</v>
      </c>
      <c r="Q29" s="797">
        <f>SUM(Q30:Q34)</f>
        <v>33000</v>
      </c>
      <c r="R29" s="797">
        <f>SUM(R30:R34)</f>
        <v>33000</v>
      </c>
      <c r="S29" s="797">
        <f>SUM(S30:S34)</f>
        <v>0</v>
      </c>
      <c r="T29" s="797">
        <f>SUM(T30:T34)</f>
        <v>35000</v>
      </c>
      <c r="U29" s="846">
        <f>T29/N29*100</f>
        <v>106.06060606060606</v>
      </c>
      <c r="V29" s="797">
        <f>SUM(V30:V34)</f>
        <v>0</v>
      </c>
      <c r="W29" s="797">
        <f>SUM(W30:W34)</f>
        <v>35000</v>
      </c>
      <c r="X29" s="797">
        <f>SUM(X30:X34)</f>
        <v>35000</v>
      </c>
      <c r="Y29" s="797">
        <f>SUM(Y30:Y34)</f>
        <v>0</v>
      </c>
      <c r="Z29" s="797">
        <f>SUM(Z30:Z34)</f>
        <v>37000</v>
      </c>
      <c r="AA29" s="846">
        <f>Z29/T29*100</f>
        <v>105.71428571428572</v>
      </c>
      <c r="AB29" s="797">
        <f>SUM(AB30:AB34)</f>
        <v>0</v>
      </c>
      <c r="AC29" s="797">
        <f>SUM(AC30:AC34)</f>
        <v>37000</v>
      </c>
      <c r="AD29" s="797">
        <f>SUM(AD30:AD34)</f>
        <v>37000</v>
      </c>
      <c r="AE29" s="797">
        <f>SUM(AE30:AE34)</f>
        <v>0</v>
      </c>
    </row>
    <row r="30" spans="1:31" s="294" customFormat="1" ht="15.75" hidden="1" customHeight="1" x14ac:dyDescent="0.25">
      <c r="A30" s="295"/>
      <c r="B30" s="247" t="s">
        <v>283</v>
      </c>
      <c r="C30" s="788">
        <v>12400</v>
      </c>
      <c r="D30" s="852">
        <v>0</v>
      </c>
      <c r="E30" s="852">
        <f>C30-D30</f>
        <v>12400</v>
      </c>
      <c r="F30" s="852">
        <f t="shared" si="11"/>
        <v>12400</v>
      </c>
      <c r="G30" s="852">
        <v>0</v>
      </c>
      <c r="H30" s="788">
        <v>10400</v>
      </c>
      <c r="I30" s="847"/>
      <c r="J30" s="788">
        <f>0</f>
        <v>0</v>
      </c>
      <c r="K30" s="788">
        <f>H30-J30</f>
        <v>10400</v>
      </c>
      <c r="L30" s="788">
        <f>K30-M30</f>
        <v>10400</v>
      </c>
      <c r="M30" s="788">
        <v>0</v>
      </c>
      <c r="N30" s="788">
        <v>11400</v>
      </c>
      <c r="O30" s="847"/>
      <c r="P30" s="788"/>
      <c r="Q30" s="788">
        <f>N30-P30</f>
        <v>11400</v>
      </c>
      <c r="R30" s="788">
        <f>Q30-S30</f>
        <v>11400</v>
      </c>
      <c r="S30" s="788">
        <v>0</v>
      </c>
      <c r="T30" s="788">
        <v>10900</v>
      </c>
      <c r="U30" s="847"/>
      <c r="V30" s="788"/>
      <c r="W30" s="788">
        <f>T30-V30</f>
        <v>10900</v>
      </c>
      <c r="X30" s="788">
        <f>W30-Y30</f>
        <v>10900</v>
      </c>
      <c r="Y30" s="788">
        <v>0</v>
      </c>
      <c r="Z30" s="788">
        <v>11400</v>
      </c>
      <c r="AA30" s="847"/>
      <c r="AB30" s="788"/>
      <c r="AC30" s="788">
        <f>Z30-AB30</f>
        <v>11400</v>
      </c>
      <c r="AD30" s="788">
        <f>AC30-AE30</f>
        <v>11400</v>
      </c>
      <c r="AE30" s="788">
        <v>0</v>
      </c>
    </row>
    <row r="31" spans="1:31" s="294" customFormat="1" ht="15.75" hidden="1" customHeight="1" x14ac:dyDescent="0.25">
      <c r="A31" s="295"/>
      <c r="B31" s="247" t="s">
        <v>284</v>
      </c>
      <c r="C31" s="788">
        <v>18500</v>
      </c>
      <c r="D31" s="852">
        <v>0</v>
      </c>
      <c r="E31" s="852">
        <f>C31-D31</f>
        <v>18500</v>
      </c>
      <c r="F31" s="852">
        <f t="shared" si="11"/>
        <v>18500</v>
      </c>
      <c r="G31" s="852">
        <v>0</v>
      </c>
      <c r="H31" s="788">
        <v>20500</v>
      </c>
      <c r="I31" s="847"/>
      <c r="J31" s="788">
        <f>0</f>
        <v>0</v>
      </c>
      <c r="K31" s="788">
        <f>H31-J31</f>
        <v>20500</v>
      </c>
      <c r="L31" s="788">
        <f>K31-M31</f>
        <v>20500</v>
      </c>
      <c r="M31" s="788">
        <v>0</v>
      </c>
      <c r="N31" s="788">
        <v>21500</v>
      </c>
      <c r="O31" s="847"/>
      <c r="P31" s="788"/>
      <c r="Q31" s="788">
        <f>N31-P31</f>
        <v>21500</v>
      </c>
      <c r="R31" s="788">
        <f>Q31-S31</f>
        <v>21500</v>
      </c>
      <c r="S31" s="788">
        <v>0</v>
      </c>
      <c r="T31" s="788">
        <v>24000</v>
      </c>
      <c r="U31" s="847"/>
      <c r="V31" s="788"/>
      <c r="W31" s="788">
        <f>T31-V31</f>
        <v>24000</v>
      </c>
      <c r="X31" s="788">
        <f>W31-Y31</f>
        <v>24000</v>
      </c>
      <c r="Y31" s="788">
        <v>0</v>
      </c>
      <c r="Z31" s="788">
        <v>25500</v>
      </c>
      <c r="AA31" s="847"/>
      <c r="AB31" s="788"/>
      <c r="AC31" s="788">
        <f>Z31-AB31</f>
        <v>25500</v>
      </c>
      <c r="AD31" s="788">
        <f>AC31-AE31</f>
        <v>25500</v>
      </c>
      <c r="AE31" s="788">
        <v>0</v>
      </c>
    </row>
    <row r="32" spans="1:31" s="294" customFormat="1" ht="15.75" hidden="1" customHeight="1" x14ac:dyDescent="0.25">
      <c r="A32" s="295"/>
      <c r="B32" s="247" t="s">
        <v>286</v>
      </c>
      <c r="C32" s="788">
        <v>100</v>
      </c>
      <c r="D32" s="852"/>
      <c r="E32" s="852">
        <f>C32-D32</f>
        <v>100</v>
      </c>
      <c r="F32" s="852">
        <f>C32</f>
        <v>100</v>
      </c>
      <c r="G32" s="852">
        <v>0</v>
      </c>
      <c r="H32" s="788">
        <v>100</v>
      </c>
      <c r="I32" s="847"/>
      <c r="J32" s="788">
        <v>0</v>
      </c>
      <c r="K32" s="788">
        <f>H32-J32</f>
        <v>100</v>
      </c>
      <c r="L32" s="788">
        <f>K32-M32</f>
        <v>100</v>
      </c>
      <c r="M32" s="788">
        <v>0</v>
      </c>
      <c r="N32" s="788">
        <v>100</v>
      </c>
      <c r="O32" s="847"/>
      <c r="P32" s="788"/>
      <c r="Q32" s="788">
        <f>N32-P32</f>
        <v>100</v>
      </c>
      <c r="R32" s="788">
        <f>Q32-S32</f>
        <v>100</v>
      </c>
      <c r="S32" s="788">
        <v>0</v>
      </c>
      <c r="T32" s="788">
        <v>100</v>
      </c>
      <c r="U32" s="847"/>
      <c r="V32" s="788"/>
      <c r="W32" s="788">
        <f>T32-V32</f>
        <v>100</v>
      </c>
      <c r="X32" s="788">
        <f>W32-Y32</f>
        <v>100</v>
      </c>
      <c r="Y32" s="788">
        <v>0</v>
      </c>
      <c r="Z32" s="788">
        <v>100</v>
      </c>
      <c r="AA32" s="847"/>
      <c r="AB32" s="788"/>
      <c r="AC32" s="788">
        <f>Z32-AB32</f>
        <v>100</v>
      </c>
      <c r="AD32" s="788">
        <f>AC32-AE32</f>
        <v>100</v>
      </c>
      <c r="AE32" s="788">
        <v>0</v>
      </c>
    </row>
    <row r="33" spans="1:31" s="294" customFormat="1" ht="15.75" hidden="1" customHeight="1" x14ac:dyDescent="0.25">
      <c r="A33" s="295"/>
      <c r="B33" s="247" t="s">
        <v>497</v>
      </c>
      <c r="C33" s="788">
        <v>0</v>
      </c>
      <c r="D33" s="852">
        <v>0</v>
      </c>
      <c r="E33" s="852">
        <f>C33-D33</f>
        <v>0</v>
      </c>
      <c r="F33" s="852">
        <f t="shared" si="11"/>
        <v>0</v>
      </c>
      <c r="G33" s="852">
        <v>0</v>
      </c>
      <c r="H33" s="788"/>
      <c r="I33" s="847"/>
      <c r="J33" s="788">
        <f>0</f>
        <v>0</v>
      </c>
      <c r="K33" s="788">
        <f>H33-J33</f>
        <v>0</v>
      </c>
      <c r="L33" s="788">
        <f>K33-M33</f>
        <v>0</v>
      </c>
      <c r="M33" s="788">
        <v>0</v>
      </c>
      <c r="N33" s="788">
        <v>0</v>
      </c>
      <c r="O33" s="847"/>
      <c r="P33" s="788"/>
      <c r="Q33" s="788">
        <f>N33-P33</f>
        <v>0</v>
      </c>
      <c r="R33" s="788">
        <f>Q33-S33</f>
        <v>0</v>
      </c>
      <c r="S33" s="788">
        <v>0</v>
      </c>
      <c r="T33" s="788">
        <v>0</v>
      </c>
      <c r="U33" s="847"/>
      <c r="V33" s="788"/>
      <c r="W33" s="788">
        <f>T33-V33</f>
        <v>0</v>
      </c>
      <c r="X33" s="788">
        <f>W33-Y33</f>
        <v>0</v>
      </c>
      <c r="Y33" s="788">
        <v>0</v>
      </c>
      <c r="Z33" s="788">
        <v>0</v>
      </c>
      <c r="AA33" s="847"/>
      <c r="AB33" s="788"/>
      <c r="AC33" s="788">
        <f>Z33-AB33</f>
        <v>0</v>
      </c>
      <c r="AD33" s="788">
        <f>AC33-AE33</f>
        <v>0</v>
      </c>
      <c r="AE33" s="788">
        <v>0</v>
      </c>
    </row>
    <row r="34" spans="1:31" s="294" customFormat="1" ht="15.75" hidden="1" customHeight="1" x14ac:dyDescent="0.25">
      <c r="A34" s="295"/>
      <c r="B34" s="247" t="s">
        <v>409</v>
      </c>
      <c r="C34" s="788"/>
      <c r="D34" s="852">
        <v>0</v>
      </c>
      <c r="E34" s="852">
        <f>C34-D34</f>
        <v>0</v>
      </c>
      <c r="F34" s="852">
        <f t="shared" si="11"/>
        <v>0</v>
      </c>
      <c r="G34" s="852">
        <v>0</v>
      </c>
      <c r="H34" s="788"/>
      <c r="I34" s="847"/>
      <c r="J34" s="788">
        <v>0</v>
      </c>
      <c r="K34" s="788">
        <f>H34-J34</f>
        <v>0</v>
      </c>
      <c r="L34" s="788">
        <f>K34-M34</f>
        <v>0</v>
      </c>
      <c r="M34" s="788">
        <v>0</v>
      </c>
      <c r="N34" s="788"/>
      <c r="O34" s="847"/>
      <c r="P34" s="788">
        <v>0</v>
      </c>
      <c r="Q34" s="788">
        <f>N34-P34</f>
        <v>0</v>
      </c>
      <c r="R34" s="788">
        <f>Q34-S34</f>
        <v>0</v>
      </c>
      <c r="S34" s="788">
        <v>0</v>
      </c>
      <c r="T34" s="788"/>
      <c r="U34" s="847"/>
      <c r="V34" s="788">
        <v>0</v>
      </c>
      <c r="W34" s="788">
        <f>T34-V34</f>
        <v>0</v>
      </c>
      <c r="X34" s="788">
        <f>W34-Y34</f>
        <v>0</v>
      </c>
      <c r="Y34" s="788">
        <v>0</v>
      </c>
      <c r="Z34" s="788"/>
      <c r="AA34" s="847"/>
      <c r="AB34" s="788">
        <v>0</v>
      </c>
      <c r="AC34" s="788">
        <f>Z34-AB34</f>
        <v>0</v>
      </c>
      <c r="AD34" s="788">
        <f>AC34-AE34</f>
        <v>0</v>
      </c>
      <c r="AE34" s="788">
        <v>0</v>
      </c>
    </row>
    <row r="35" spans="1:31" s="9" customFormat="1" x14ac:dyDescent="0.25">
      <c r="A35" s="161">
        <v>4</v>
      </c>
      <c r="B35" s="27" t="s">
        <v>416</v>
      </c>
      <c r="C35" s="797">
        <f t="shared" ref="C35:H35" si="25">SUM(C36:C41)</f>
        <v>860000</v>
      </c>
      <c r="D35" s="851">
        <f t="shared" si="25"/>
        <v>0</v>
      </c>
      <c r="E35" s="851">
        <f t="shared" si="25"/>
        <v>860000</v>
      </c>
      <c r="F35" s="851">
        <f t="shared" si="25"/>
        <v>15140</v>
      </c>
      <c r="G35" s="851">
        <f t="shared" si="25"/>
        <v>844860</v>
      </c>
      <c r="H35" s="797">
        <f t="shared" si="25"/>
        <v>900000</v>
      </c>
      <c r="I35" s="846">
        <f>H35/C35*100</f>
        <v>104.65116279069768</v>
      </c>
      <c r="J35" s="797">
        <f>SUM(J36:J41)</f>
        <v>0</v>
      </c>
      <c r="K35" s="797">
        <f>SUM(K36:K41)</f>
        <v>900000</v>
      </c>
      <c r="L35" s="797">
        <f>SUM(L36:L41)</f>
        <v>40000</v>
      </c>
      <c r="M35" s="797">
        <f>SUM(M36:M41)</f>
        <v>860000</v>
      </c>
      <c r="N35" s="797">
        <f>SUM(N36:N41)</f>
        <v>960000</v>
      </c>
      <c r="O35" s="846">
        <f>N35/H35*100</f>
        <v>106.66666666666667</v>
      </c>
      <c r="P35" s="797">
        <f>SUM(P36:P41)</f>
        <v>0</v>
      </c>
      <c r="Q35" s="797">
        <f>SUM(Q36:Q41)</f>
        <v>960000</v>
      </c>
      <c r="R35" s="797">
        <f>SUM(R36:R41)</f>
        <v>44390</v>
      </c>
      <c r="S35" s="797">
        <f>SUM(S36:S41)</f>
        <v>915610</v>
      </c>
      <c r="T35" s="797">
        <f>SUM(T36:T41)</f>
        <v>970000</v>
      </c>
      <c r="U35" s="846">
        <f>T35/N35*100</f>
        <v>101.04166666666667</v>
      </c>
      <c r="V35" s="797">
        <f>SUM(V36:V41)</f>
        <v>0</v>
      </c>
      <c r="W35" s="797">
        <f>SUM(W36:W41)</f>
        <v>970000</v>
      </c>
      <c r="X35" s="797">
        <f>SUM(X36:X41)</f>
        <v>40350</v>
      </c>
      <c r="Y35" s="797">
        <f>SUM(Y36:Y41)</f>
        <v>929650</v>
      </c>
      <c r="Z35" s="797">
        <f>SUM(Z36:Z41)</f>
        <v>1020000</v>
      </c>
      <c r="AA35" s="846">
        <f>Z35/T35*100</f>
        <v>105.15463917525774</v>
      </c>
      <c r="AB35" s="797">
        <f>SUM(AB36:AB41)</f>
        <v>0</v>
      </c>
      <c r="AC35" s="797">
        <f>SUM(AC36:AC41)</f>
        <v>1020000</v>
      </c>
      <c r="AD35" s="797">
        <f>SUM(AD36:AD41)</f>
        <v>40000</v>
      </c>
      <c r="AE35" s="797">
        <f>SUM(AE36:AE41)</f>
        <v>980000</v>
      </c>
    </row>
    <row r="36" spans="1:31" s="294" customFormat="1" ht="15.75" hidden="1" customHeight="1" x14ac:dyDescent="0.25">
      <c r="A36" s="295"/>
      <c r="B36" s="247" t="s">
        <v>283</v>
      </c>
      <c r="C36" s="831">
        <v>499150</v>
      </c>
      <c r="D36" s="852">
        <v>0</v>
      </c>
      <c r="E36" s="852">
        <f t="shared" ref="E36:E43" si="26">C36-D36</f>
        <v>499150</v>
      </c>
      <c r="F36" s="852">
        <f t="shared" ref="F36:F41" si="27">E36-G36</f>
        <v>0</v>
      </c>
      <c r="G36" s="852">
        <f>C36</f>
        <v>499150</v>
      </c>
      <c r="H36" s="788">
        <v>514500</v>
      </c>
      <c r="I36" s="847"/>
      <c r="J36" s="788">
        <f>0</f>
        <v>0</v>
      </c>
      <c r="K36" s="788">
        <f t="shared" ref="K36:K41" si="28">H36-J36</f>
        <v>514500</v>
      </c>
      <c r="L36" s="852">
        <f t="shared" ref="L36:L41" si="29">K36-M36</f>
        <v>0</v>
      </c>
      <c r="M36" s="788">
        <f>H36</f>
        <v>514500</v>
      </c>
      <c r="N36" s="788">
        <f>'Phụ lục số 5'!C7</f>
        <v>562540</v>
      </c>
      <c r="O36" s="847"/>
      <c r="P36" s="788"/>
      <c r="Q36" s="788">
        <f t="shared" ref="Q36:Q41" si="30">N36-P36</f>
        <v>562540</v>
      </c>
      <c r="R36" s="852">
        <f t="shared" ref="R36:R41" si="31">Q36-S36</f>
        <v>0</v>
      </c>
      <c r="S36" s="788">
        <f>N36</f>
        <v>562540</v>
      </c>
      <c r="T36" s="788">
        <v>552150</v>
      </c>
      <c r="U36" s="847"/>
      <c r="V36" s="788"/>
      <c r="W36" s="788">
        <f t="shared" ref="W36:W41" si="32">T36-V36</f>
        <v>552150</v>
      </c>
      <c r="X36" s="852">
        <f t="shared" ref="X36:X44" si="33">W36-Y36</f>
        <v>0</v>
      </c>
      <c r="Y36" s="788">
        <f>T36</f>
        <v>552150</v>
      </c>
      <c r="Z36" s="788">
        <v>580000</v>
      </c>
      <c r="AA36" s="847"/>
      <c r="AB36" s="788"/>
      <c r="AC36" s="788">
        <f t="shared" ref="AC36:AC41" si="34">Z36-AB36</f>
        <v>580000</v>
      </c>
      <c r="AD36" s="852">
        <f t="shared" ref="AD36:AD44" si="35">AC36-AE36</f>
        <v>0</v>
      </c>
      <c r="AE36" s="788">
        <f>Z36</f>
        <v>580000</v>
      </c>
    </row>
    <row r="37" spans="1:31" s="294" customFormat="1" ht="15.75" hidden="1" customHeight="1" x14ac:dyDescent="0.25">
      <c r="A37" s="295"/>
      <c r="B37" s="247" t="s">
        <v>284</v>
      </c>
      <c r="C37" s="831">
        <v>326650</v>
      </c>
      <c r="D37" s="852">
        <v>0</v>
      </c>
      <c r="E37" s="852">
        <f t="shared" si="26"/>
        <v>326650</v>
      </c>
      <c r="F37" s="852">
        <f t="shared" si="27"/>
        <v>0</v>
      </c>
      <c r="G37" s="852">
        <f>C37</f>
        <v>326650</v>
      </c>
      <c r="H37" s="788">
        <v>345500</v>
      </c>
      <c r="I37" s="847"/>
      <c r="J37" s="788">
        <f>0</f>
        <v>0</v>
      </c>
      <c r="K37" s="788">
        <f t="shared" si="28"/>
        <v>345500</v>
      </c>
      <c r="L37" s="852">
        <f t="shared" si="29"/>
        <v>0</v>
      </c>
      <c r="M37" s="788">
        <f>H37</f>
        <v>345500</v>
      </c>
      <c r="N37" s="788">
        <f>'Phụ lục số 5'!C8</f>
        <v>347150</v>
      </c>
      <c r="O37" s="847"/>
      <c r="P37" s="788"/>
      <c r="Q37" s="788">
        <f t="shared" si="30"/>
        <v>347150</v>
      </c>
      <c r="R37" s="852">
        <f t="shared" si="31"/>
        <v>0</v>
      </c>
      <c r="S37" s="788">
        <f>N37</f>
        <v>347150</v>
      </c>
      <c r="T37" s="788">
        <v>377500</v>
      </c>
      <c r="U37" s="847"/>
      <c r="V37" s="788"/>
      <c r="W37" s="788">
        <f t="shared" si="32"/>
        <v>377500</v>
      </c>
      <c r="X37" s="852">
        <f t="shared" si="33"/>
        <v>0</v>
      </c>
      <c r="Y37" s="788">
        <f>T37</f>
        <v>377500</v>
      </c>
      <c r="Z37" s="788">
        <v>400000</v>
      </c>
      <c r="AA37" s="847"/>
      <c r="AB37" s="788"/>
      <c r="AC37" s="788">
        <f t="shared" si="34"/>
        <v>400000</v>
      </c>
      <c r="AD37" s="852">
        <f t="shared" si="35"/>
        <v>0</v>
      </c>
      <c r="AE37" s="788">
        <f>Z37</f>
        <v>400000</v>
      </c>
    </row>
    <row r="38" spans="1:31" s="294" customFormat="1" ht="15.75" hidden="1" customHeight="1" x14ac:dyDescent="0.25">
      <c r="A38" s="295"/>
      <c r="B38" s="247" t="s">
        <v>285</v>
      </c>
      <c r="C38" s="831">
        <v>5680</v>
      </c>
      <c r="D38" s="852">
        <v>0</v>
      </c>
      <c r="E38" s="852">
        <f t="shared" si="26"/>
        <v>5680</v>
      </c>
      <c r="F38" s="852">
        <f t="shared" si="27"/>
        <v>5680</v>
      </c>
      <c r="G38" s="852">
        <v>0</v>
      </c>
      <c r="H38" s="788">
        <v>26000</v>
      </c>
      <c r="I38" s="847"/>
      <c r="J38" s="788"/>
      <c r="K38" s="788">
        <f t="shared" si="28"/>
        <v>26000</v>
      </c>
      <c r="L38" s="852">
        <f t="shared" si="29"/>
        <v>26000</v>
      </c>
      <c r="M38" s="788">
        <f>'Thu NSH'!H13</f>
        <v>0</v>
      </c>
      <c r="N38" s="788">
        <f>'Phụ lục số 5'!C9</f>
        <v>31160</v>
      </c>
      <c r="O38" s="847"/>
      <c r="P38" s="788"/>
      <c r="Q38" s="788">
        <f t="shared" si="30"/>
        <v>31160</v>
      </c>
      <c r="R38" s="852">
        <f t="shared" si="31"/>
        <v>31160</v>
      </c>
      <c r="S38" s="788"/>
      <c r="T38" s="788">
        <v>31500</v>
      </c>
      <c r="U38" s="847"/>
      <c r="V38" s="788"/>
      <c r="W38" s="788">
        <f t="shared" si="32"/>
        <v>31500</v>
      </c>
      <c r="X38" s="852">
        <f t="shared" si="33"/>
        <v>31500</v>
      </c>
      <c r="Y38" s="788"/>
      <c r="Z38" s="788">
        <v>32000</v>
      </c>
      <c r="AA38" s="847"/>
      <c r="AB38" s="788"/>
      <c r="AC38" s="788">
        <f t="shared" si="34"/>
        <v>32000</v>
      </c>
      <c r="AD38" s="852">
        <f t="shared" si="35"/>
        <v>32000</v>
      </c>
      <c r="AE38" s="788"/>
    </row>
    <row r="39" spans="1:31" s="294" customFormat="1" ht="15.75" hidden="1" customHeight="1" x14ac:dyDescent="0.25">
      <c r="A39" s="295"/>
      <c r="B39" s="247" t="s">
        <v>286</v>
      </c>
      <c r="C39" s="831">
        <v>9460</v>
      </c>
      <c r="D39" s="852">
        <v>0</v>
      </c>
      <c r="E39" s="852">
        <f t="shared" si="26"/>
        <v>9460</v>
      </c>
      <c r="F39" s="852">
        <f t="shared" si="27"/>
        <v>9460</v>
      </c>
      <c r="G39" s="852">
        <v>0</v>
      </c>
      <c r="H39" s="788">
        <v>14000</v>
      </c>
      <c r="I39" s="847"/>
      <c r="J39" s="788"/>
      <c r="K39" s="788">
        <f t="shared" si="28"/>
        <v>14000</v>
      </c>
      <c r="L39" s="852">
        <f t="shared" si="29"/>
        <v>14000</v>
      </c>
      <c r="M39" s="788">
        <f>'Thu NSH'!H14</f>
        <v>0</v>
      </c>
      <c r="N39" s="788">
        <f>'Phụ lục số 5'!C10</f>
        <v>13230</v>
      </c>
      <c r="O39" s="847"/>
      <c r="P39" s="788"/>
      <c r="Q39" s="788">
        <f t="shared" si="30"/>
        <v>13230</v>
      </c>
      <c r="R39" s="852">
        <f t="shared" si="31"/>
        <v>13230</v>
      </c>
      <c r="S39" s="788"/>
      <c r="T39" s="788">
        <v>8850</v>
      </c>
      <c r="U39" s="847"/>
      <c r="V39" s="788"/>
      <c r="W39" s="788">
        <f t="shared" si="32"/>
        <v>8850</v>
      </c>
      <c r="X39" s="852">
        <f t="shared" si="33"/>
        <v>8850</v>
      </c>
      <c r="Y39" s="788"/>
      <c r="Z39" s="788">
        <v>8000</v>
      </c>
      <c r="AA39" s="847"/>
      <c r="AB39" s="788"/>
      <c r="AC39" s="788">
        <f t="shared" si="34"/>
        <v>8000</v>
      </c>
      <c r="AD39" s="852">
        <f t="shared" si="35"/>
        <v>8000</v>
      </c>
      <c r="AE39" s="788"/>
    </row>
    <row r="40" spans="1:31" s="294" customFormat="1" ht="15.75" hidden="1" customHeight="1" x14ac:dyDescent="0.25">
      <c r="A40" s="295"/>
      <c r="B40" s="247" t="s">
        <v>497</v>
      </c>
      <c r="C40" s="831"/>
      <c r="D40" s="852">
        <v>0</v>
      </c>
      <c r="E40" s="852">
        <f t="shared" si="26"/>
        <v>0</v>
      </c>
      <c r="F40" s="852">
        <f t="shared" si="27"/>
        <v>0</v>
      </c>
      <c r="G40" s="852">
        <v>0</v>
      </c>
      <c r="H40" s="788">
        <v>0</v>
      </c>
      <c r="I40" s="847"/>
      <c r="J40" s="788"/>
      <c r="K40" s="788">
        <f t="shared" si="28"/>
        <v>0</v>
      </c>
      <c r="L40" s="852">
        <f t="shared" si="29"/>
        <v>0</v>
      </c>
      <c r="M40" s="788">
        <f>H40</f>
        <v>0</v>
      </c>
      <c r="N40" s="788"/>
      <c r="O40" s="847"/>
      <c r="P40" s="788"/>
      <c r="Q40" s="788">
        <f t="shared" si="30"/>
        <v>0</v>
      </c>
      <c r="R40" s="852">
        <f t="shared" si="31"/>
        <v>0</v>
      </c>
      <c r="S40" s="788">
        <f>N40</f>
        <v>0</v>
      </c>
      <c r="T40" s="788"/>
      <c r="U40" s="847"/>
      <c r="V40" s="788"/>
      <c r="W40" s="788">
        <f t="shared" si="32"/>
        <v>0</v>
      </c>
      <c r="X40" s="852">
        <f t="shared" si="33"/>
        <v>0</v>
      </c>
      <c r="Y40" s="788">
        <f>T40</f>
        <v>0</v>
      </c>
      <c r="Z40" s="788"/>
      <c r="AA40" s="847"/>
      <c r="AB40" s="788"/>
      <c r="AC40" s="788">
        <f t="shared" si="34"/>
        <v>0</v>
      </c>
      <c r="AD40" s="852">
        <f t="shared" si="35"/>
        <v>0</v>
      </c>
      <c r="AE40" s="788">
        <f>Z40</f>
        <v>0</v>
      </c>
    </row>
    <row r="41" spans="1:31" s="294" customFormat="1" ht="15.75" hidden="1" customHeight="1" x14ac:dyDescent="0.25">
      <c r="A41" s="295"/>
      <c r="B41" s="247" t="s">
        <v>288</v>
      </c>
      <c r="C41" s="831">
        <v>19060</v>
      </c>
      <c r="D41" s="852">
        <v>0</v>
      </c>
      <c r="E41" s="852">
        <f t="shared" si="26"/>
        <v>19060</v>
      </c>
      <c r="F41" s="852">
        <f t="shared" si="27"/>
        <v>0</v>
      </c>
      <c r="G41" s="852">
        <f>C41</f>
        <v>19060</v>
      </c>
      <c r="H41" s="788"/>
      <c r="I41" s="847"/>
      <c r="J41" s="788"/>
      <c r="K41" s="788">
        <f t="shared" si="28"/>
        <v>0</v>
      </c>
      <c r="L41" s="852">
        <f t="shared" si="29"/>
        <v>0</v>
      </c>
      <c r="M41" s="788">
        <f>H41</f>
        <v>0</v>
      </c>
      <c r="N41" s="788">
        <f>'Phụ lục số 5'!C11</f>
        <v>5920</v>
      </c>
      <c r="O41" s="847"/>
      <c r="P41" s="788"/>
      <c r="Q41" s="788">
        <f t="shared" si="30"/>
        <v>5920</v>
      </c>
      <c r="R41" s="852">
        <f t="shared" si="31"/>
        <v>0</v>
      </c>
      <c r="S41" s="788">
        <f>N41</f>
        <v>5920</v>
      </c>
      <c r="T41" s="788"/>
      <c r="U41" s="847"/>
      <c r="V41" s="788"/>
      <c r="W41" s="788">
        <f t="shared" si="32"/>
        <v>0</v>
      </c>
      <c r="X41" s="852">
        <f t="shared" si="33"/>
        <v>0</v>
      </c>
      <c r="Y41" s="788">
        <f>T41</f>
        <v>0</v>
      </c>
      <c r="Z41" s="788"/>
      <c r="AA41" s="847"/>
      <c r="AB41" s="788"/>
      <c r="AC41" s="788">
        <f t="shared" si="34"/>
        <v>0</v>
      </c>
      <c r="AD41" s="852">
        <f t="shared" si="35"/>
        <v>0</v>
      </c>
      <c r="AE41" s="788">
        <f>Z41</f>
        <v>0</v>
      </c>
    </row>
    <row r="42" spans="1:31" s="294" customFormat="1" x14ac:dyDescent="0.25">
      <c r="A42" s="161">
        <v>5</v>
      </c>
      <c r="B42" s="27" t="s">
        <v>289</v>
      </c>
      <c r="C42" s="797">
        <v>242800</v>
      </c>
      <c r="D42" s="851">
        <v>0</v>
      </c>
      <c r="E42" s="851">
        <f t="shared" si="26"/>
        <v>242800</v>
      </c>
      <c r="F42" s="851">
        <v>0</v>
      </c>
      <c r="G42" s="851">
        <f>E42-F42</f>
        <v>242800</v>
      </c>
      <c r="H42" s="797">
        <v>220000</v>
      </c>
      <c r="I42" s="846">
        <f>H42/C42*100</f>
        <v>90.609555189456344</v>
      </c>
      <c r="J42" s="797">
        <f>0</f>
        <v>0</v>
      </c>
      <c r="K42" s="797">
        <f>H42-J42</f>
        <v>220000</v>
      </c>
      <c r="L42" s="797">
        <f t="shared" ref="L42:L51" si="36">K42-M42</f>
        <v>0</v>
      </c>
      <c r="M42" s="797">
        <f>H42</f>
        <v>220000</v>
      </c>
      <c r="N42" s="797">
        <f>'Phụ lục số 5'!C13</f>
        <v>240000</v>
      </c>
      <c r="O42" s="846">
        <f>N42/H42*100</f>
        <v>109.09090909090908</v>
      </c>
      <c r="P42" s="797">
        <f>0</f>
        <v>0</v>
      </c>
      <c r="Q42" s="797">
        <f>N42-P42</f>
        <v>240000</v>
      </c>
      <c r="R42" s="797">
        <f t="shared" ref="R42:R49" si="37">Q42-S42</f>
        <v>0</v>
      </c>
      <c r="S42" s="797">
        <f>N42</f>
        <v>240000</v>
      </c>
      <c r="T42" s="797">
        <v>245000</v>
      </c>
      <c r="U42" s="846">
        <f>T42/N42*100</f>
        <v>102.08333333333333</v>
      </c>
      <c r="V42" s="797">
        <f>0</f>
        <v>0</v>
      </c>
      <c r="W42" s="797">
        <f>T42-V42</f>
        <v>245000</v>
      </c>
      <c r="X42" s="797">
        <f t="shared" si="33"/>
        <v>0</v>
      </c>
      <c r="Y42" s="797">
        <f>T42</f>
        <v>245000</v>
      </c>
      <c r="Z42" s="797">
        <v>260000</v>
      </c>
      <c r="AA42" s="846">
        <f>Z42/T42*100</f>
        <v>106.12244897959184</v>
      </c>
      <c r="AB42" s="797">
        <f>0</f>
        <v>0</v>
      </c>
      <c r="AC42" s="797">
        <f>Z42-AB42</f>
        <v>260000</v>
      </c>
      <c r="AD42" s="797">
        <f t="shared" si="35"/>
        <v>0</v>
      </c>
      <c r="AE42" s="797">
        <f>Z42</f>
        <v>260000</v>
      </c>
    </row>
    <row r="43" spans="1:31" s="294" customFormat="1" x14ac:dyDescent="0.25">
      <c r="A43" s="161">
        <v>6</v>
      </c>
      <c r="B43" s="27" t="s">
        <v>342</v>
      </c>
      <c r="C43" s="797">
        <v>0</v>
      </c>
      <c r="D43" s="851">
        <v>0</v>
      </c>
      <c r="E43" s="851">
        <f t="shared" si="26"/>
        <v>0</v>
      </c>
      <c r="F43" s="851">
        <v>0</v>
      </c>
      <c r="G43" s="851">
        <f>E43</f>
        <v>0</v>
      </c>
      <c r="H43" s="797">
        <v>500</v>
      </c>
      <c r="I43" s="846"/>
      <c r="J43" s="797">
        <f>0</f>
        <v>0</v>
      </c>
      <c r="K43" s="797">
        <f t="shared" ref="K43:K55" si="38">H43-J43</f>
        <v>500</v>
      </c>
      <c r="L43" s="797">
        <f t="shared" si="36"/>
        <v>0</v>
      </c>
      <c r="M43" s="797">
        <f>H43</f>
        <v>500</v>
      </c>
      <c r="N43" s="797">
        <v>0</v>
      </c>
      <c r="O43" s="846"/>
      <c r="P43" s="797">
        <f>0</f>
        <v>0</v>
      </c>
      <c r="Q43" s="797">
        <f t="shared" ref="Q43:Q54" si="39">N43-P43</f>
        <v>0</v>
      </c>
      <c r="R43" s="797">
        <f t="shared" si="37"/>
        <v>0</v>
      </c>
      <c r="S43" s="797"/>
      <c r="T43" s="797">
        <v>0</v>
      </c>
      <c r="U43" s="846"/>
      <c r="V43" s="797">
        <f>0</f>
        <v>0</v>
      </c>
      <c r="W43" s="797">
        <f>T43-V43</f>
        <v>0</v>
      </c>
      <c r="X43" s="797">
        <f t="shared" si="33"/>
        <v>0</v>
      </c>
      <c r="Y43" s="797">
        <v>0</v>
      </c>
      <c r="Z43" s="797">
        <v>0</v>
      </c>
      <c r="AA43" s="846"/>
      <c r="AB43" s="797">
        <f>0</f>
        <v>0</v>
      </c>
      <c r="AC43" s="797">
        <f>Z43-AB43</f>
        <v>0</v>
      </c>
      <c r="AD43" s="797">
        <f t="shared" si="35"/>
        <v>0</v>
      </c>
      <c r="AE43" s="797">
        <v>0</v>
      </c>
    </row>
    <row r="44" spans="1:31" s="294" customFormat="1" x14ac:dyDescent="0.25">
      <c r="A44" s="161">
        <v>7</v>
      </c>
      <c r="B44" s="27" t="s">
        <v>498</v>
      </c>
      <c r="C44" s="797">
        <v>8500</v>
      </c>
      <c r="D44" s="851">
        <v>0</v>
      </c>
      <c r="E44" s="851">
        <f>C44-D44</f>
        <v>8500</v>
      </c>
      <c r="F44" s="851">
        <v>0</v>
      </c>
      <c r="G44" s="851">
        <f>E44-F44</f>
        <v>8500</v>
      </c>
      <c r="H44" s="797">
        <v>9000</v>
      </c>
      <c r="I44" s="846">
        <f t="shared" ref="I44:I56" si="40">H44/C44*100</f>
        <v>105.88235294117648</v>
      </c>
      <c r="J44" s="797">
        <f>0</f>
        <v>0</v>
      </c>
      <c r="K44" s="797">
        <f t="shared" si="38"/>
        <v>9000</v>
      </c>
      <c r="L44" s="797">
        <f t="shared" si="36"/>
        <v>0</v>
      </c>
      <c r="M44" s="797">
        <f>H44</f>
        <v>9000</v>
      </c>
      <c r="N44" s="797">
        <f>'Phụ lục số 5'!C15</f>
        <v>6000</v>
      </c>
      <c r="O44" s="846">
        <f>N44/H44*100</f>
        <v>66.666666666666657</v>
      </c>
      <c r="P44" s="797">
        <f>0</f>
        <v>0</v>
      </c>
      <c r="Q44" s="797">
        <f t="shared" si="39"/>
        <v>6000</v>
      </c>
      <c r="R44" s="797">
        <f t="shared" si="37"/>
        <v>0</v>
      </c>
      <c r="S44" s="797">
        <f>N44</f>
        <v>6000</v>
      </c>
      <c r="T44" s="797">
        <v>6000</v>
      </c>
      <c r="U44" s="846">
        <f t="shared" ref="U44:U49" si="41">T44/N44*100</f>
        <v>100</v>
      </c>
      <c r="V44" s="797">
        <f>0</f>
        <v>0</v>
      </c>
      <c r="W44" s="797">
        <f>T44-V44</f>
        <v>6000</v>
      </c>
      <c r="X44" s="797">
        <f t="shared" si="33"/>
        <v>0</v>
      </c>
      <c r="Y44" s="797">
        <f>T44</f>
        <v>6000</v>
      </c>
      <c r="Z44" s="797">
        <v>6000</v>
      </c>
      <c r="AA44" s="846">
        <f t="shared" ref="AA44:AA49" si="42">Z44/T44*100</f>
        <v>100</v>
      </c>
      <c r="AB44" s="797">
        <f>0</f>
        <v>0</v>
      </c>
      <c r="AC44" s="797">
        <f>Z44-AB44</f>
        <v>6000</v>
      </c>
      <c r="AD44" s="797">
        <f t="shared" si="35"/>
        <v>0</v>
      </c>
      <c r="AE44" s="797">
        <f>Z44</f>
        <v>6000</v>
      </c>
    </row>
    <row r="45" spans="1:31" s="294" customFormat="1" x14ac:dyDescent="0.25">
      <c r="A45" s="161">
        <v>8</v>
      </c>
      <c r="B45" s="27" t="s">
        <v>405</v>
      </c>
      <c r="C45" s="797">
        <v>445000</v>
      </c>
      <c r="D45" s="851">
        <v>0</v>
      </c>
      <c r="E45" s="851">
        <f>C45-D45</f>
        <v>445000</v>
      </c>
      <c r="F45" s="851">
        <f>E45-G45</f>
        <v>445000</v>
      </c>
      <c r="G45" s="851">
        <v>0</v>
      </c>
      <c r="H45" s="797">
        <v>470000</v>
      </c>
      <c r="I45" s="846">
        <f t="shared" si="40"/>
        <v>105.61797752808988</v>
      </c>
      <c r="J45" s="797">
        <f>0</f>
        <v>0</v>
      </c>
      <c r="K45" s="797">
        <f t="shared" si="38"/>
        <v>470000</v>
      </c>
      <c r="L45" s="797">
        <f t="shared" si="36"/>
        <v>470000</v>
      </c>
      <c r="M45" s="797">
        <v>0</v>
      </c>
      <c r="N45" s="797">
        <v>521000</v>
      </c>
      <c r="O45" s="846">
        <f>N45/H45*100</f>
        <v>110.85106382978725</v>
      </c>
      <c r="P45" s="797">
        <f>0</f>
        <v>0</v>
      </c>
      <c r="Q45" s="797">
        <f t="shared" si="39"/>
        <v>521000</v>
      </c>
      <c r="R45" s="797">
        <f>Q45-S45</f>
        <v>521000</v>
      </c>
      <c r="S45" s="797"/>
      <c r="T45" s="797">
        <v>530000</v>
      </c>
      <c r="U45" s="846">
        <f t="shared" si="41"/>
        <v>101.7274472168906</v>
      </c>
      <c r="V45" s="797">
        <f>0</f>
        <v>0</v>
      </c>
      <c r="W45" s="797">
        <f>T45-V45</f>
        <v>530000</v>
      </c>
      <c r="X45" s="797">
        <f>W45-Y45</f>
        <v>530000</v>
      </c>
      <c r="Y45" s="797"/>
      <c r="Z45" s="797">
        <v>540000</v>
      </c>
      <c r="AA45" s="846">
        <f t="shared" si="42"/>
        <v>101.88679245283019</v>
      </c>
      <c r="AB45" s="797">
        <f>0</f>
        <v>0</v>
      </c>
      <c r="AC45" s="797">
        <f>Z45-AB45</f>
        <v>540000</v>
      </c>
      <c r="AD45" s="797">
        <f>AC45-AE45</f>
        <v>540000</v>
      </c>
      <c r="AE45" s="797"/>
    </row>
    <row r="46" spans="1:31" s="294" customFormat="1" x14ac:dyDescent="0.25">
      <c r="A46" s="161">
        <v>9</v>
      </c>
      <c r="B46" s="27" t="s">
        <v>174</v>
      </c>
      <c r="C46" s="797">
        <f>2252000+80000</f>
        <v>2332000</v>
      </c>
      <c r="D46" s="851">
        <f>C46*62.8%</f>
        <v>1464496</v>
      </c>
      <c r="E46" s="851">
        <f>C46-D46</f>
        <v>867504</v>
      </c>
      <c r="F46" s="851">
        <f>E46-G46</f>
        <v>867504</v>
      </c>
      <c r="G46" s="851">
        <v>0</v>
      </c>
      <c r="H46" s="797">
        <v>1700000</v>
      </c>
      <c r="I46" s="846">
        <f t="shared" si="40"/>
        <v>72.898799313893662</v>
      </c>
      <c r="J46" s="797">
        <f>ROUND(H46*62.8%,-3)</f>
        <v>1068000</v>
      </c>
      <c r="K46" s="797">
        <f t="shared" si="38"/>
        <v>632000</v>
      </c>
      <c r="L46" s="797">
        <f t="shared" si="36"/>
        <v>632000</v>
      </c>
      <c r="M46" s="797">
        <v>0</v>
      </c>
      <c r="N46" s="797">
        <f>2280000</f>
        <v>2280000</v>
      </c>
      <c r="O46" s="846">
        <f>N46/H46*100</f>
        <v>134.11764705882351</v>
      </c>
      <c r="P46" s="797">
        <f>INT(ROUND(N46*62.8%,-3))</f>
        <v>1432000</v>
      </c>
      <c r="Q46" s="797">
        <f t="shared" si="39"/>
        <v>848000</v>
      </c>
      <c r="R46" s="797">
        <f t="shared" si="37"/>
        <v>848000</v>
      </c>
      <c r="S46" s="797">
        <v>0</v>
      </c>
      <c r="T46" s="797">
        <v>2300000</v>
      </c>
      <c r="U46" s="846">
        <f t="shared" si="41"/>
        <v>100.87719298245614</v>
      </c>
      <c r="V46" s="797">
        <f>ROUND(T46*62.8%,-3)</f>
        <v>1444000</v>
      </c>
      <c r="W46" s="797">
        <f>T46-V46</f>
        <v>856000</v>
      </c>
      <c r="X46" s="797">
        <f>W46-Y46</f>
        <v>856000</v>
      </c>
      <c r="Y46" s="797">
        <v>0</v>
      </c>
      <c r="Z46" s="797">
        <v>2500000</v>
      </c>
      <c r="AA46" s="846">
        <f t="shared" si="42"/>
        <v>108.69565217391303</v>
      </c>
      <c r="AB46" s="797">
        <f>ROUND(Z46*62.8%,-3)</f>
        <v>1570000</v>
      </c>
      <c r="AC46" s="797">
        <f>Z46-AB46</f>
        <v>930000</v>
      </c>
      <c r="AD46" s="797">
        <f>AC46-AE46</f>
        <v>930000</v>
      </c>
      <c r="AE46" s="797">
        <v>0</v>
      </c>
    </row>
    <row r="47" spans="1:31" s="294" customFormat="1" x14ac:dyDescent="0.25">
      <c r="A47" s="161">
        <v>10</v>
      </c>
      <c r="B47" s="27" t="s">
        <v>290</v>
      </c>
      <c r="C47" s="797">
        <v>175000</v>
      </c>
      <c r="D47" s="851">
        <v>34500</v>
      </c>
      <c r="E47" s="851">
        <f>C47-D47</f>
        <v>140500</v>
      </c>
      <c r="F47" s="851">
        <f>E47-G47</f>
        <v>43000</v>
      </c>
      <c r="G47" s="851">
        <v>97500</v>
      </c>
      <c r="H47" s="797">
        <v>170000</v>
      </c>
      <c r="I47" s="846">
        <f t="shared" si="40"/>
        <v>97.142857142857139</v>
      </c>
      <c r="J47" s="797">
        <v>33000</v>
      </c>
      <c r="K47" s="797">
        <f t="shared" si="38"/>
        <v>137000</v>
      </c>
      <c r="L47" s="797">
        <f t="shared" si="36"/>
        <v>39000</v>
      </c>
      <c r="M47" s="797">
        <v>98000</v>
      </c>
      <c r="N47" s="797">
        <v>180000</v>
      </c>
      <c r="O47" s="846">
        <f>N47/H47*100</f>
        <v>105.88235294117648</v>
      </c>
      <c r="P47" s="797">
        <v>35000</v>
      </c>
      <c r="Q47" s="797">
        <f>R47+S47</f>
        <v>145000</v>
      </c>
      <c r="R47" s="797">
        <f>N47-P47-S47</f>
        <v>47100</v>
      </c>
      <c r="S47" s="797">
        <f>'Phụ lục số 5'!E16</f>
        <v>97900</v>
      </c>
      <c r="T47" s="797">
        <v>190000</v>
      </c>
      <c r="U47" s="846">
        <f t="shared" si="41"/>
        <v>105.55555555555556</v>
      </c>
      <c r="V47" s="797">
        <v>40000</v>
      </c>
      <c r="W47" s="797">
        <f>X47+Y47</f>
        <v>150000</v>
      </c>
      <c r="X47" s="797">
        <f>T47-V47-Y47</f>
        <v>50000</v>
      </c>
      <c r="Y47" s="797">
        <v>100000</v>
      </c>
      <c r="Z47" s="797">
        <v>200000</v>
      </c>
      <c r="AA47" s="846">
        <f t="shared" si="42"/>
        <v>105.26315789473684</v>
      </c>
      <c r="AB47" s="797">
        <v>45000</v>
      </c>
      <c r="AC47" s="797">
        <f>AD47+AE47</f>
        <v>155000</v>
      </c>
      <c r="AD47" s="797">
        <f>Z47-AB47-AE47</f>
        <v>55000</v>
      </c>
      <c r="AE47" s="797">
        <v>100000</v>
      </c>
    </row>
    <row r="48" spans="1:31" s="294" customFormat="1" x14ac:dyDescent="0.25">
      <c r="A48" s="161">
        <v>11</v>
      </c>
      <c r="B48" s="27" t="s">
        <v>291</v>
      </c>
      <c r="C48" s="797">
        <v>450000</v>
      </c>
      <c r="D48" s="851">
        <v>0</v>
      </c>
      <c r="E48" s="851">
        <f>F48+G48</f>
        <v>450000</v>
      </c>
      <c r="F48" s="851">
        <f>C48-G48</f>
        <v>50000</v>
      </c>
      <c r="G48" s="851">
        <v>400000</v>
      </c>
      <c r="H48" s="797">
        <v>600000</v>
      </c>
      <c r="I48" s="846">
        <f t="shared" si="40"/>
        <v>133.33333333333331</v>
      </c>
      <c r="J48" s="797">
        <f>0</f>
        <v>0</v>
      </c>
      <c r="K48" s="797">
        <f t="shared" si="38"/>
        <v>600000</v>
      </c>
      <c r="L48" s="797">
        <f t="shared" si="36"/>
        <v>100000</v>
      </c>
      <c r="M48" s="797">
        <v>500000</v>
      </c>
      <c r="N48" s="797">
        <f>450000</f>
        <v>450000</v>
      </c>
      <c r="O48" s="846">
        <f t="shared" ref="O48:O58" si="43">N48/H48*100</f>
        <v>75</v>
      </c>
      <c r="P48" s="797">
        <f>0</f>
        <v>0</v>
      </c>
      <c r="Q48" s="797">
        <f>N48-P48</f>
        <v>450000</v>
      </c>
      <c r="R48" s="797">
        <f>Q48-S48</f>
        <v>70000</v>
      </c>
      <c r="S48" s="797">
        <f>'Phụ lục số 5'!E23</f>
        <v>380000</v>
      </c>
      <c r="T48" s="797">
        <v>450000</v>
      </c>
      <c r="U48" s="846">
        <f t="shared" si="41"/>
        <v>100</v>
      </c>
      <c r="V48" s="797">
        <f>0</f>
        <v>0</v>
      </c>
      <c r="W48" s="797">
        <f t="shared" ref="W48:W54" si="44">T48-V48</f>
        <v>450000</v>
      </c>
      <c r="X48" s="797">
        <f t="shared" ref="X48:X53" si="45">W48-Y48</f>
        <v>70000</v>
      </c>
      <c r="Y48" s="797">
        <f>$S$48</f>
        <v>380000</v>
      </c>
      <c r="Z48" s="797">
        <v>450000</v>
      </c>
      <c r="AA48" s="846">
        <f t="shared" si="42"/>
        <v>100</v>
      </c>
      <c r="AB48" s="797">
        <f>0</f>
        <v>0</v>
      </c>
      <c r="AC48" s="797">
        <f t="shared" ref="AC48:AC54" si="46">Z48-AB48</f>
        <v>450000</v>
      </c>
      <c r="AD48" s="797">
        <f t="shared" ref="AD48:AD53" si="47">AC48-AE48</f>
        <v>70000</v>
      </c>
      <c r="AE48" s="797">
        <f>$S$48</f>
        <v>380000</v>
      </c>
    </row>
    <row r="49" spans="1:31" s="294" customFormat="1" x14ac:dyDescent="0.25">
      <c r="A49" s="161">
        <v>12</v>
      </c>
      <c r="B49" s="27" t="s">
        <v>407</v>
      </c>
      <c r="C49" s="797">
        <v>65000</v>
      </c>
      <c r="D49" s="851">
        <v>0</v>
      </c>
      <c r="E49" s="851">
        <f>C49-D49</f>
        <v>65000</v>
      </c>
      <c r="F49" s="851">
        <f>C49-G49</f>
        <v>11900</v>
      </c>
      <c r="G49" s="851">
        <v>53100</v>
      </c>
      <c r="H49" s="797">
        <v>160000</v>
      </c>
      <c r="I49" s="846">
        <f t="shared" si="40"/>
        <v>246.15384615384616</v>
      </c>
      <c r="J49" s="797">
        <v>0</v>
      </c>
      <c r="K49" s="797">
        <f t="shared" si="38"/>
        <v>160000</v>
      </c>
      <c r="L49" s="797">
        <f t="shared" si="36"/>
        <v>0</v>
      </c>
      <c r="M49" s="797">
        <f>H49</f>
        <v>160000</v>
      </c>
      <c r="N49" s="797">
        <v>70000</v>
      </c>
      <c r="O49" s="846">
        <f t="shared" si="43"/>
        <v>43.75</v>
      </c>
      <c r="P49" s="797">
        <v>0</v>
      </c>
      <c r="Q49" s="797">
        <f t="shared" si="39"/>
        <v>70000</v>
      </c>
      <c r="R49" s="797">
        <f t="shared" si="37"/>
        <v>0</v>
      </c>
      <c r="S49" s="797">
        <f>'Phụ lục số 5'!E20</f>
        <v>70000</v>
      </c>
      <c r="T49" s="797">
        <v>70000</v>
      </c>
      <c r="U49" s="846">
        <f t="shared" si="41"/>
        <v>100</v>
      </c>
      <c r="V49" s="797">
        <v>0</v>
      </c>
      <c r="W49" s="797">
        <f t="shared" si="44"/>
        <v>70000</v>
      </c>
      <c r="X49" s="797">
        <f t="shared" si="45"/>
        <v>0</v>
      </c>
      <c r="Y49" s="797">
        <f>T49</f>
        <v>70000</v>
      </c>
      <c r="Z49" s="797">
        <v>70000</v>
      </c>
      <c r="AA49" s="846">
        <f t="shared" si="42"/>
        <v>100</v>
      </c>
      <c r="AB49" s="797">
        <v>0</v>
      </c>
      <c r="AC49" s="797">
        <f t="shared" si="46"/>
        <v>70000</v>
      </c>
      <c r="AD49" s="797">
        <f t="shared" si="47"/>
        <v>0</v>
      </c>
      <c r="AE49" s="797">
        <f>Z49</f>
        <v>70000</v>
      </c>
    </row>
    <row r="50" spans="1:31" s="294" customFormat="1" x14ac:dyDescent="0.25">
      <c r="A50" s="161">
        <v>13</v>
      </c>
      <c r="B50" s="27" t="s">
        <v>395</v>
      </c>
      <c r="C50" s="797">
        <v>0</v>
      </c>
      <c r="D50" s="851">
        <v>0</v>
      </c>
      <c r="E50" s="851">
        <v>0</v>
      </c>
      <c r="F50" s="851">
        <v>0</v>
      </c>
      <c r="G50" s="851">
        <v>0</v>
      </c>
      <c r="H50" s="797">
        <v>600</v>
      </c>
      <c r="I50" s="846"/>
      <c r="J50" s="797"/>
      <c r="K50" s="797">
        <f>H50-J50</f>
        <v>600</v>
      </c>
      <c r="L50" s="797">
        <f>K50-M50</f>
        <v>600</v>
      </c>
      <c r="M50" s="797"/>
      <c r="N50" s="797">
        <v>0</v>
      </c>
      <c r="O50" s="846">
        <v>0</v>
      </c>
      <c r="P50" s="797">
        <f>0</f>
        <v>0</v>
      </c>
      <c r="Q50" s="797">
        <f>N50-P50</f>
        <v>0</v>
      </c>
      <c r="R50" s="797">
        <f>Q50-S50</f>
        <v>0</v>
      </c>
      <c r="S50" s="797">
        <v>0</v>
      </c>
      <c r="T50" s="797">
        <v>0</v>
      </c>
      <c r="U50" s="846"/>
      <c r="V50" s="797">
        <f>0</f>
        <v>0</v>
      </c>
      <c r="W50" s="797">
        <f t="shared" si="44"/>
        <v>0</v>
      </c>
      <c r="X50" s="797">
        <f t="shared" si="45"/>
        <v>0</v>
      </c>
      <c r="Y50" s="797">
        <v>0</v>
      </c>
      <c r="Z50" s="797">
        <v>0</v>
      </c>
      <c r="AA50" s="846"/>
      <c r="AB50" s="797">
        <f>0</f>
        <v>0</v>
      </c>
      <c r="AC50" s="797">
        <f t="shared" si="46"/>
        <v>0</v>
      </c>
      <c r="AD50" s="797">
        <f t="shared" si="47"/>
        <v>0</v>
      </c>
      <c r="AE50" s="797">
        <v>0</v>
      </c>
    </row>
    <row r="51" spans="1:31" s="294" customFormat="1" x14ac:dyDescent="0.25">
      <c r="A51" s="161">
        <v>14</v>
      </c>
      <c r="B51" s="27" t="s">
        <v>214</v>
      </c>
      <c r="C51" s="797">
        <v>180000</v>
      </c>
      <c r="D51" s="797">
        <v>66000</v>
      </c>
      <c r="E51" s="851">
        <f>C51-D51</f>
        <v>114000</v>
      </c>
      <c r="F51" s="851">
        <f>E51-G51</f>
        <v>75600</v>
      </c>
      <c r="G51" s="851">
        <v>38400</v>
      </c>
      <c r="H51" s="797">
        <v>220000</v>
      </c>
      <c r="I51" s="846">
        <f t="shared" si="40"/>
        <v>122.22222222222223</v>
      </c>
      <c r="J51" s="797">
        <v>63000</v>
      </c>
      <c r="K51" s="797">
        <f t="shared" si="38"/>
        <v>157000</v>
      </c>
      <c r="L51" s="797">
        <f t="shared" si="36"/>
        <v>107000</v>
      </c>
      <c r="M51" s="797">
        <v>50000</v>
      </c>
      <c r="N51" s="797">
        <v>236000</v>
      </c>
      <c r="O51" s="846">
        <f t="shared" si="43"/>
        <v>107.27272727272728</v>
      </c>
      <c r="P51" s="797">
        <f>70000+3420</f>
        <v>73420</v>
      </c>
      <c r="Q51" s="797">
        <f>N51-P51</f>
        <v>162580</v>
      </c>
      <c r="R51" s="797">
        <f>Q51-S51</f>
        <v>58200</v>
      </c>
      <c r="S51" s="797">
        <f>'Phụ lục số 5'!E26</f>
        <v>104380</v>
      </c>
      <c r="T51" s="797">
        <v>240000</v>
      </c>
      <c r="U51" s="846">
        <f t="shared" ref="U51:U58" si="48">T51/N51*100</f>
        <v>101.69491525423729</v>
      </c>
      <c r="V51" s="797">
        <v>75000</v>
      </c>
      <c r="W51" s="797">
        <f t="shared" si="44"/>
        <v>165000</v>
      </c>
      <c r="X51" s="797">
        <f t="shared" si="45"/>
        <v>105000</v>
      </c>
      <c r="Y51" s="797">
        <v>60000</v>
      </c>
      <c r="Z51" s="797">
        <v>240000</v>
      </c>
      <c r="AA51" s="846">
        <f t="shared" ref="AA51:AA58" si="49">Z51/T51*100</f>
        <v>100</v>
      </c>
      <c r="AB51" s="797">
        <v>80000</v>
      </c>
      <c r="AC51" s="797">
        <f t="shared" si="46"/>
        <v>160000</v>
      </c>
      <c r="AD51" s="797">
        <f t="shared" si="47"/>
        <v>95000</v>
      </c>
      <c r="AE51" s="797">
        <v>65000</v>
      </c>
    </row>
    <row r="52" spans="1:31" s="294" customFormat="1" x14ac:dyDescent="0.25">
      <c r="A52" s="161">
        <v>15</v>
      </c>
      <c r="B52" s="27" t="s">
        <v>545</v>
      </c>
      <c r="C52" s="797">
        <v>4000</v>
      </c>
      <c r="D52" s="797">
        <v>0</v>
      </c>
      <c r="E52" s="851">
        <f>C52-D52</f>
        <v>4000</v>
      </c>
      <c r="F52" s="851">
        <f>E52-G52</f>
        <v>4000</v>
      </c>
      <c r="G52" s="851">
        <v>0</v>
      </c>
      <c r="H52" s="797">
        <v>44700</v>
      </c>
      <c r="I52" s="846"/>
      <c r="J52" s="797">
        <v>0</v>
      </c>
      <c r="K52" s="797">
        <f>H52-J52</f>
        <v>44700</v>
      </c>
      <c r="L52" s="797">
        <f>K52-M52</f>
        <v>44700</v>
      </c>
      <c r="M52" s="797">
        <v>0</v>
      </c>
      <c r="N52" s="797">
        <v>4500</v>
      </c>
      <c r="O52" s="846">
        <f>N52/H52*100</f>
        <v>10.067114093959731</v>
      </c>
      <c r="P52" s="797">
        <v>0</v>
      </c>
      <c r="Q52" s="797">
        <f>N52-P52</f>
        <v>4500</v>
      </c>
      <c r="R52" s="797">
        <f>Q52-S52</f>
        <v>4500</v>
      </c>
      <c r="S52" s="797">
        <v>0</v>
      </c>
      <c r="T52" s="797">
        <v>4500</v>
      </c>
      <c r="U52" s="846">
        <f t="shared" si="48"/>
        <v>100</v>
      </c>
      <c r="V52" s="797">
        <v>0</v>
      </c>
      <c r="W52" s="797">
        <f t="shared" si="44"/>
        <v>4500</v>
      </c>
      <c r="X52" s="797">
        <f t="shared" si="45"/>
        <v>4500</v>
      </c>
      <c r="Y52" s="797">
        <v>0</v>
      </c>
      <c r="Z52" s="797">
        <v>4500</v>
      </c>
      <c r="AA52" s="846">
        <f t="shared" si="49"/>
        <v>100</v>
      </c>
      <c r="AB52" s="797">
        <v>0</v>
      </c>
      <c r="AC52" s="797">
        <f t="shared" si="46"/>
        <v>4500</v>
      </c>
      <c r="AD52" s="797">
        <f t="shared" si="47"/>
        <v>4500</v>
      </c>
      <c r="AE52" s="797">
        <v>0</v>
      </c>
    </row>
    <row r="53" spans="1:31" s="294" customFormat="1" x14ac:dyDescent="0.25">
      <c r="A53" s="161">
        <v>16</v>
      </c>
      <c r="B53" s="27" t="s">
        <v>546</v>
      </c>
      <c r="C53" s="797">
        <v>8000</v>
      </c>
      <c r="D53" s="797"/>
      <c r="E53" s="851">
        <f>C53-D53</f>
        <v>8000</v>
      </c>
      <c r="F53" s="851">
        <f>E53-G53</f>
        <v>8000</v>
      </c>
      <c r="G53" s="851">
        <v>0</v>
      </c>
      <c r="H53" s="797">
        <v>8000</v>
      </c>
      <c r="I53" s="846"/>
      <c r="J53" s="797">
        <v>0</v>
      </c>
      <c r="K53" s="797">
        <f>H53-J53</f>
        <v>8000</v>
      </c>
      <c r="L53" s="797">
        <f>K53-M53</f>
        <v>8000</v>
      </c>
      <c r="M53" s="797">
        <v>0</v>
      </c>
      <c r="N53" s="797">
        <v>8000</v>
      </c>
      <c r="O53" s="846">
        <f>N53/H53*100</f>
        <v>100</v>
      </c>
      <c r="P53" s="797">
        <v>0</v>
      </c>
      <c r="Q53" s="797">
        <f>N53-P53</f>
        <v>8000</v>
      </c>
      <c r="R53" s="797">
        <f>Q53-S53</f>
        <v>8000</v>
      </c>
      <c r="S53" s="797">
        <v>0</v>
      </c>
      <c r="T53" s="797">
        <v>0</v>
      </c>
      <c r="U53" s="846"/>
      <c r="V53" s="797">
        <v>0</v>
      </c>
      <c r="W53" s="797">
        <f t="shared" si="44"/>
        <v>0</v>
      </c>
      <c r="X53" s="797">
        <f t="shared" si="45"/>
        <v>0</v>
      </c>
      <c r="Y53" s="797">
        <v>0</v>
      </c>
      <c r="Z53" s="797">
        <v>0</v>
      </c>
      <c r="AA53" s="846"/>
      <c r="AB53" s="797">
        <v>0</v>
      </c>
      <c r="AC53" s="797">
        <f t="shared" si="46"/>
        <v>0</v>
      </c>
      <c r="AD53" s="797">
        <f t="shared" si="47"/>
        <v>0</v>
      </c>
      <c r="AE53" s="797">
        <v>0</v>
      </c>
    </row>
    <row r="54" spans="1:31" s="294" customFormat="1" x14ac:dyDescent="0.25">
      <c r="A54" s="161">
        <v>17</v>
      </c>
      <c r="B54" s="27" t="s">
        <v>293</v>
      </c>
      <c r="C54" s="797">
        <v>19000</v>
      </c>
      <c r="D54" s="851">
        <v>0</v>
      </c>
      <c r="E54" s="851">
        <f>F54+G54</f>
        <v>19000</v>
      </c>
      <c r="F54" s="851">
        <v>0</v>
      </c>
      <c r="G54" s="851">
        <f>C54</f>
        <v>19000</v>
      </c>
      <c r="H54" s="797">
        <v>3200</v>
      </c>
      <c r="I54" s="846">
        <f t="shared" si="40"/>
        <v>16.842105263157894</v>
      </c>
      <c r="J54" s="797">
        <f>0</f>
        <v>0</v>
      </c>
      <c r="K54" s="797">
        <f t="shared" si="38"/>
        <v>3200</v>
      </c>
      <c r="L54" s="797">
        <v>0</v>
      </c>
      <c r="M54" s="797">
        <f>H54</f>
        <v>3200</v>
      </c>
      <c r="N54" s="797">
        <f>'Phụ lục số 5'!C30</f>
        <v>3500</v>
      </c>
      <c r="O54" s="846">
        <f t="shared" si="43"/>
        <v>109.375</v>
      </c>
      <c r="P54" s="797">
        <f>0</f>
        <v>0</v>
      </c>
      <c r="Q54" s="797">
        <f t="shared" si="39"/>
        <v>3500</v>
      </c>
      <c r="R54" s="797">
        <v>0</v>
      </c>
      <c r="S54" s="797">
        <f>N54</f>
        <v>3500</v>
      </c>
      <c r="T54" s="797">
        <v>3500</v>
      </c>
      <c r="U54" s="846">
        <f t="shared" si="48"/>
        <v>100</v>
      </c>
      <c r="V54" s="797">
        <f>0</f>
        <v>0</v>
      </c>
      <c r="W54" s="797">
        <f t="shared" si="44"/>
        <v>3500</v>
      </c>
      <c r="X54" s="797">
        <v>0</v>
      </c>
      <c r="Y54" s="797">
        <f>T54</f>
        <v>3500</v>
      </c>
      <c r="Z54" s="797">
        <v>3500</v>
      </c>
      <c r="AA54" s="846">
        <f t="shared" si="49"/>
        <v>100</v>
      </c>
      <c r="AB54" s="797">
        <f>0</f>
        <v>0</v>
      </c>
      <c r="AC54" s="797">
        <f t="shared" si="46"/>
        <v>3500</v>
      </c>
      <c r="AD54" s="797">
        <v>0</v>
      </c>
      <c r="AE54" s="797">
        <f>Z54</f>
        <v>3500</v>
      </c>
    </row>
    <row r="55" spans="1:31" s="9" customFormat="1" x14ac:dyDescent="0.25">
      <c r="A55" s="161">
        <v>18</v>
      </c>
      <c r="B55" s="27" t="s">
        <v>67</v>
      </c>
      <c r="C55" s="797">
        <v>1270000</v>
      </c>
      <c r="D55" s="851"/>
      <c r="E55" s="851">
        <f>F55+G55</f>
        <v>1270000</v>
      </c>
      <c r="F55" s="851">
        <f>C55</f>
        <v>1270000</v>
      </c>
      <c r="G55" s="851">
        <v>0</v>
      </c>
      <c r="H55" s="797">
        <v>1340000</v>
      </c>
      <c r="I55" s="846">
        <f t="shared" si="40"/>
        <v>105.51181102362204</v>
      </c>
      <c r="J55" s="797">
        <v>0</v>
      </c>
      <c r="K55" s="797">
        <f t="shared" si="38"/>
        <v>1340000</v>
      </c>
      <c r="L55" s="797">
        <f>H55</f>
        <v>1340000</v>
      </c>
      <c r="M55" s="797">
        <v>0</v>
      </c>
      <c r="N55" s="797">
        <v>1380000</v>
      </c>
      <c r="O55" s="846">
        <f t="shared" si="43"/>
        <v>102.98507462686568</v>
      </c>
      <c r="P55" s="797">
        <v>0</v>
      </c>
      <c r="Q55" s="797">
        <f>SUM(R55:S55)</f>
        <v>1380000</v>
      </c>
      <c r="R55" s="797">
        <f>N55</f>
        <v>1380000</v>
      </c>
      <c r="S55" s="797">
        <v>0</v>
      </c>
      <c r="T55" s="797">
        <v>1400000</v>
      </c>
      <c r="U55" s="846">
        <f t="shared" si="48"/>
        <v>101.44927536231884</v>
      </c>
      <c r="V55" s="797">
        <v>0</v>
      </c>
      <c r="W55" s="797">
        <f>SUM(X55:Y55)</f>
        <v>1400000</v>
      </c>
      <c r="X55" s="797">
        <f>T55</f>
        <v>1400000</v>
      </c>
      <c r="Y55" s="797">
        <v>0</v>
      </c>
      <c r="Z55" s="797">
        <v>1400000</v>
      </c>
      <c r="AA55" s="846">
        <f t="shared" si="49"/>
        <v>100</v>
      </c>
      <c r="AB55" s="797">
        <v>0</v>
      </c>
      <c r="AC55" s="797">
        <f>SUM(AD55:AE55)</f>
        <v>1400000</v>
      </c>
      <c r="AD55" s="797">
        <f>Z55</f>
        <v>1400000</v>
      </c>
      <c r="AE55" s="797">
        <v>0</v>
      </c>
    </row>
    <row r="56" spans="1:31" s="40" customFormat="1" x14ac:dyDescent="0.25">
      <c r="A56" s="64" t="s">
        <v>294</v>
      </c>
      <c r="B56" s="45" t="s">
        <v>417</v>
      </c>
      <c r="C56" s="798">
        <f t="shared" ref="C56:H56" si="50">SUM(C57:C58)</f>
        <v>66000</v>
      </c>
      <c r="D56" s="823">
        <f t="shared" si="50"/>
        <v>66000</v>
      </c>
      <c r="E56" s="823">
        <f t="shared" si="50"/>
        <v>0</v>
      </c>
      <c r="F56" s="823">
        <f t="shared" si="50"/>
        <v>0</v>
      </c>
      <c r="G56" s="823">
        <f t="shared" si="50"/>
        <v>0</v>
      </c>
      <c r="H56" s="798">
        <f t="shared" si="50"/>
        <v>66000</v>
      </c>
      <c r="I56" s="845">
        <f t="shared" si="40"/>
        <v>100</v>
      </c>
      <c r="J56" s="798">
        <f>H56</f>
        <v>66000</v>
      </c>
      <c r="K56" s="798">
        <f>H56-J56</f>
        <v>0</v>
      </c>
      <c r="L56" s="798">
        <f>K56-M56</f>
        <v>0</v>
      </c>
      <c r="M56" s="798">
        <v>0</v>
      </c>
      <c r="N56" s="798">
        <f>SUM(N57:N58)</f>
        <v>78000</v>
      </c>
      <c r="O56" s="845">
        <f t="shared" si="43"/>
        <v>118.18181818181819</v>
      </c>
      <c r="P56" s="798">
        <f>N56</f>
        <v>78000</v>
      </c>
      <c r="Q56" s="798">
        <f>N56-P56</f>
        <v>0</v>
      </c>
      <c r="R56" s="798">
        <f>Q56-S56</f>
        <v>0</v>
      </c>
      <c r="S56" s="798">
        <v>0</v>
      </c>
      <c r="T56" s="798">
        <f>SUM(T57:T58)</f>
        <v>86000</v>
      </c>
      <c r="U56" s="845">
        <f t="shared" si="48"/>
        <v>110.25641025641026</v>
      </c>
      <c r="V56" s="798">
        <f>T56</f>
        <v>86000</v>
      </c>
      <c r="W56" s="798">
        <f>T56-V56</f>
        <v>0</v>
      </c>
      <c r="X56" s="798">
        <f>W56-Y56</f>
        <v>0</v>
      </c>
      <c r="Y56" s="798">
        <v>0</v>
      </c>
      <c r="Z56" s="798">
        <f>SUM(Z57:Z58)</f>
        <v>95000</v>
      </c>
      <c r="AA56" s="845">
        <f t="shared" si="49"/>
        <v>110.46511627906976</v>
      </c>
      <c r="AB56" s="798">
        <f>Z56</f>
        <v>95000</v>
      </c>
      <c r="AC56" s="798">
        <f>Z56-AB56</f>
        <v>0</v>
      </c>
      <c r="AD56" s="798">
        <f>AC56-AE56</f>
        <v>0</v>
      </c>
      <c r="AE56" s="798">
        <v>0</v>
      </c>
    </row>
    <row r="57" spans="1:31" s="294" customFormat="1" x14ac:dyDescent="0.25">
      <c r="A57" s="295">
        <v>1</v>
      </c>
      <c r="B57" s="247" t="s">
        <v>663</v>
      </c>
      <c r="C57" s="788">
        <v>35000</v>
      </c>
      <c r="D57" s="852">
        <f>C57</f>
        <v>35000</v>
      </c>
      <c r="E57" s="852">
        <v>0</v>
      </c>
      <c r="F57" s="852">
        <v>0</v>
      </c>
      <c r="G57" s="852">
        <v>0</v>
      </c>
      <c r="H57" s="788">
        <f>15500+2000</f>
        <v>17500</v>
      </c>
      <c r="I57" s="847"/>
      <c r="J57" s="788">
        <f>H57</f>
        <v>17500</v>
      </c>
      <c r="K57" s="788">
        <v>0</v>
      </c>
      <c r="L57" s="788">
        <v>0</v>
      </c>
      <c r="M57" s="788">
        <v>0</v>
      </c>
      <c r="N57" s="788">
        <f>16000</f>
        <v>16000</v>
      </c>
      <c r="O57" s="847">
        <f t="shared" si="43"/>
        <v>91.428571428571431</v>
      </c>
      <c r="P57" s="788">
        <f>N57</f>
        <v>16000</v>
      </c>
      <c r="Q57" s="788">
        <v>0</v>
      </c>
      <c r="R57" s="788">
        <v>0</v>
      </c>
      <c r="S57" s="788">
        <v>0</v>
      </c>
      <c r="T57" s="788">
        <f>ROUND(N57*1.1,-3)</f>
        <v>18000</v>
      </c>
      <c r="U57" s="847">
        <f t="shared" si="48"/>
        <v>112.5</v>
      </c>
      <c r="V57" s="788">
        <f>T57</f>
        <v>18000</v>
      </c>
      <c r="W57" s="788">
        <v>0</v>
      </c>
      <c r="X57" s="788">
        <v>0</v>
      </c>
      <c r="Y57" s="788">
        <v>0</v>
      </c>
      <c r="Z57" s="788">
        <f>ROUND(T57*1.1,-3)</f>
        <v>20000</v>
      </c>
      <c r="AA57" s="847">
        <f t="shared" si="49"/>
        <v>111.11111111111111</v>
      </c>
      <c r="AB57" s="788">
        <f>Z57</f>
        <v>20000</v>
      </c>
      <c r="AC57" s="788">
        <v>0</v>
      </c>
      <c r="AD57" s="788">
        <v>0</v>
      </c>
      <c r="AE57" s="788">
        <v>0</v>
      </c>
    </row>
    <row r="58" spans="1:31" s="294" customFormat="1" x14ac:dyDescent="0.25">
      <c r="A58" s="295">
        <v>2</v>
      </c>
      <c r="B58" s="247" t="s">
        <v>283</v>
      </c>
      <c r="C58" s="788">
        <v>31000</v>
      </c>
      <c r="D58" s="852">
        <f>C58</f>
        <v>31000</v>
      </c>
      <c r="E58" s="852">
        <v>0</v>
      </c>
      <c r="F58" s="852">
        <v>0</v>
      </c>
      <c r="G58" s="852">
        <f>SUM(G59,G60)</f>
        <v>0</v>
      </c>
      <c r="H58" s="788">
        <f>48500</f>
        <v>48500</v>
      </c>
      <c r="I58" s="847"/>
      <c r="J58" s="788">
        <f>H58</f>
        <v>48500</v>
      </c>
      <c r="K58" s="788">
        <v>0</v>
      </c>
      <c r="L58" s="788">
        <v>0</v>
      </c>
      <c r="M58" s="788">
        <v>0</v>
      </c>
      <c r="N58" s="788">
        <f>62000</f>
        <v>62000</v>
      </c>
      <c r="O58" s="847">
        <f t="shared" si="43"/>
        <v>127.83505154639174</v>
      </c>
      <c r="P58" s="788">
        <f>N58</f>
        <v>62000</v>
      </c>
      <c r="Q58" s="788">
        <v>0</v>
      </c>
      <c r="R58" s="788">
        <v>0</v>
      </c>
      <c r="S58" s="788">
        <v>0</v>
      </c>
      <c r="T58" s="788">
        <f>ROUND(N58*1.1,-3)</f>
        <v>68000</v>
      </c>
      <c r="U58" s="847">
        <f t="shared" si="48"/>
        <v>109.6774193548387</v>
      </c>
      <c r="V58" s="788">
        <f>T58</f>
        <v>68000</v>
      </c>
      <c r="W58" s="788">
        <v>0</v>
      </c>
      <c r="X58" s="788">
        <v>0</v>
      </c>
      <c r="Y58" s="788">
        <v>0</v>
      </c>
      <c r="Z58" s="788">
        <f>ROUND(T58*1.1,-3)</f>
        <v>75000</v>
      </c>
      <c r="AA58" s="847">
        <f t="shared" si="49"/>
        <v>110.29411764705883</v>
      </c>
      <c r="AB58" s="788">
        <f>Z58</f>
        <v>75000</v>
      </c>
      <c r="AC58" s="788">
        <v>0</v>
      </c>
      <c r="AD58" s="788">
        <v>0</v>
      </c>
      <c r="AE58" s="788">
        <v>0</v>
      </c>
    </row>
    <row r="59" spans="1:31" s="18" customFormat="1" x14ac:dyDescent="0.25">
      <c r="A59" s="64" t="s">
        <v>295</v>
      </c>
      <c r="B59" s="45" t="s">
        <v>296</v>
      </c>
      <c r="C59" s="798">
        <f t="shared" ref="C59:H59" si="51">SUM(C60:C61)</f>
        <v>6694954</v>
      </c>
      <c r="D59" s="823">
        <f t="shared" si="51"/>
        <v>0</v>
      </c>
      <c r="E59" s="823">
        <f t="shared" si="51"/>
        <v>6694954</v>
      </c>
      <c r="F59" s="823">
        <f>SUM(F60:F61)</f>
        <v>6694954</v>
      </c>
      <c r="G59" s="823">
        <f t="shared" si="51"/>
        <v>0</v>
      </c>
      <c r="H59" s="798">
        <f t="shared" si="51"/>
        <v>6759032</v>
      </c>
      <c r="I59" s="845">
        <f>H59/C59*100</f>
        <v>100.95710889126349</v>
      </c>
      <c r="J59" s="798">
        <f>SUM(J60:J61)</f>
        <v>0</v>
      </c>
      <c r="K59" s="798">
        <f>SUM(K60:K61)</f>
        <v>6759032</v>
      </c>
      <c r="L59" s="798">
        <f>SUM(L60:L61)</f>
        <v>6759032</v>
      </c>
      <c r="M59" s="798">
        <f>SUM(M60:M61)</f>
        <v>0</v>
      </c>
      <c r="N59" s="798">
        <f>SUM(N60:N61)</f>
        <v>6498723</v>
      </c>
      <c r="O59" s="845"/>
      <c r="P59" s="798">
        <f>SUM(P60:P61)</f>
        <v>0</v>
      </c>
      <c r="Q59" s="798">
        <f>SUM(Q60:Q61)</f>
        <v>6498723</v>
      </c>
      <c r="R59" s="798">
        <f>SUM(R60:R61)</f>
        <v>6498723</v>
      </c>
      <c r="S59" s="798">
        <f>SUM(S60:S61)</f>
        <v>0</v>
      </c>
      <c r="T59" s="798">
        <f>SUM(T60:T61)</f>
        <v>6298370</v>
      </c>
      <c r="U59" s="845"/>
      <c r="V59" s="798">
        <f>SUM(V60:V61)</f>
        <v>0</v>
      </c>
      <c r="W59" s="798">
        <f>SUM(W60:W61)</f>
        <v>6298370</v>
      </c>
      <c r="X59" s="798">
        <f>SUM(X60:X61)</f>
        <v>6298370</v>
      </c>
      <c r="Y59" s="798">
        <f>SUM(Y60:Y61)</f>
        <v>0</v>
      </c>
      <c r="Z59" s="798">
        <f>SUM(Z60:Z61)</f>
        <v>6298370</v>
      </c>
      <c r="AA59" s="845"/>
      <c r="AB59" s="798">
        <f>SUM(AB60:AB61)</f>
        <v>0</v>
      </c>
      <c r="AC59" s="798">
        <f>SUM(AC60:AC61)</f>
        <v>6298370</v>
      </c>
      <c r="AD59" s="798">
        <f>SUM(AD60:AD61)</f>
        <v>6298370</v>
      </c>
      <c r="AE59" s="798">
        <f>SUM(AE60:AE61)</f>
        <v>0</v>
      </c>
    </row>
    <row r="60" spans="1:31" s="18" customFormat="1" x14ac:dyDescent="0.25">
      <c r="A60" s="64" t="s">
        <v>281</v>
      </c>
      <c r="B60" s="45" t="s">
        <v>297</v>
      </c>
      <c r="C60" s="798">
        <v>4693126</v>
      </c>
      <c r="D60" s="823"/>
      <c r="E60" s="823">
        <f>F60+G60</f>
        <v>4693126</v>
      </c>
      <c r="F60" s="823">
        <f>C60</f>
        <v>4693126</v>
      </c>
      <c r="G60" s="823">
        <v>0</v>
      </c>
      <c r="H60" s="798">
        <f>C60</f>
        <v>4693126</v>
      </c>
      <c r="I60" s="845"/>
      <c r="J60" s="798">
        <v>0</v>
      </c>
      <c r="K60" s="798">
        <f>H60</f>
        <v>4693126</v>
      </c>
      <c r="L60" s="798">
        <f>K60</f>
        <v>4693126</v>
      </c>
      <c r="M60" s="798">
        <v>0</v>
      </c>
      <c r="N60" s="798">
        <f>4693126*1</f>
        <v>4693126</v>
      </c>
      <c r="O60" s="845"/>
      <c r="P60" s="798">
        <v>0</v>
      </c>
      <c r="Q60" s="798">
        <f>N60</f>
        <v>4693126</v>
      </c>
      <c r="R60" s="798">
        <f>Q60</f>
        <v>4693126</v>
      </c>
      <c r="S60" s="798">
        <v>0</v>
      </c>
      <c r="T60" s="798">
        <f>4693126</f>
        <v>4693126</v>
      </c>
      <c r="U60" s="845"/>
      <c r="V60" s="798">
        <v>0</v>
      </c>
      <c r="W60" s="798">
        <f>T60</f>
        <v>4693126</v>
      </c>
      <c r="X60" s="798">
        <f>W60</f>
        <v>4693126</v>
      </c>
      <c r="Y60" s="798">
        <v>0</v>
      </c>
      <c r="Z60" s="798">
        <f>4693126</f>
        <v>4693126</v>
      </c>
      <c r="AA60" s="845"/>
      <c r="AB60" s="798">
        <v>0</v>
      </c>
      <c r="AC60" s="798">
        <f>Z60</f>
        <v>4693126</v>
      </c>
      <c r="AD60" s="798">
        <f>AC60</f>
        <v>4693126</v>
      </c>
      <c r="AE60" s="798">
        <v>0</v>
      </c>
    </row>
    <row r="61" spans="1:31" s="18" customFormat="1" x14ac:dyDescent="0.25">
      <c r="A61" s="64" t="s">
        <v>294</v>
      </c>
      <c r="B61" s="45" t="s">
        <v>298</v>
      </c>
      <c r="C61" s="798">
        <f t="shared" ref="C61:H61" si="52">SUM(C62:C65)</f>
        <v>2001828</v>
      </c>
      <c r="D61" s="798">
        <f t="shared" si="52"/>
        <v>0</v>
      </c>
      <c r="E61" s="798">
        <f t="shared" si="52"/>
        <v>2001828</v>
      </c>
      <c r="F61" s="798">
        <f t="shared" si="52"/>
        <v>2001828</v>
      </c>
      <c r="G61" s="798">
        <f t="shared" si="52"/>
        <v>0</v>
      </c>
      <c r="H61" s="798">
        <f t="shared" si="52"/>
        <v>2065906</v>
      </c>
      <c r="I61" s="845"/>
      <c r="J61" s="798">
        <f>SUM(J62:J65)</f>
        <v>0</v>
      </c>
      <c r="K61" s="798">
        <f>H61</f>
        <v>2065906</v>
      </c>
      <c r="L61" s="798">
        <f>K61</f>
        <v>2065906</v>
      </c>
      <c r="M61" s="798">
        <f>SUM(M62:M65)</f>
        <v>0</v>
      </c>
      <c r="N61" s="798">
        <f>SUM(N62:N65)</f>
        <v>1805597</v>
      </c>
      <c r="O61" s="845"/>
      <c r="P61" s="798">
        <f>SUM(P62:P65)</f>
        <v>0</v>
      </c>
      <c r="Q61" s="798">
        <f>SUM(Q62:Q65)</f>
        <v>1805597</v>
      </c>
      <c r="R61" s="798">
        <f>SUM(R62:R65)</f>
        <v>1805597</v>
      </c>
      <c r="S61" s="798">
        <f>SUM(S62:S65)</f>
        <v>0</v>
      </c>
      <c r="T61" s="798">
        <f>SUM(T62:T65)</f>
        <v>1605244</v>
      </c>
      <c r="U61" s="845"/>
      <c r="V61" s="798">
        <f>SUM(V62:V65)</f>
        <v>0</v>
      </c>
      <c r="W61" s="798">
        <f>SUM(W62:W65)</f>
        <v>1605244</v>
      </c>
      <c r="X61" s="798">
        <f>SUM(X62:X65)</f>
        <v>1605244</v>
      </c>
      <c r="Y61" s="798">
        <f>SUM(Y62:Y65)</f>
        <v>0</v>
      </c>
      <c r="Z61" s="798">
        <f>SUM(Z62:Z65)</f>
        <v>1605244</v>
      </c>
      <c r="AA61" s="845"/>
      <c r="AB61" s="798">
        <f>SUM(AB62:AB65)</f>
        <v>0</v>
      </c>
      <c r="AC61" s="798">
        <f>SUM(AC62:AC65)</f>
        <v>1605244</v>
      </c>
      <c r="AD61" s="798">
        <f>SUM(AD62:AD65)</f>
        <v>1605244</v>
      </c>
      <c r="AE61" s="798">
        <f>SUM(AE62:AE65)</f>
        <v>0</v>
      </c>
    </row>
    <row r="62" spans="1:31" s="9" customFormat="1" x14ac:dyDescent="0.25">
      <c r="A62" s="295">
        <v>1</v>
      </c>
      <c r="B62" s="247" t="s">
        <v>172</v>
      </c>
      <c r="C62" s="788">
        <v>158489</v>
      </c>
      <c r="D62" s="788">
        <v>0</v>
      </c>
      <c r="E62" s="788">
        <f t="shared" ref="E62:E67" si="53">F62+G62</f>
        <v>158489</v>
      </c>
      <c r="F62" s="788">
        <f>C62</f>
        <v>158489</v>
      </c>
      <c r="G62" s="788">
        <v>0</v>
      </c>
      <c r="H62" s="788">
        <f>C62</f>
        <v>158489</v>
      </c>
      <c r="I62" s="847"/>
      <c r="J62" s="788">
        <v>0</v>
      </c>
      <c r="K62" s="788">
        <f>H62-J62</f>
        <v>158489</v>
      </c>
      <c r="L62" s="788">
        <f>K62-M62</f>
        <v>158489</v>
      </c>
      <c r="M62" s="788">
        <v>0</v>
      </c>
      <c r="N62" s="788">
        <f>Q62</f>
        <v>237567</v>
      </c>
      <c r="O62" s="847"/>
      <c r="P62" s="788">
        <v>0</v>
      </c>
      <c r="Q62" s="788">
        <f>R62+S62</f>
        <v>237567</v>
      </c>
      <c r="R62" s="788">
        <f>'Phụ lục số 8'!C7</f>
        <v>237567</v>
      </c>
      <c r="S62" s="788">
        <v>0</v>
      </c>
      <c r="T62" s="788">
        <f>N62</f>
        <v>237567</v>
      </c>
      <c r="U62" s="847"/>
      <c r="V62" s="788">
        <v>0</v>
      </c>
      <c r="W62" s="788">
        <f>T62-V62</f>
        <v>237567</v>
      </c>
      <c r="X62" s="788">
        <f>W62-Y62</f>
        <v>237567</v>
      </c>
      <c r="Y62" s="788">
        <v>0</v>
      </c>
      <c r="Z62" s="788">
        <f>T62</f>
        <v>237567</v>
      </c>
      <c r="AA62" s="847"/>
      <c r="AB62" s="788">
        <v>0</v>
      </c>
      <c r="AC62" s="788">
        <f>Z62-AB62</f>
        <v>237567</v>
      </c>
      <c r="AD62" s="788">
        <f>AC62-AE62</f>
        <v>237567</v>
      </c>
      <c r="AE62" s="788">
        <v>0</v>
      </c>
    </row>
    <row r="63" spans="1:31" s="26" customFormat="1" x14ac:dyDescent="0.25">
      <c r="A63" s="296">
        <v>2</v>
      </c>
      <c r="B63" s="247" t="s">
        <v>382</v>
      </c>
      <c r="C63" s="788">
        <v>1503647</v>
      </c>
      <c r="D63" s="788">
        <v>0</v>
      </c>
      <c r="E63" s="788">
        <f t="shared" si="53"/>
        <v>1503647</v>
      </c>
      <c r="F63" s="788">
        <f>C63</f>
        <v>1503647</v>
      </c>
      <c r="G63" s="788">
        <v>0</v>
      </c>
      <c r="H63" s="788">
        <f>C63</f>
        <v>1503647</v>
      </c>
      <c r="I63" s="847"/>
      <c r="J63" s="788">
        <v>0</v>
      </c>
      <c r="K63" s="788">
        <f>H63-J63</f>
        <v>1503647</v>
      </c>
      <c r="L63" s="788">
        <f>K63-M63</f>
        <v>1503647</v>
      </c>
      <c r="M63" s="788">
        <v>0</v>
      </c>
      <c r="N63" s="788">
        <f>Q63</f>
        <v>849684</v>
      </c>
      <c r="O63" s="847"/>
      <c r="P63" s="788">
        <v>0</v>
      </c>
      <c r="Q63" s="788">
        <f>R63+S63</f>
        <v>849684</v>
      </c>
      <c r="R63" s="788">
        <f>'Phụ lục số 8'!C11</f>
        <v>849684</v>
      </c>
      <c r="S63" s="788">
        <v>0</v>
      </c>
      <c r="T63" s="788">
        <f>N63</f>
        <v>849684</v>
      </c>
      <c r="U63" s="847"/>
      <c r="V63" s="788">
        <v>0</v>
      </c>
      <c r="W63" s="788">
        <f>T63-V63</f>
        <v>849684</v>
      </c>
      <c r="X63" s="788">
        <f>W63-Y63</f>
        <v>849684</v>
      </c>
      <c r="Y63" s="788">
        <v>0</v>
      </c>
      <c r="Z63" s="788">
        <f>T63</f>
        <v>849684</v>
      </c>
      <c r="AA63" s="847"/>
      <c r="AB63" s="788">
        <v>0</v>
      </c>
      <c r="AC63" s="788">
        <f>Z63-AB63</f>
        <v>849684</v>
      </c>
      <c r="AD63" s="788">
        <f>AC63-AE63</f>
        <v>849684</v>
      </c>
      <c r="AE63" s="788">
        <v>0</v>
      </c>
    </row>
    <row r="64" spans="1:31" s="26" customFormat="1" ht="70.5" customHeight="1" x14ac:dyDescent="0.25">
      <c r="A64" s="296">
        <v>3</v>
      </c>
      <c r="B64" s="297" t="s">
        <v>378</v>
      </c>
      <c r="C64" s="788">
        <v>245237</v>
      </c>
      <c r="D64" s="788"/>
      <c r="E64" s="788">
        <f t="shared" si="53"/>
        <v>245237</v>
      </c>
      <c r="F64" s="788">
        <f>C64</f>
        <v>245237</v>
      </c>
      <c r="G64" s="788">
        <v>0</v>
      </c>
      <c r="H64" s="788">
        <f>C64</f>
        <v>245237</v>
      </c>
      <c r="I64" s="847"/>
      <c r="J64" s="788">
        <v>0</v>
      </c>
      <c r="K64" s="788">
        <f>H64-J64</f>
        <v>245237</v>
      </c>
      <c r="L64" s="788">
        <f>K64-M64</f>
        <v>245237</v>
      </c>
      <c r="M64" s="788">
        <v>0</v>
      </c>
      <c r="N64" s="788">
        <f>Q64</f>
        <v>517993</v>
      </c>
      <c r="O64" s="847"/>
      <c r="P64" s="788">
        <v>0</v>
      </c>
      <c r="Q64" s="788">
        <f>R64+S64</f>
        <v>517993</v>
      </c>
      <c r="R64" s="788">
        <f>'Phụ lục số 8'!E18-'Phụ lục số 8'!E26</f>
        <v>517993</v>
      </c>
      <c r="S64" s="788">
        <v>0</v>
      </c>
      <c r="T64" s="788">
        <f>N64</f>
        <v>517993</v>
      </c>
      <c r="U64" s="847"/>
      <c r="V64" s="788">
        <v>0</v>
      </c>
      <c r="W64" s="788">
        <f>T64-V64</f>
        <v>517993</v>
      </c>
      <c r="X64" s="788">
        <f>W64-Y64</f>
        <v>517993</v>
      </c>
      <c r="Y64" s="788">
        <v>0</v>
      </c>
      <c r="Z64" s="788">
        <f>T64</f>
        <v>517993</v>
      </c>
      <c r="AA64" s="847"/>
      <c r="AB64" s="788">
        <v>0</v>
      </c>
      <c r="AC64" s="788">
        <f>Z64-AB64</f>
        <v>517993</v>
      </c>
      <c r="AD64" s="788">
        <f>AC64-AE64</f>
        <v>517993</v>
      </c>
      <c r="AE64" s="788">
        <v>0</v>
      </c>
    </row>
    <row r="65" spans="1:31" s="26" customFormat="1" x14ac:dyDescent="0.25">
      <c r="A65" s="296">
        <v>4</v>
      </c>
      <c r="B65" s="247" t="s">
        <v>525</v>
      </c>
      <c r="C65" s="852">
        <v>94455</v>
      </c>
      <c r="D65" s="852">
        <v>0</v>
      </c>
      <c r="E65" s="788">
        <f t="shared" si="53"/>
        <v>94455</v>
      </c>
      <c r="F65" s="852">
        <f>C65</f>
        <v>94455</v>
      </c>
      <c r="G65" s="852">
        <v>0</v>
      </c>
      <c r="H65" s="788">
        <f>C65+64078</f>
        <v>158533</v>
      </c>
      <c r="I65" s="847"/>
      <c r="J65" s="788"/>
      <c r="K65" s="788">
        <f>H65-J65</f>
        <v>158533</v>
      </c>
      <c r="L65" s="788">
        <f>K65-M65</f>
        <v>158533</v>
      </c>
      <c r="M65" s="788">
        <v>0</v>
      </c>
      <c r="N65" s="788">
        <f>'Phụ lục số 8'!C26</f>
        <v>200353</v>
      </c>
      <c r="O65" s="847"/>
      <c r="P65" s="788"/>
      <c r="Q65" s="788">
        <f>R65+S65</f>
        <v>200353</v>
      </c>
      <c r="R65" s="788">
        <f>N65</f>
        <v>200353</v>
      </c>
      <c r="S65" s="788">
        <v>0</v>
      </c>
      <c r="T65" s="788"/>
      <c r="U65" s="847"/>
      <c r="V65" s="788"/>
      <c r="W65" s="788">
        <f>X65+Y65</f>
        <v>0</v>
      </c>
      <c r="X65" s="788">
        <f>T65</f>
        <v>0</v>
      </c>
      <c r="Y65" s="788">
        <v>0</v>
      </c>
      <c r="Z65" s="788">
        <f>T65</f>
        <v>0</v>
      </c>
      <c r="AA65" s="847"/>
      <c r="AB65" s="788"/>
      <c r="AC65" s="788">
        <f>AD65+AE65</f>
        <v>0</v>
      </c>
      <c r="AD65" s="788">
        <f>Z65</f>
        <v>0</v>
      </c>
      <c r="AE65" s="788">
        <v>0</v>
      </c>
    </row>
    <row r="66" spans="1:31" s="18" customFormat="1" ht="15.75" customHeight="1" x14ac:dyDescent="0.25">
      <c r="A66" s="64" t="s">
        <v>299</v>
      </c>
      <c r="B66" s="45" t="s">
        <v>173</v>
      </c>
      <c r="C66" s="798">
        <f>F66+G66</f>
        <v>236361</v>
      </c>
      <c r="D66" s="823">
        <v>0</v>
      </c>
      <c r="E66" s="823">
        <f t="shared" si="53"/>
        <v>236361</v>
      </c>
      <c r="F66" s="823">
        <v>182953</v>
      </c>
      <c r="G66" s="823">
        <v>53408</v>
      </c>
      <c r="H66" s="798">
        <f>K66</f>
        <v>236361</v>
      </c>
      <c r="I66" s="845"/>
      <c r="J66" s="798">
        <v>0</v>
      </c>
      <c r="K66" s="798">
        <f>SUM(L66:M66)</f>
        <v>236361</v>
      </c>
      <c r="L66" s="798">
        <f>F66</f>
        <v>182953</v>
      </c>
      <c r="M66" s="798">
        <f>G66</f>
        <v>53408</v>
      </c>
      <c r="N66" s="798">
        <f>SUM(Q66)</f>
        <v>353947</v>
      </c>
      <c r="O66" s="853"/>
      <c r="P66" s="798">
        <v>0</v>
      </c>
      <c r="Q66" s="798">
        <f>R66+S66</f>
        <v>353947</v>
      </c>
      <c r="R66" s="798">
        <f>194121</f>
        <v>194121</v>
      </c>
      <c r="S66" s="798">
        <f>'Phụ lục số 2'!J36</f>
        <v>159826</v>
      </c>
      <c r="T66" s="798">
        <f>X66+Y66</f>
        <v>290502</v>
      </c>
      <c r="U66" s="853"/>
      <c r="V66" s="798"/>
      <c r="W66" s="798">
        <f>SUM(X66:Y66)</f>
        <v>290502</v>
      </c>
      <c r="X66" s="798">
        <v>247177</v>
      </c>
      <c r="Y66" s="798">
        <v>43325</v>
      </c>
      <c r="Z66" s="798">
        <f>AD66+AE66</f>
        <v>154280</v>
      </c>
      <c r="AA66" s="853"/>
      <c r="AB66" s="798">
        <v>0</v>
      </c>
      <c r="AC66" s="798">
        <f>SUM(AD66:AE66)</f>
        <v>154280</v>
      </c>
      <c r="AD66" s="798">
        <v>91135</v>
      </c>
      <c r="AE66" s="798">
        <v>63145</v>
      </c>
    </row>
    <row r="67" spans="1:31" s="18" customFormat="1" ht="15.75" customHeight="1" x14ac:dyDescent="0.25">
      <c r="A67" s="64" t="s">
        <v>337</v>
      </c>
      <c r="B67" s="45" t="s">
        <v>1027</v>
      </c>
      <c r="C67" s="798">
        <f>F67</f>
        <v>0</v>
      </c>
      <c r="D67" s="823">
        <v>0</v>
      </c>
      <c r="E67" s="823">
        <f t="shared" si="53"/>
        <v>0</v>
      </c>
      <c r="F67" s="823"/>
      <c r="G67" s="823"/>
      <c r="H67" s="798">
        <f>+L67+M67</f>
        <v>0</v>
      </c>
      <c r="I67" s="845"/>
      <c r="J67" s="798"/>
      <c r="K67" s="798">
        <f>SUM(L67:M67)</f>
        <v>0</v>
      </c>
      <c r="L67" s="798"/>
      <c r="M67" s="798"/>
      <c r="N67" s="798">
        <f>Q67</f>
        <v>15000</v>
      </c>
      <c r="O67" s="853"/>
      <c r="P67" s="798"/>
      <c r="Q67" s="798">
        <f>SUM(R67:S67)</f>
        <v>15000</v>
      </c>
      <c r="R67" s="798">
        <f>15000</f>
        <v>15000</v>
      </c>
      <c r="S67" s="798">
        <v>0</v>
      </c>
      <c r="T67" s="798">
        <f>W67</f>
        <v>0</v>
      </c>
      <c r="U67" s="853"/>
      <c r="V67" s="798"/>
      <c r="W67" s="798">
        <f>SUM(X67:Y67)</f>
        <v>0</v>
      </c>
      <c r="X67" s="798"/>
      <c r="Y67" s="798">
        <v>0</v>
      </c>
      <c r="Z67" s="798">
        <f>AC67</f>
        <v>0</v>
      </c>
      <c r="AA67" s="853"/>
      <c r="AB67" s="798"/>
      <c r="AC67" s="798">
        <f>SUM(AD67:AE67)</f>
        <v>0</v>
      </c>
      <c r="AD67" s="798"/>
      <c r="AE67" s="798">
        <v>0</v>
      </c>
    </row>
    <row r="68" spans="1:31" s="18" customFormat="1" x14ac:dyDescent="0.25">
      <c r="A68" s="77"/>
      <c r="B68" s="38" t="s">
        <v>1026</v>
      </c>
      <c r="C68" s="799">
        <f t="shared" ref="C68:H68" si="54">SUM(C12,C59,C66,C67)</f>
        <v>13622615</v>
      </c>
      <c r="D68" s="799">
        <f t="shared" si="54"/>
        <v>1630996</v>
      </c>
      <c r="E68" s="799">
        <f t="shared" si="54"/>
        <v>11991619</v>
      </c>
      <c r="F68" s="799">
        <f t="shared" si="54"/>
        <v>10234051</v>
      </c>
      <c r="G68" s="799">
        <f t="shared" si="54"/>
        <v>1757568</v>
      </c>
      <c r="H68" s="799">
        <f t="shared" si="54"/>
        <v>13530393</v>
      </c>
      <c r="I68" s="854"/>
      <c r="J68" s="799">
        <f>SUM(J12,J59,J66,J67)</f>
        <v>1230000</v>
      </c>
      <c r="K68" s="799">
        <f>SUM(K12,K59,K66,K67)</f>
        <v>12300393</v>
      </c>
      <c r="L68" s="799">
        <f>SUM(L12,L59,L66,L67)</f>
        <v>10346285</v>
      </c>
      <c r="M68" s="799">
        <f>SUM(M12,M59,M66,M67)</f>
        <v>1954108</v>
      </c>
      <c r="N68" s="799">
        <f>SUM(N12,N59,N66,N67)</f>
        <v>13952670</v>
      </c>
      <c r="O68" s="854"/>
      <c r="P68" s="799">
        <f>SUM(P12,P59,P66,P67)</f>
        <v>1618420</v>
      </c>
      <c r="Q68" s="799">
        <f>SUM(Q12,Q59,Q66,Q67)</f>
        <v>12334250</v>
      </c>
      <c r="R68" s="799">
        <f>SUM(R12,R59,R66,R67)</f>
        <v>10357034</v>
      </c>
      <c r="S68" s="799">
        <f>SUM(S12,S59,S66,S67)</f>
        <v>1977216</v>
      </c>
      <c r="T68" s="799">
        <f>SUM(T12,T59,T66,T67)</f>
        <v>13788872</v>
      </c>
      <c r="U68" s="854"/>
      <c r="V68" s="799">
        <f>SUM(V12,V59,V66,V67)</f>
        <v>1645000</v>
      </c>
      <c r="W68" s="799">
        <f>SUM(W12,W59,W66,W67)</f>
        <v>12143872</v>
      </c>
      <c r="X68" s="799">
        <f>SUM(X12,X59,X66,X67)</f>
        <v>10306397</v>
      </c>
      <c r="Y68" s="799">
        <f>SUM(Y12,Y59,Y66,Y67)</f>
        <v>1837475</v>
      </c>
      <c r="Z68" s="799">
        <f>SUM(Z12,Z59,Z66,Z67)</f>
        <v>13978650</v>
      </c>
      <c r="AA68" s="854"/>
      <c r="AB68" s="799">
        <f>SUM(AB12,AB59,AB66,AB67)</f>
        <v>1790000</v>
      </c>
      <c r="AC68" s="799">
        <f>SUM(AC12,AC59,AC66,AC67)</f>
        <v>12188650</v>
      </c>
      <c r="AD68" s="799">
        <f>SUM(AD12,AD59,AD66,AD67)</f>
        <v>10261005</v>
      </c>
      <c r="AE68" s="799">
        <f>SUM(AE12,AE59,AE66,AE67)</f>
        <v>1927645</v>
      </c>
    </row>
    <row r="70" spans="1:31" x14ac:dyDescent="0.25">
      <c r="P70" s="268"/>
    </row>
    <row r="71" spans="1:31" x14ac:dyDescent="0.25">
      <c r="Q71" s="249">
        <f>+Q61-'Phụ lục số 8'!C50</f>
        <v>0</v>
      </c>
    </row>
    <row r="73" spans="1:31" x14ac:dyDescent="0.25">
      <c r="N73" s="249">
        <f>N46/N13%</f>
        <v>32.538889681746824</v>
      </c>
      <c r="O73" s="249">
        <v>315</v>
      </c>
    </row>
    <row r="74" spans="1:31" x14ac:dyDescent="0.25">
      <c r="N74" s="249">
        <f>N55/N13%</f>
        <v>19.694591123162553</v>
      </c>
      <c r="O74" s="268">
        <f>+O73*15%</f>
        <v>47.25</v>
      </c>
    </row>
    <row r="75" spans="1:31" x14ac:dyDescent="0.25">
      <c r="N75" s="249">
        <f>+N73+N74</f>
        <v>52.233480804909377</v>
      </c>
      <c r="O75" s="268">
        <f>48/O73%</f>
        <v>15.238095238095239</v>
      </c>
    </row>
    <row r="76" spans="1:31" x14ac:dyDescent="0.25">
      <c r="O76" s="249">
        <f>+O73/2</f>
        <v>157.5</v>
      </c>
    </row>
    <row r="77" spans="1:31" x14ac:dyDescent="0.25">
      <c r="Q77" s="249">
        <f>1303645/11</f>
        <v>118513.18181818182</v>
      </c>
    </row>
    <row r="78" spans="1:31" x14ac:dyDescent="0.25">
      <c r="Q78" s="249">
        <f>+Q77*12</f>
        <v>1422158.1818181819</v>
      </c>
    </row>
    <row r="79" spans="1:31" x14ac:dyDescent="0.25">
      <c r="Q79" s="249">
        <v>1380000</v>
      </c>
    </row>
    <row r="80" spans="1:31" x14ac:dyDescent="0.25">
      <c r="Q80" s="249">
        <f>+Q78-Q79</f>
        <v>42158.181818181882</v>
      </c>
    </row>
    <row r="81" spans="17:31" x14ac:dyDescent="0.25">
      <c r="Q81" s="249">
        <f>+Q77-Q80</f>
        <v>76354.999999999942</v>
      </c>
    </row>
    <row r="82" spans="17:31" x14ac:dyDescent="0.25">
      <c r="R82" s="249">
        <f>2018-1969</f>
        <v>49</v>
      </c>
    </row>
    <row r="83" spans="17:31" x14ac:dyDescent="0.25">
      <c r="Q83" s="249">
        <v>49800</v>
      </c>
      <c r="R83" s="249">
        <f>2018-1986</f>
        <v>32</v>
      </c>
    </row>
    <row r="84" spans="17:31" x14ac:dyDescent="0.25">
      <c r="Q84" s="249">
        <v>204</v>
      </c>
      <c r="R84" s="249">
        <f>+R82+R83</f>
        <v>81</v>
      </c>
      <c r="S84" s="249">
        <f>+R84+2</f>
        <v>83</v>
      </c>
    </row>
    <row r="85" spans="17:31" x14ac:dyDescent="0.25">
      <c r="Q85" s="249">
        <f>+Q83*Q84</f>
        <v>10159200</v>
      </c>
      <c r="R85" s="249">
        <f>+R84-40</f>
        <v>41</v>
      </c>
      <c r="S85" s="249">
        <f>+S84-40</f>
        <v>43</v>
      </c>
      <c r="T85" s="249">
        <f>S85-T86</f>
        <v>42</v>
      </c>
      <c r="U85" s="249">
        <f>T85-U86</f>
        <v>40</v>
      </c>
      <c r="V85" s="249">
        <f t="shared" ref="V85:AA85" si="55">+U85-V86</f>
        <v>37</v>
      </c>
      <c r="W85" s="249">
        <f t="shared" si="55"/>
        <v>33</v>
      </c>
      <c r="X85" s="249">
        <f t="shared" si="55"/>
        <v>28</v>
      </c>
      <c r="Y85" s="249">
        <f t="shared" si="55"/>
        <v>22</v>
      </c>
      <c r="Z85" s="249">
        <f t="shared" si="55"/>
        <v>15</v>
      </c>
      <c r="AA85" s="249">
        <f t="shared" si="55"/>
        <v>7</v>
      </c>
    </row>
    <row r="86" spans="17:31" x14ac:dyDescent="0.25">
      <c r="T86" s="249">
        <v>1</v>
      </c>
      <c r="U86" s="249">
        <v>2</v>
      </c>
      <c r="V86" s="249">
        <v>3</v>
      </c>
      <c r="W86" s="249">
        <v>4</v>
      </c>
      <c r="X86" s="249">
        <v>5</v>
      </c>
      <c r="Y86" s="249">
        <v>6</v>
      </c>
      <c r="Z86" s="249">
        <v>7</v>
      </c>
      <c r="AA86" s="249">
        <v>8</v>
      </c>
      <c r="AB86" s="249">
        <v>9</v>
      </c>
      <c r="AC86" s="249">
        <v>10</v>
      </c>
      <c r="AD86" s="249">
        <v>11</v>
      </c>
      <c r="AE86" s="249">
        <v>12</v>
      </c>
    </row>
    <row r="87" spans="17:31" x14ac:dyDescent="0.25">
      <c r="T87" s="249">
        <f>+R85-T86</f>
        <v>40</v>
      </c>
      <c r="U87" s="249">
        <f t="shared" ref="U87:AA87" si="56">+T87-U86</f>
        <v>38</v>
      </c>
      <c r="V87" s="249">
        <f t="shared" si="56"/>
        <v>35</v>
      </c>
      <c r="W87" s="249">
        <f t="shared" si="56"/>
        <v>31</v>
      </c>
      <c r="X87" s="249">
        <f t="shared" si="56"/>
        <v>26</v>
      </c>
      <c r="Y87" s="249">
        <f t="shared" si="56"/>
        <v>20</v>
      </c>
      <c r="Z87" s="249">
        <f t="shared" si="56"/>
        <v>13</v>
      </c>
      <c r="AA87" s="249">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3" customWidth="1"/>
    <col min="2" max="2" width="26.25" style="249" customWidth="1"/>
    <col min="3" max="3" width="9" style="269" customWidth="1"/>
    <col min="4" max="6" width="8.125" style="269" customWidth="1"/>
    <col min="7" max="7" width="5.375" style="300" customWidth="1"/>
    <col min="8" max="8" width="7.125" style="269" customWidth="1"/>
    <col min="9" max="10" width="8.125" style="269" customWidth="1"/>
    <col min="11" max="11" width="10.25" style="269" customWidth="1"/>
    <col min="12" max="12" width="5.75" style="269" customWidth="1"/>
    <col min="13" max="13" width="6.375" style="269" customWidth="1"/>
    <col min="14" max="14" width="8.125" style="269" customWidth="1"/>
    <col min="15" max="15" width="10.5" style="269" customWidth="1"/>
    <col min="16" max="16" width="9" style="269"/>
    <col min="17" max="17" width="6.75" style="269" customWidth="1"/>
    <col min="18" max="18" width="7.625" style="269" customWidth="1"/>
    <col min="19" max="21" width="9" style="269"/>
    <col min="22" max="22" width="6.875" style="269" customWidth="1"/>
    <col min="23" max="23" width="7.625" style="269" customWidth="1"/>
    <col min="24" max="16384" width="9" style="269"/>
  </cols>
  <sheetData>
    <row r="1" spans="1:25" hidden="1" x14ac:dyDescent="0.25">
      <c r="A1" s="12"/>
      <c r="B1" s="804" t="s">
        <v>380</v>
      </c>
      <c r="C1" s="985" t="s">
        <v>349</v>
      </c>
      <c r="D1" s="985"/>
      <c r="E1" s="985"/>
      <c r="F1" s="985"/>
      <c r="G1" s="985"/>
      <c r="H1" s="985"/>
      <c r="I1" s="985"/>
      <c r="J1" s="985"/>
    </row>
    <row r="2" spans="1:25" hidden="1" x14ac:dyDescent="0.25">
      <c r="A2" s="12"/>
      <c r="B2" s="804" t="s">
        <v>381</v>
      </c>
      <c r="C2" s="985" t="s">
        <v>336</v>
      </c>
      <c r="D2" s="985"/>
      <c r="E2" s="985"/>
      <c r="F2" s="985"/>
      <c r="G2" s="985"/>
      <c r="H2" s="985"/>
      <c r="I2" s="985"/>
      <c r="J2" s="985"/>
    </row>
    <row r="3" spans="1:25" hidden="1" x14ac:dyDescent="0.25">
      <c r="A3" s="12"/>
      <c r="B3" s="804" t="s">
        <v>271</v>
      </c>
      <c r="C3" s="990" t="s">
        <v>350</v>
      </c>
      <c r="D3" s="990"/>
      <c r="E3" s="990"/>
      <c r="F3" s="990"/>
      <c r="G3" s="990"/>
      <c r="H3" s="990"/>
      <c r="I3" s="990"/>
      <c r="J3" s="990"/>
      <c r="O3" s="34" t="s">
        <v>371</v>
      </c>
    </row>
    <row r="4" spans="1:25" hidden="1" x14ac:dyDescent="0.25">
      <c r="A4" s="12"/>
      <c r="B4" s="804"/>
      <c r="C4" s="806"/>
      <c r="D4" s="806"/>
      <c r="E4" s="806"/>
      <c r="F4" s="806"/>
      <c r="G4" s="196"/>
      <c r="H4" s="806"/>
      <c r="I4" s="806"/>
      <c r="J4" s="806"/>
    </row>
    <row r="5" spans="1:25" ht="31.5" x14ac:dyDescent="0.25">
      <c r="A5" s="29" t="s">
        <v>728</v>
      </c>
      <c r="B5" s="29"/>
      <c r="C5" s="29"/>
      <c r="D5" s="29"/>
      <c r="E5" s="29"/>
      <c r="F5" s="29"/>
      <c r="G5" s="197"/>
      <c r="H5" s="29"/>
      <c r="I5" s="29"/>
      <c r="J5" s="29"/>
      <c r="K5" s="298"/>
      <c r="L5" s="298"/>
      <c r="M5" s="298"/>
      <c r="N5" s="298"/>
      <c r="O5" s="298"/>
    </row>
    <row r="6" spans="1:25" hidden="1" x14ac:dyDescent="0.25">
      <c r="A6" s="805"/>
      <c r="B6" s="805"/>
      <c r="C6" s="805"/>
      <c r="D6" s="806"/>
      <c r="E6" s="806"/>
      <c r="F6" s="805"/>
      <c r="G6" s="990"/>
      <c r="H6" s="990"/>
      <c r="I6" s="990"/>
      <c r="J6" s="806"/>
    </row>
    <row r="7" spans="1:25" ht="15" customHeight="1" x14ac:dyDescent="0.25">
      <c r="A7" s="14"/>
      <c r="B7" s="1"/>
      <c r="D7" s="990"/>
      <c r="E7" s="990"/>
      <c r="F7" s="299"/>
      <c r="H7" s="299"/>
      <c r="I7" s="16"/>
      <c r="J7" s="807"/>
      <c r="O7" s="807" t="s">
        <v>344</v>
      </c>
    </row>
    <row r="8" spans="1:25" s="39" customFormat="1" ht="20.25" customHeight="1" x14ac:dyDescent="0.25">
      <c r="A8" s="972" t="s">
        <v>272</v>
      </c>
      <c r="B8" s="962" t="s">
        <v>300</v>
      </c>
      <c r="C8" s="994" t="s">
        <v>523</v>
      </c>
      <c r="D8" s="995"/>
      <c r="E8" s="996"/>
      <c r="F8" s="997" t="s">
        <v>725</v>
      </c>
      <c r="G8" s="998"/>
      <c r="H8" s="998"/>
      <c r="I8" s="998"/>
      <c r="J8" s="999"/>
      <c r="K8" s="991" t="s">
        <v>726</v>
      </c>
      <c r="L8" s="992"/>
      <c r="M8" s="992"/>
      <c r="N8" s="992"/>
      <c r="O8" s="993"/>
      <c r="P8" s="991" t="s">
        <v>532</v>
      </c>
      <c r="Q8" s="992"/>
      <c r="R8" s="992"/>
      <c r="S8" s="992"/>
      <c r="T8" s="993"/>
      <c r="U8" s="991" t="s">
        <v>727</v>
      </c>
      <c r="V8" s="992"/>
      <c r="W8" s="992"/>
      <c r="X8" s="992"/>
      <c r="Y8" s="993"/>
    </row>
    <row r="9" spans="1:25" s="39" customFormat="1" ht="87" customHeight="1" x14ac:dyDescent="0.25">
      <c r="A9" s="973"/>
      <c r="B9" s="973"/>
      <c r="C9" s="802" t="s">
        <v>301</v>
      </c>
      <c r="D9" s="803" t="s">
        <v>303</v>
      </c>
      <c r="E9" s="803" t="s">
        <v>345</v>
      </c>
      <c r="F9" s="802" t="s">
        <v>301</v>
      </c>
      <c r="G9" s="198" t="s">
        <v>302</v>
      </c>
      <c r="H9" s="802" t="s">
        <v>533</v>
      </c>
      <c r="I9" s="803" t="s">
        <v>303</v>
      </c>
      <c r="J9" s="803" t="s">
        <v>345</v>
      </c>
      <c r="K9" s="802" t="s">
        <v>301</v>
      </c>
      <c r="L9" s="802" t="s">
        <v>302</v>
      </c>
      <c r="M9" s="802" t="s">
        <v>533</v>
      </c>
      <c r="N9" s="803" t="s">
        <v>303</v>
      </c>
      <c r="O9" s="803" t="s">
        <v>345</v>
      </c>
      <c r="P9" s="802" t="s">
        <v>301</v>
      </c>
      <c r="Q9" s="802" t="s">
        <v>302</v>
      </c>
      <c r="R9" s="802" t="s">
        <v>534</v>
      </c>
      <c r="S9" s="803" t="s">
        <v>303</v>
      </c>
      <c r="T9" s="803" t="s">
        <v>345</v>
      </c>
      <c r="U9" s="802" t="s">
        <v>301</v>
      </c>
      <c r="V9" s="802" t="s">
        <v>302</v>
      </c>
      <c r="W9" s="802" t="s">
        <v>729</v>
      </c>
      <c r="X9" s="803" t="s">
        <v>303</v>
      </c>
      <c r="Y9" s="803" t="s">
        <v>345</v>
      </c>
    </row>
    <row r="10" spans="1:25" s="11" customFormat="1" ht="19.5" customHeight="1" x14ac:dyDescent="0.25">
      <c r="A10" s="30">
        <v>1</v>
      </c>
      <c r="B10" s="30">
        <v>2</v>
      </c>
      <c r="C10" s="30" t="s">
        <v>278</v>
      </c>
      <c r="D10" s="31">
        <v>4</v>
      </c>
      <c r="E10" s="30">
        <v>5</v>
      </c>
      <c r="F10" s="31" t="s">
        <v>351</v>
      </c>
      <c r="G10" s="199">
        <v>7</v>
      </c>
      <c r="H10" s="31" t="s">
        <v>352</v>
      </c>
      <c r="I10" s="30">
        <v>9</v>
      </c>
      <c r="J10" s="31">
        <v>10</v>
      </c>
      <c r="K10" s="31" t="s">
        <v>360</v>
      </c>
      <c r="L10" s="30">
        <v>12</v>
      </c>
      <c r="M10" s="30" t="s">
        <v>171</v>
      </c>
      <c r="N10" s="30">
        <v>14</v>
      </c>
      <c r="O10" s="31">
        <v>15</v>
      </c>
      <c r="P10" s="30" t="s">
        <v>540</v>
      </c>
      <c r="Q10" s="31">
        <v>17</v>
      </c>
      <c r="R10" s="30" t="s">
        <v>539</v>
      </c>
      <c r="S10" s="31">
        <v>19</v>
      </c>
      <c r="T10" s="30">
        <v>20</v>
      </c>
      <c r="U10" s="31" t="s">
        <v>541</v>
      </c>
      <c r="V10" s="30">
        <v>22</v>
      </c>
      <c r="W10" s="31" t="s">
        <v>542</v>
      </c>
      <c r="X10" s="30">
        <v>24</v>
      </c>
      <c r="Y10" s="31">
        <v>25</v>
      </c>
    </row>
    <row r="11" spans="1:25" s="17" customFormat="1" ht="20.100000000000001" customHeight="1" x14ac:dyDescent="0.25">
      <c r="A11" s="21"/>
      <c r="B11" s="60" t="s">
        <v>1029</v>
      </c>
      <c r="C11" s="785">
        <f>SUM(C12,C39,C44)</f>
        <v>11991619</v>
      </c>
      <c r="D11" s="785">
        <f>SUM(D12,D39,D44)</f>
        <v>6315894</v>
      </c>
      <c r="E11" s="785">
        <f>SUM(E12,E39,E44)</f>
        <v>5675725</v>
      </c>
      <c r="F11" s="785">
        <f>SUM(F12,F39,F44)</f>
        <v>12300393</v>
      </c>
      <c r="G11" s="844">
        <f>F11/$F$11*100</f>
        <v>100</v>
      </c>
      <c r="H11" s="845">
        <f t="shared" ref="H11:H39" si="0">F11/C11*100</f>
        <v>102.57491503023903</v>
      </c>
      <c r="I11" s="785">
        <f>SUM(I12,I39,I44)</f>
        <v>6400128</v>
      </c>
      <c r="J11" s="785">
        <f>SUM(J12,J39,J44)</f>
        <v>5900265</v>
      </c>
      <c r="K11" s="785">
        <f>SUM(K12,K39,K44)</f>
        <v>12334250</v>
      </c>
      <c r="L11" s="845">
        <f>K11/$K$11*100</f>
        <v>100</v>
      </c>
      <c r="M11" s="845">
        <f>K11/C11%</f>
        <v>102.85725388706896</v>
      </c>
      <c r="N11" s="785">
        <f>SUM(N12,N39,N44)</f>
        <v>6237674</v>
      </c>
      <c r="O11" s="785">
        <f>SUM(O12,O39,O44)</f>
        <v>6096576</v>
      </c>
      <c r="P11" s="785">
        <f>SUM(P12,P39,P44)</f>
        <v>12143872</v>
      </c>
      <c r="Q11" s="845">
        <f>P11/$P$11*100</f>
        <v>100</v>
      </c>
      <c r="R11" s="845">
        <f>P11/K11%</f>
        <v>98.456509313496966</v>
      </c>
      <c r="S11" s="785">
        <f>SUM(S12,S39,S44)</f>
        <v>6242032</v>
      </c>
      <c r="T11" s="785">
        <f>SUM(T12,T39,T44)</f>
        <v>5901840</v>
      </c>
      <c r="U11" s="785">
        <f>SUM(U12,U39,U44)</f>
        <v>12188650</v>
      </c>
      <c r="V11" s="845">
        <f>U11/$U$11*100</f>
        <v>100</v>
      </c>
      <c r="W11" s="845">
        <f>U11/P11%</f>
        <v>100.36872918291628</v>
      </c>
      <c r="X11" s="785">
        <f>SUM(X12,X39,X44)</f>
        <v>6286810</v>
      </c>
      <c r="Y11" s="785">
        <f>SUM(Y12,Y39,Y44)</f>
        <v>5901840</v>
      </c>
    </row>
    <row r="12" spans="1:25" s="17" customFormat="1" ht="20.100000000000001" customHeight="1" x14ac:dyDescent="0.25">
      <c r="A12" s="24" t="s">
        <v>279</v>
      </c>
      <c r="B12" s="45" t="s">
        <v>383</v>
      </c>
      <c r="C12" s="798">
        <f>SUM(C14,C19,C33:C38)</f>
        <v>10173333</v>
      </c>
      <c r="D12" s="798">
        <f>SUM(D14,D19,D33:D38)</f>
        <v>4497608</v>
      </c>
      <c r="E12" s="798">
        <f>SUM(E14,E19,E33:E38)</f>
        <v>5675725</v>
      </c>
      <c r="F12" s="798">
        <f>SUM(F14,F19,F33:F38)</f>
        <v>10482107</v>
      </c>
      <c r="G12" s="845">
        <f t="shared" ref="G12:G39" si="1">F12/$F$11*100</f>
        <v>85.217659305682346</v>
      </c>
      <c r="H12" s="845">
        <f t="shared" si="0"/>
        <v>103.03513116104624</v>
      </c>
      <c r="I12" s="798">
        <f>SUM(I14,I19,I33:I38)</f>
        <v>4581842</v>
      </c>
      <c r="J12" s="798">
        <f>SUM(J14,J19,J33:J38)</f>
        <v>5900265</v>
      </c>
      <c r="K12" s="798">
        <f>SUM(K14,K19,K33:K38)</f>
        <v>10895260</v>
      </c>
      <c r="L12" s="845">
        <f>K12/$K$11*100</f>
        <v>88.333380627115559</v>
      </c>
      <c r="M12" s="845">
        <f>K12/C12%</f>
        <v>107.09626825348192</v>
      </c>
      <c r="N12" s="798">
        <f>SUM(N14,N19,N33:N38)</f>
        <v>4798684</v>
      </c>
      <c r="O12" s="798">
        <f>SUM(O14,O19,O33:O38)</f>
        <v>6096576</v>
      </c>
      <c r="P12" s="798">
        <f>SUM(P14,P19,P33:P38)</f>
        <v>10719882</v>
      </c>
      <c r="Q12" s="845">
        <f t="shared" ref="Q12:Q35" si="2">P12/$P$11*100</f>
        <v>88.274003546809453</v>
      </c>
      <c r="R12" s="845">
        <f t="shared" ref="R12:R34" si="3">P12/K12%</f>
        <v>98.390327536928893</v>
      </c>
      <c r="S12" s="798">
        <f>SUM(S14,S19,S33:S38)</f>
        <v>4818042</v>
      </c>
      <c r="T12" s="798">
        <f>SUM(T14,T19,T33:T38)</f>
        <v>5901840</v>
      </c>
      <c r="U12" s="798">
        <f>SUM(U14,U19,U33:U38)</f>
        <v>10764660</v>
      </c>
      <c r="V12" s="845">
        <f t="shared" ref="V12:V39" si="4">U12/$U$11*100</f>
        <v>88.317081875351249</v>
      </c>
      <c r="W12" s="845">
        <f t="shared" ref="W12:W34" si="5">U12/P12%</f>
        <v>100.41770982180587</v>
      </c>
      <c r="X12" s="798">
        <f>SUM(X14,X19,X33:X38)</f>
        <v>4862820</v>
      </c>
      <c r="Y12" s="798">
        <f>SUM(Y14,Y19,Y33:Y38)</f>
        <v>5901840</v>
      </c>
    </row>
    <row r="13" spans="1:25" s="17" customFormat="1" ht="20.100000000000001" customHeight="1" x14ac:dyDescent="0.25">
      <c r="A13" s="24"/>
      <c r="B13" s="45" t="s">
        <v>550</v>
      </c>
      <c r="C13" s="798">
        <f>C12-C16-C17</f>
        <v>8453333</v>
      </c>
      <c r="D13" s="798">
        <f>D12-D16-D17-D18</f>
        <v>3177608</v>
      </c>
      <c r="E13" s="798">
        <f>E12-E16-E17-E18</f>
        <v>5275725</v>
      </c>
      <c r="F13" s="798">
        <f>F12-F16-F17-F18</f>
        <v>8542107</v>
      </c>
      <c r="G13" s="845">
        <f>F13/$F$11*100</f>
        <v>69.445805512067778</v>
      </c>
      <c r="H13" s="845">
        <f>F13/C13*100</f>
        <v>101.05016565655227</v>
      </c>
      <c r="I13" s="798">
        <f>I12-I16-I17-I18</f>
        <v>3141842</v>
      </c>
      <c r="J13" s="798">
        <f>J12-J16-J17-J18</f>
        <v>5400265</v>
      </c>
      <c r="K13" s="798">
        <f>K12-K16-K17-K18</f>
        <v>9065260</v>
      </c>
      <c r="L13" s="845">
        <f>K13/$K$11*100</f>
        <v>73.496645519589762</v>
      </c>
      <c r="M13" s="845">
        <f>K13/C13%</f>
        <v>107.2388843548456</v>
      </c>
      <c r="N13" s="798">
        <f>N12-N16-N17-N18</f>
        <v>3348684</v>
      </c>
      <c r="O13" s="798">
        <f>O12-O16-O17-O18</f>
        <v>5716576</v>
      </c>
      <c r="P13" s="798">
        <f>P12-P16-P17-P18</f>
        <v>8869882</v>
      </c>
      <c r="Q13" s="845">
        <f>P13/$P$11*100</f>
        <v>73.03998263486308</v>
      </c>
      <c r="R13" s="845">
        <f>P13/K13%</f>
        <v>97.844761209275845</v>
      </c>
      <c r="S13" s="798">
        <f>S12-S16-S17-S18</f>
        <v>3348042</v>
      </c>
      <c r="T13" s="798">
        <f>T12-T16-T17-T18</f>
        <v>5521840</v>
      </c>
      <c r="U13" s="798">
        <f>U12-U16-U17-U18</f>
        <v>8914660</v>
      </c>
      <c r="V13" s="845">
        <f>U13/$U$11*100</f>
        <v>73.139026881566053</v>
      </c>
      <c r="W13" s="845">
        <f>U13/P13%</f>
        <v>100.50483196957974</v>
      </c>
      <c r="X13" s="798">
        <f>X12-X16-X17-X18</f>
        <v>3392820</v>
      </c>
      <c r="Y13" s="798">
        <f>Y12-Y16-Y17-Y18</f>
        <v>5521840</v>
      </c>
    </row>
    <row r="14" spans="1:25" s="11" customFormat="1" ht="20.100000000000001" customHeight="1" x14ac:dyDescent="0.25">
      <c r="A14" s="22" t="s">
        <v>281</v>
      </c>
      <c r="B14" s="27" t="s">
        <v>508</v>
      </c>
      <c r="C14" s="797">
        <f>SUM(C15:C18)</f>
        <v>2756350</v>
      </c>
      <c r="D14" s="797">
        <f>SUM(D15:D18)</f>
        <v>1879653</v>
      </c>
      <c r="E14" s="797">
        <f>SUM(E15:E18)</f>
        <v>876697</v>
      </c>
      <c r="F14" s="797">
        <f>SUM(F15:F18)</f>
        <v>2976350</v>
      </c>
      <c r="G14" s="846">
        <f t="shared" si="1"/>
        <v>24.197194349806548</v>
      </c>
      <c r="H14" s="846">
        <f t="shared" si="0"/>
        <v>107.98156982966604</v>
      </c>
      <c r="I14" s="797">
        <f>SUM(I15:I18)</f>
        <v>1999653</v>
      </c>
      <c r="J14" s="797">
        <f>SUM(J15:J18)</f>
        <v>976697</v>
      </c>
      <c r="K14" s="797">
        <f>SUM(K15:K18)</f>
        <v>2866350</v>
      </c>
      <c r="L14" s="846">
        <f t="shared" ref="L14:L34" si="6">K14/$K$11*100</f>
        <v>23.238948456533638</v>
      </c>
      <c r="M14" s="846">
        <f>K14/C14%</f>
        <v>103.99078491483303</v>
      </c>
      <c r="N14" s="797">
        <f>SUM(N15:N18)</f>
        <v>2009653</v>
      </c>
      <c r="O14" s="797">
        <f>SUM(O15:O18)</f>
        <v>856697</v>
      </c>
      <c r="P14" s="797">
        <f>SUM(P15:P18)</f>
        <v>2886350</v>
      </c>
      <c r="Q14" s="846">
        <f t="shared" si="2"/>
        <v>23.767954734700762</v>
      </c>
      <c r="R14" s="846">
        <f t="shared" si="3"/>
        <v>100.69775149580477</v>
      </c>
      <c r="S14" s="797">
        <f>SUM(S15:S18)</f>
        <v>2029653</v>
      </c>
      <c r="T14" s="797">
        <f>SUM(T15:T18)</f>
        <v>856697</v>
      </c>
      <c r="U14" s="797">
        <f>SUM(U15:U18)</f>
        <v>2886350</v>
      </c>
      <c r="V14" s="846">
        <f t="shared" si="4"/>
        <v>23.680637314222658</v>
      </c>
      <c r="W14" s="846">
        <f t="shared" si="5"/>
        <v>100</v>
      </c>
      <c r="X14" s="797">
        <f>SUM(X15:X18)</f>
        <v>2029653</v>
      </c>
      <c r="Y14" s="797">
        <f>SUM(Y15:Y18)</f>
        <v>856697</v>
      </c>
    </row>
    <row r="15" spans="1:25" ht="20.100000000000001" customHeight="1" x14ac:dyDescent="0.25">
      <c r="A15" s="301">
        <v>1</v>
      </c>
      <c r="B15" s="247" t="s">
        <v>505</v>
      </c>
      <c r="C15" s="788">
        <f>D15+E15</f>
        <v>1036350</v>
      </c>
      <c r="D15" s="788">
        <v>559653</v>
      </c>
      <c r="E15" s="788">
        <v>476697</v>
      </c>
      <c r="F15" s="788">
        <f>SUM(I15,J15)</f>
        <v>1036350</v>
      </c>
      <c r="G15" s="847">
        <f>F15/$F$11*100</f>
        <v>8.4253405561919852</v>
      </c>
      <c r="H15" s="847">
        <f t="shared" si="0"/>
        <v>100</v>
      </c>
      <c r="I15" s="788">
        <f>D15</f>
        <v>559653</v>
      </c>
      <c r="J15" s="788">
        <f>E15</f>
        <v>476697</v>
      </c>
      <c r="K15" s="788">
        <f>SUM(N15,O15)</f>
        <v>1036350</v>
      </c>
      <c r="L15" s="847">
        <f t="shared" si="6"/>
        <v>8.4022133490078428</v>
      </c>
      <c r="M15" s="847">
        <f t="shared" ref="M15:M34" si="7">K15/C15%</f>
        <v>100</v>
      </c>
      <c r="N15" s="788">
        <f>INT(D15)</f>
        <v>559653</v>
      </c>
      <c r="O15" s="788">
        <f>'Phụ lục số 6'!C7</f>
        <v>476697</v>
      </c>
      <c r="P15" s="788">
        <f>S15+T15</f>
        <v>1036350</v>
      </c>
      <c r="Q15" s="847">
        <f t="shared" si="2"/>
        <v>8.5339338227543902</v>
      </c>
      <c r="R15" s="847">
        <f t="shared" si="3"/>
        <v>100</v>
      </c>
      <c r="S15" s="788">
        <f>N15*1</f>
        <v>559653</v>
      </c>
      <c r="T15" s="788">
        <f>INT(O15*1)</f>
        <v>476697</v>
      </c>
      <c r="U15" s="788">
        <f>X15+Y15</f>
        <v>1036350</v>
      </c>
      <c r="V15" s="847">
        <f t="shared" si="4"/>
        <v>8.5025823204374564</v>
      </c>
      <c r="W15" s="847">
        <f t="shared" si="5"/>
        <v>100</v>
      </c>
      <c r="X15" s="788">
        <f>INT(S15*1)</f>
        <v>559653</v>
      </c>
      <c r="Y15" s="788">
        <f>INT(T15*1)</f>
        <v>476697</v>
      </c>
    </row>
    <row r="16" spans="1:25" ht="20.100000000000001" customHeight="1" x14ac:dyDescent="0.25">
      <c r="A16" s="301">
        <v>2</v>
      </c>
      <c r="B16" s="247" t="s">
        <v>353</v>
      </c>
      <c r="C16" s="788">
        <f>D16+E16</f>
        <v>450000</v>
      </c>
      <c r="D16" s="788">
        <v>50000</v>
      </c>
      <c r="E16" s="788">
        <v>400000</v>
      </c>
      <c r="F16" s="788">
        <f>SUM(I16,J16)</f>
        <v>600000</v>
      </c>
      <c r="G16" s="847">
        <f t="shared" si="1"/>
        <v>4.8778929258601735</v>
      </c>
      <c r="H16" s="847">
        <f t="shared" si="0"/>
        <v>133.33333333333331</v>
      </c>
      <c r="I16" s="788">
        <f>'Phụ lục số 1'!L48</f>
        <v>100000</v>
      </c>
      <c r="J16" s="788">
        <f>'Phụ lục số 1'!M48</f>
        <v>500000</v>
      </c>
      <c r="K16" s="788">
        <f>'Phụ lục số 1'!N48</f>
        <v>450000</v>
      </c>
      <c r="L16" s="847">
        <f t="shared" si="6"/>
        <v>3.648377485457162</v>
      </c>
      <c r="M16" s="847">
        <f t="shared" si="7"/>
        <v>100</v>
      </c>
      <c r="N16" s="788">
        <f>K16-O16</f>
        <v>70000</v>
      </c>
      <c r="O16" s="788">
        <f>'Phụ lục số 6'!C8</f>
        <v>380000</v>
      </c>
      <c r="P16" s="788">
        <f>SUM(S16,T16)</f>
        <v>450000</v>
      </c>
      <c r="Q16" s="847">
        <f t="shared" si="2"/>
        <v>3.7055726542572254</v>
      </c>
      <c r="R16" s="847">
        <f t="shared" si="3"/>
        <v>100</v>
      </c>
      <c r="S16" s="788">
        <f>'Phụ lục số 1'!X48</f>
        <v>70000</v>
      </c>
      <c r="T16" s="788">
        <f>'Phụ lục số 1'!Y48</f>
        <v>380000</v>
      </c>
      <c r="U16" s="788">
        <f>SUM(X16,Y16)</f>
        <v>450000</v>
      </c>
      <c r="V16" s="847">
        <f t="shared" si="4"/>
        <v>3.6919593228126164</v>
      </c>
      <c r="W16" s="847">
        <f t="shared" si="5"/>
        <v>100</v>
      </c>
      <c r="X16" s="788">
        <f>'Phụ lục số 1'!AD48</f>
        <v>70000</v>
      </c>
      <c r="Y16" s="788">
        <f>'Phụ lục số 1'!AE48</f>
        <v>380000</v>
      </c>
    </row>
    <row r="17" spans="1:25" ht="20.100000000000001" customHeight="1" x14ac:dyDescent="0.25">
      <c r="A17" s="301">
        <v>3</v>
      </c>
      <c r="B17" s="247" t="s">
        <v>32</v>
      </c>
      <c r="C17" s="788">
        <f>D17+E17</f>
        <v>1270000</v>
      </c>
      <c r="D17" s="788">
        <v>1270000</v>
      </c>
      <c r="E17" s="788">
        <v>0</v>
      </c>
      <c r="F17" s="788">
        <f>SUM(I17,J17)</f>
        <v>1340000</v>
      </c>
      <c r="G17" s="847">
        <f t="shared" si="1"/>
        <v>10.893960867754387</v>
      </c>
      <c r="H17" s="847">
        <f t="shared" si="0"/>
        <v>105.51181102362204</v>
      </c>
      <c r="I17" s="788">
        <f>'Phụ lục số 1'!L55</f>
        <v>1340000</v>
      </c>
      <c r="J17" s="788">
        <f>'Phụ lục số 1'!M55</f>
        <v>0</v>
      </c>
      <c r="K17" s="788">
        <f>SUM(N17,O17)</f>
        <v>1380000</v>
      </c>
      <c r="L17" s="847">
        <f t="shared" si="6"/>
        <v>11.188357622068629</v>
      </c>
      <c r="M17" s="847">
        <f t="shared" si="7"/>
        <v>108.66141732283465</v>
      </c>
      <c r="N17" s="788">
        <f>'Phụ lục số 1'!R55</f>
        <v>1380000</v>
      </c>
      <c r="O17" s="788">
        <f>'Phụ lục số 1'!S55</f>
        <v>0</v>
      </c>
      <c r="P17" s="788">
        <f>SUM(S17,T17)</f>
        <v>1400000</v>
      </c>
      <c r="Q17" s="847">
        <f t="shared" si="2"/>
        <v>11.528448257689146</v>
      </c>
      <c r="R17" s="847">
        <f t="shared" si="3"/>
        <v>101.44927536231884</v>
      </c>
      <c r="S17" s="788">
        <f>'Phụ lục số 1'!X55</f>
        <v>1400000</v>
      </c>
      <c r="T17" s="788">
        <f>'Phụ lục số 1'!Y55</f>
        <v>0</v>
      </c>
      <c r="U17" s="788">
        <f>SUM(X17,Y17)</f>
        <v>1400000</v>
      </c>
      <c r="V17" s="847">
        <f t="shared" si="4"/>
        <v>11.486095670972585</v>
      </c>
      <c r="W17" s="847">
        <f t="shared" si="5"/>
        <v>100</v>
      </c>
      <c r="X17" s="788">
        <f>'Phụ lục số 1'!AD55</f>
        <v>1400000</v>
      </c>
      <c r="Y17" s="788">
        <f>'Phụ lục số 1'!AE55</f>
        <v>0</v>
      </c>
    </row>
    <row r="18" spans="1:25" hidden="1" x14ac:dyDescent="0.25">
      <c r="A18" s="301">
        <v>4</v>
      </c>
      <c r="B18" s="321" t="s">
        <v>467</v>
      </c>
      <c r="C18" s="788">
        <f>D18+E18</f>
        <v>0</v>
      </c>
      <c r="D18" s="788">
        <v>0</v>
      </c>
      <c r="E18" s="788">
        <v>0</v>
      </c>
      <c r="F18" s="788">
        <f>SUM(I18,J18)</f>
        <v>0</v>
      </c>
      <c r="G18" s="847"/>
      <c r="H18" s="847"/>
      <c r="I18" s="788"/>
      <c r="J18" s="788"/>
      <c r="K18" s="788">
        <f>SUM(N18,O18)</f>
        <v>0</v>
      </c>
      <c r="L18" s="847"/>
      <c r="M18" s="847"/>
      <c r="N18" s="788"/>
      <c r="O18" s="788"/>
      <c r="P18" s="788">
        <f>SUM(S18,T18)</f>
        <v>0</v>
      </c>
      <c r="Q18" s="847">
        <f t="shared" si="2"/>
        <v>0</v>
      </c>
      <c r="R18" s="847"/>
      <c r="S18" s="788"/>
      <c r="T18" s="788"/>
      <c r="U18" s="788">
        <f>SUM(X18,Y18)</f>
        <v>0</v>
      </c>
      <c r="V18" s="847">
        <f t="shared" si="4"/>
        <v>0</v>
      </c>
      <c r="W18" s="847"/>
      <c r="X18" s="788"/>
      <c r="Y18" s="788"/>
    </row>
    <row r="19" spans="1:25" x14ac:dyDescent="0.25">
      <c r="A19" s="65" t="s">
        <v>294</v>
      </c>
      <c r="B19" s="66" t="s">
        <v>306</v>
      </c>
      <c r="C19" s="848">
        <f>SUM(C20,C21,C22,C30,C31,C32)</f>
        <v>7131263</v>
      </c>
      <c r="D19" s="848">
        <f>SUM(D20,D21,D22,D30,D31,D32)</f>
        <v>2511280</v>
      </c>
      <c r="E19" s="848">
        <f>SUM(E20,E21,E22,E30,E31,E32)</f>
        <v>4619983</v>
      </c>
      <c r="F19" s="848">
        <f>SUM(F20,F21,F22,F30,F31,F32)</f>
        <v>7203490</v>
      </c>
      <c r="G19" s="846">
        <f t="shared" si="1"/>
        <v>58.563088187507503</v>
      </c>
      <c r="H19" s="846">
        <f t="shared" si="0"/>
        <v>101.01282199240163</v>
      </c>
      <c r="I19" s="797">
        <f>SUM(I20,I21,I22,I30,I31,I32)</f>
        <v>2543280</v>
      </c>
      <c r="J19" s="797">
        <f>SUM(J20,J21,J22,J30,J31,J32)</f>
        <v>4660210</v>
      </c>
      <c r="K19" s="797">
        <f>SUM(K20,K21,K22,K30,K31,K32)</f>
        <v>7613338</v>
      </c>
      <c r="L19" s="846">
        <f t="shared" si="6"/>
        <v>61.725179885278791</v>
      </c>
      <c r="M19" s="846">
        <f>K19/C19%</f>
        <v>106.76002273370088</v>
      </c>
      <c r="N19" s="797">
        <f>SUM(N20,N21,N22,N30,N31,N32)</f>
        <v>2676305</v>
      </c>
      <c r="O19" s="797">
        <f>SUM(O20,O21,O22,O30,O31,O32)</f>
        <v>4937033</v>
      </c>
      <c r="P19" s="797">
        <f>SUM(P20,P21,P22,P30,P31,P32)</f>
        <v>7622455</v>
      </c>
      <c r="Q19" s="846">
        <f t="shared" si="2"/>
        <v>62.7679129029028</v>
      </c>
      <c r="R19" s="846"/>
      <c r="S19" s="797">
        <f>SUM(S20,S21,S22,S30,S31,S32)</f>
        <v>2675963</v>
      </c>
      <c r="T19" s="797">
        <f>SUM(T20,T21,T22,T30,T31,T32)</f>
        <v>4946492</v>
      </c>
      <c r="U19" s="797">
        <f>SUM(U20,U21,U22,U30,U31,U32)</f>
        <v>7667233</v>
      </c>
      <c r="V19" s="846">
        <f t="shared" si="4"/>
        <v>62.904694121170103</v>
      </c>
      <c r="W19" s="846">
        <f t="shared" si="5"/>
        <v>100.58744853200183</v>
      </c>
      <c r="X19" s="797">
        <f>SUM(X20,X21,X22,X30,X31,X32)</f>
        <v>2720741</v>
      </c>
      <c r="Y19" s="797">
        <f>SUM(Y20,Y21,Y22,Y30,Y31,Y32)</f>
        <v>4946492</v>
      </c>
    </row>
    <row r="20" spans="1:25" s="11" customFormat="1" ht="20.100000000000001" customHeight="1" x14ac:dyDescent="0.25">
      <c r="A20" s="22">
        <v>1</v>
      </c>
      <c r="B20" s="27" t="s">
        <v>136</v>
      </c>
      <c r="C20" s="797">
        <f>D20+E20</f>
        <v>1275496</v>
      </c>
      <c r="D20" s="849">
        <v>404513</v>
      </c>
      <c r="E20" s="849">
        <v>870983</v>
      </c>
      <c r="F20" s="797">
        <f>I20+J20</f>
        <v>1342723</v>
      </c>
      <c r="G20" s="846">
        <f>F20/$F$11*100</f>
        <v>10.916098371816251</v>
      </c>
      <c r="H20" s="846">
        <f t="shared" si="0"/>
        <v>105.27065549401956</v>
      </c>
      <c r="I20" s="797">
        <f>D20+27000</f>
        <v>431513</v>
      </c>
      <c r="J20" s="797">
        <f>INT(E20*1)+40227</f>
        <v>911210</v>
      </c>
      <c r="K20" s="797">
        <f>N20+O20</f>
        <v>1407216</v>
      </c>
      <c r="L20" s="846">
        <f t="shared" si="6"/>
        <v>11.409011492389078</v>
      </c>
      <c r="M20" s="846">
        <f t="shared" si="7"/>
        <v>110.32696300105999</v>
      </c>
      <c r="N20" s="797">
        <f>INT('Phụ lục số 4'!E9)</f>
        <v>441409</v>
      </c>
      <c r="O20" s="797">
        <f>INT(E20*1.03)+68695</f>
        <v>965807</v>
      </c>
      <c r="P20" s="797">
        <f>S20+T20</f>
        <v>1407216</v>
      </c>
      <c r="Q20" s="846">
        <f t="shared" si="2"/>
        <v>11.587869173851635</v>
      </c>
      <c r="R20" s="846"/>
      <c r="S20" s="797">
        <f>N20*1</f>
        <v>441409</v>
      </c>
      <c r="T20" s="797">
        <f>O20*1</f>
        <v>965807</v>
      </c>
      <c r="U20" s="797">
        <f t="shared" ref="U20:U21" si="8">SUM(X20,Y20)</f>
        <v>1451994</v>
      </c>
      <c r="V20" s="846"/>
      <c r="W20" s="846"/>
      <c r="X20" s="797">
        <f>INT(S20*1)+44778</f>
        <v>486187</v>
      </c>
      <c r="Y20" s="797">
        <f>INT(T20*1)</f>
        <v>965807</v>
      </c>
    </row>
    <row r="21" spans="1:25" s="11" customFormat="1" ht="20.100000000000001" customHeight="1" x14ac:dyDescent="0.25">
      <c r="A21" s="22">
        <v>2</v>
      </c>
      <c r="B21" s="27" t="s">
        <v>379</v>
      </c>
      <c r="C21" s="797">
        <f>D21+E21</f>
        <v>129921</v>
      </c>
      <c r="D21" s="849">
        <v>80000</v>
      </c>
      <c r="E21" s="849">
        <v>49921</v>
      </c>
      <c r="F21" s="797">
        <f>I21+J21</f>
        <v>129921</v>
      </c>
      <c r="G21" s="846">
        <f t="shared" si="1"/>
        <v>1.0562345447011328</v>
      </c>
      <c r="H21" s="846">
        <f t="shared" si="0"/>
        <v>100</v>
      </c>
      <c r="I21" s="797">
        <f>D21</f>
        <v>80000</v>
      </c>
      <c r="J21" s="797">
        <f>E21</f>
        <v>49921</v>
      </c>
      <c r="K21" s="797">
        <f>N21+O21</f>
        <v>129921</v>
      </c>
      <c r="L21" s="846">
        <f>K21/$K$11*100</f>
        <v>1.0533352250846222</v>
      </c>
      <c r="M21" s="846">
        <f>K21/C21%</f>
        <v>100</v>
      </c>
      <c r="N21" s="797">
        <f>INT('Phụ lục số 4'!F9)</f>
        <v>80000</v>
      </c>
      <c r="O21" s="797">
        <f>'Phụ lục số 6'!C12</f>
        <v>49921</v>
      </c>
      <c r="P21" s="797">
        <f>S21+T21</f>
        <v>129921</v>
      </c>
      <c r="Q21" s="846">
        <f t="shared" si="2"/>
        <v>1.069848232919451</v>
      </c>
      <c r="R21" s="846"/>
      <c r="S21" s="797">
        <f>N21*1</f>
        <v>80000</v>
      </c>
      <c r="T21" s="797">
        <f>O21*1</f>
        <v>49921</v>
      </c>
      <c r="U21" s="797">
        <f t="shared" si="8"/>
        <v>129921</v>
      </c>
      <c r="V21" s="846"/>
      <c r="W21" s="846"/>
      <c r="X21" s="797">
        <f>INT(S21*1)</f>
        <v>80000</v>
      </c>
      <c r="Y21" s="797">
        <f>INT(T21*1)</f>
        <v>49921</v>
      </c>
    </row>
    <row r="22" spans="1:25" ht="20.100000000000001" customHeight="1" x14ac:dyDescent="0.25">
      <c r="A22" s="22">
        <v>3</v>
      </c>
      <c r="B22" s="27" t="s">
        <v>311</v>
      </c>
      <c r="C22" s="797">
        <f>SUM(C23:C29)</f>
        <v>4326012</v>
      </c>
      <c r="D22" s="797">
        <f>SUM(D23:D29)</f>
        <v>1506767</v>
      </c>
      <c r="E22" s="797">
        <f>SUM(E23:E29)</f>
        <v>2819245</v>
      </c>
      <c r="F22" s="797">
        <f>SUM(F23:F29)</f>
        <v>4326012</v>
      </c>
      <c r="G22" s="846">
        <f t="shared" si="1"/>
        <v>35.169705553310372</v>
      </c>
      <c r="H22" s="846">
        <f t="shared" si="0"/>
        <v>100</v>
      </c>
      <c r="I22" s="797">
        <f>SUM(I23:I29)</f>
        <v>1506767</v>
      </c>
      <c r="J22" s="797">
        <f>SUM(J23:J29)</f>
        <v>2819245</v>
      </c>
      <c r="K22" s="797">
        <f>SUM(K23:K29)</f>
        <v>4611237</v>
      </c>
      <c r="L22" s="846">
        <f t="shared" si="6"/>
        <v>37.385629446460058</v>
      </c>
      <c r="M22" s="846">
        <f t="shared" si="7"/>
        <v>106.59325494242734</v>
      </c>
      <c r="N22" s="797">
        <f>SUM(N23:N29)</f>
        <v>1609156</v>
      </c>
      <c r="O22" s="797">
        <f>SUM(O23:O29)</f>
        <v>3002081</v>
      </c>
      <c r="P22" s="797">
        <f>SUM(P23:P29)</f>
        <v>4620696</v>
      </c>
      <c r="Q22" s="846">
        <f t="shared" si="2"/>
        <v>38.049610536079435</v>
      </c>
      <c r="R22" s="846"/>
      <c r="S22" s="797">
        <f t="shared" ref="S22:T22" si="9">SUM(S23:S29)</f>
        <v>1609156</v>
      </c>
      <c r="T22" s="797">
        <f t="shared" si="9"/>
        <v>3011540</v>
      </c>
      <c r="U22" s="797">
        <f>SUM(U23:U29)</f>
        <v>4620696</v>
      </c>
      <c r="V22" s="846"/>
      <c r="W22" s="846"/>
      <c r="X22" s="797">
        <f t="shared" ref="X22:Y22" si="10">SUM(X23:X29)</f>
        <v>1609156</v>
      </c>
      <c r="Y22" s="797">
        <f t="shared" si="10"/>
        <v>3011540</v>
      </c>
    </row>
    <row r="23" spans="1:25" ht="20.100000000000001" customHeight="1" x14ac:dyDescent="0.25">
      <c r="A23" s="301" t="s">
        <v>307</v>
      </c>
      <c r="B23" s="247" t="s">
        <v>406</v>
      </c>
      <c r="C23" s="788">
        <f t="shared" ref="C23:C31" si="11">D23+E23</f>
        <v>28000</v>
      </c>
      <c r="D23" s="791">
        <v>28000</v>
      </c>
      <c r="E23" s="791">
        <v>0</v>
      </c>
      <c r="F23" s="788">
        <f>SUM(I23,J23)</f>
        <v>28000</v>
      </c>
      <c r="G23" s="847">
        <f t="shared" si="1"/>
        <v>0.22763500320680813</v>
      </c>
      <c r="H23" s="847">
        <f t="shared" si="0"/>
        <v>100</v>
      </c>
      <c r="I23" s="788">
        <f t="shared" ref="I23:J28" si="12">D23</f>
        <v>28000</v>
      </c>
      <c r="J23" s="788">
        <f t="shared" si="12"/>
        <v>0</v>
      </c>
      <c r="K23" s="788">
        <f>N23+O23</f>
        <v>28000</v>
      </c>
      <c r="L23" s="847">
        <f t="shared" si="6"/>
        <v>0.22701015465066784</v>
      </c>
      <c r="M23" s="847">
        <f>K23/C23%</f>
        <v>100</v>
      </c>
      <c r="N23" s="788">
        <f>INT('Phụ lục số 4'!G9)</f>
        <v>28000</v>
      </c>
      <c r="O23" s="788">
        <f>E23</f>
        <v>0</v>
      </c>
      <c r="P23" s="788">
        <f>S23+T23</f>
        <v>28000</v>
      </c>
      <c r="Q23" s="847">
        <f t="shared" si="2"/>
        <v>0.23056896515378289</v>
      </c>
      <c r="R23" s="847">
        <f t="shared" si="3"/>
        <v>100</v>
      </c>
      <c r="S23" s="788">
        <f>N23*1</f>
        <v>28000</v>
      </c>
      <c r="T23" s="788">
        <f>O23</f>
        <v>0</v>
      </c>
      <c r="U23" s="788">
        <f>X23+Y23</f>
        <v>28000</v>
      </c>
      <c r="V23" s="847">
        <f t="shared" si="4"/>
        <v>0.22972191341945172</v>
      </c>
      <c r="W23" s="847">
        <f t="shared" si="5"/>
        <v>100</v>
      </c>
      <c r="X23" s="788">
        <f>INT(S23*1)</f>
        <v>28000</v>
      </c>
      <c r="Y23" s="788">
        <f>T23</f>
        <v>0</v>
      </c>
    </row>
    <row r="24" spans="1:25" ht="20.100000000000001" customHeight="1" x14ac:dyDescent="0.25">
      <c r="A24" s="301" t="s">
        <v>308</v>
      </c>
      <c r="B24" s="247" t="s">
        <v>372</v>
      </c>
      <c r="C24" s="788">
        <f t="shared" si="11"/>
        <v>3098986</v>
      </c>
      <c r="D24" s="791">
        <v>640267</v>
      </c>
      <c r="E24" s="791">
        <v>2458719</v>
      </c>
      <c r="F24" s="788">
        <f>SUM(I24,J24)</f>
        <v>3098986</v>
      </c>
      <c r="G24" s="847">
        <f t="shared" si="1"/>
        <v>25.194203144566195</v>
      </c>
      <c r="H24" s="847">
        <f t="shared" si="0"/>
        <v>100</v>
      </c>
      <c r="I24" s="788">
        <f t="shared" si="12"/>
        <v>640267</v>
      </c>
      <c r="J24" s="788">
        <f t="shared" si="12"/>
        <v>2458719</v>
      </c>
      <c r="K24" s="788">
        <f>3322431</f>
        <v>3322431</v>
      </c>
      <c r="L24" s="847">
        <f>K24/$K$11*100</f>
        <v>26.936627683077607</v>
      </c>
      <c r="M24" s="847">
        <f t="shared" si="7"/>
        <v>107.21026167914279</v>
      </c>
      <c r="N24" s="788">
        <f>K24-O24</f>
        <v>691691</v>
      </c>
      <c r="O24" s="788">
        <f>'Phụ lục số 6'!C11</f>
        <v>2630740</v>
      </c>
      <c r="P24" s="788">
        <f>S24+T24</f>
        <v>3331783</v>
      </c>
      <c r="Q24" s="847">
        <f t="shared" si="2"/>
        <v>27.435919943820224</v>
      </c>
      <c r="R24" s="847">
        <f t="shared" si="3"/>
        <v>100.28148063872509</v>
      </c>
      <c r="S24" s="788">
        <f>N24*1</f>
        <v>691691</v>
      </c>
      <c r="T24" s="788">
        <f>O24*1+9352</f>
        <v>2640092</v>
      </c>
      <c r="U24" s="788">
        <f>X24+Y24</f>
        <v>3331783</v>
      </c>
      <c r="V24" s="847">
        <f t="shared" si="4"/>
        <v>27.335127352085753</v>
      </c>
      <c r="W24" s="847">
        <f t="shared" si="5"/>
        <v>100</v>
      </c>
      <c r="X24" s="788">
        <f>INT(S24*1)</f>
        <v>691691</v>
      </c>
      <c r="Y24" s="788">
        <f>INT(T24*1)</f>
        <v>2640092</v>
      </c>
    </row>
    <row r="25" spans="1:25" ht="20.100000000000001" customHeight="1" x14ac:dyDescent="0.25">
      <c r="A25" s="301" t="s">
        <v>309</v>
      </c>
      <c r="B25" s="247" t="s">
        <v>312</v>
      </c>
      <c r="C25" s="788">
        <f t="shared" si="11"/>
        <v>715000</v>
      </c>
      <c r="D25" s="791">
        <v>715000</v>
      </c>
      <c r="E25" s="791">
        <v>0</v>
      </c>
      <c r="F25" s="788">
        <f>SUM(I25,J25)</f>
        <v>715000</v>
      </c>
      <c r="G25" s="847">
        <f t="shared" si="1"/>
        <v>5.8128224033167069</v>
      </c>
      <c r="H25" s="847">
        <f t="shared" si="0"/>
        <v>100</v>
      </c>
      <c r="I25" s="788">
        <f t="shared" si="12"/>
        <v>715000</v>
      </c>
      <c r="J25" s="788">
        <f t="shared" si="12"/>
        <v>0</v>
      </c>
      <c r="K25" s="788">
        <f>N25+O25</f>
        <v>755689</v>
      </c>
      <c r="L25" s="847">
        <f t="shared" si="6"/>
        <v>6.1267527413503053</v>
      </c>
      <c r="M25" s="847">
        <f t="shared" si="7"/>
        <v>105.69076923076923</v>
      </c>
      <c r="N25" s="788">
        <f>INT('Phụ lục số 4'!I9)</f>
        <v>755689</v>
      </c>
      <c r="O25" s="788">
        <f>E25</f>
        <v>0</v>
      </c>
      <c r="P25" s="788">
        <f>S25+T25</f>
        <v>755689</v>
      </c>
      <c r="Q25" s="847">
        <f t="shared" si="2"/>
        <v>6.2228010967177516</v>
      </c>
      <c r="R25" s="847">
        <f>P25/K25%</f>
        <v>100</v>
      </c>
      <c r="S25" s="788">
        <f>N25</f>
        <v>755689</v>
      </c>
      <c r="T25" s="788">
        <f>O25</f>
        <v>0</v>
      </c>
      <c r="U25" s="788">
        <f>X25+Y25</f>
        <v>755689</v>
      </c>
      <c r="V25" s="847">
        <f t="shared" si="4"/>
        <v>6.1999401082154302</v>
      </c>
      <c r="W25" s="847">
        <f t="shared" si="5"/>
        <v>100</v>
      </c>
      <c r="X25" s="788">
        <f>S25*1</f>
        <v>755689</v>
      </c>
      <c r="Y25" s="788">
        <f>T25</f>
        <v>0</v>
      </c>
    </row>
    <row r="26" spans="1:25" s="11" customFormat="1" ht="20.100000000000001" customHeight="1" x14ac:dyDescent="0.25">
      <c r="A26" s="301" t="s">
        <v>310</v>
      </c>
      <c r="B26" s="247" t="s">
        <v>314</v>
      </c>
      <c r="C26" s="788">
        <f t="shared" si="11"/>
        <v>66139</v>
      </c>
      <c r="D26" s="791">
        <v>35000</v>
      </c>
      <c r="E26" s="791">
        <v>31139</v>
      </c>
      <c r="F26" s="788">
        <f>SUM(I26,J26)</f>
        <v>66139</v>
      </c>
      <c r="G26" s="847">
        <f t="shared" si="1"/>
        <v>0.53769826703911006</v>
      </c>
      <c r="H26" s="847">
        <f t="shared" si="0"/>
        <v>100</v>
      </c>
      <c r="I26" s="788">
        <f t="shared" si="12"/>
        <v>35000</v>
      </c>
      <c r="J26" s="788">
        <f t="shared" si="12"/>
        <v>31139</v>
      </c>
      <c r="K26" s="791">
        <f t="shared" ref="K26:K33" si="13">N26+O26</f>
        <v>69066</v>
      </c>
      <c r="L26" s="847">
        <f t="shared" si="6"/>
        <v>0.55995297646796516</v>
      </c>
      <c r="M26" s="847">
        <f t="shared" si="7"/>
        <v>104.42552805455178</v>
      </c>
      <c r="N26" s="788">
        <f>INT('Phụ lục số 4'!J9)</f>
        <v>36993</v>
      </c>
      <c r="O26" s="788">
        <f t="shared" ref="O26:O32" si="14">INT(E26*1.03)</f>
        <v>32073</v>
      </c>
      <c r="P26" s="791">
        <f t="shared" ref="P26:P34" si="15">S26+T26</f>
        <v>69066</v>
      </c>
      <c r="Q26" s="847">
        <f t="shared" si="2"/>
        <v>0.56873129097539887</v>
      </c>
      <c r="R26" s="847">
        <f t="shared" si="3"/>
        <v>100</v>
      </c>
      <c r="S26" s="788">
        <f>N26*1</f>
        <v>36993</v>
      </c>
      <c r="T26" s="788">
        <f>O26*1</f>
        <v>32073</v>
      </c>
      <c r="U26" s="791">
        <f t="shared" ref="U26:U34" si="16">X26+Y26</f>
        <v>69066</v>
      </c>
      <c r="V26" s="847">
        <f t="shared" si="4"/>
        <v>0.56664191686528043</v>
      </c>
      <c r="W26" s="847">
        <f t="shared" si="5"/>
        <v>100</v>
      </c>
      <c r="X26" s="788">
        <f>INT(S26*1)</f>
        <v>36993</v>
      </c>
      <c r="Y26" s="788">
        <f>INT(T26*1)</f>
        <v>32073</v>
      </c>
    </row>
    <row r="27" spans="1:25" s="11" customFormat="1" ht="20.100000000000001" customHeight="1" x14ac:dyDescent="0.25">
      <c r="A27" s="301" t="s">
        <v>313</v>
      </c>
      <c r="B27" s="247" t="s">
        <v>316</v>
      </c>
      <c r="C27" s="788">
        <f t="shared" si="11"/>
        <v>29871</v>
      </c>
      <c r="D27" s="791">
        <v>5500</v>
      </c>
      <c r="E27" s="791">
        <v>24371</v>
      </c>
      <c r="F27" s="788">
        <f t="shared" ref="F27:F33" si="17">SUM(I27,J27)</f>
        <v>29871</v>
      </c>
      <c r="G27" s="847">
        <f t="shared" si="1"/>
        <v>0.24284589931394873</v>
      </c>
      <c r="H27" s="847">
        <f t="shared" si="0"/>
        <v>100</v>
      </c>
      <c r="I27" s="788">
        <f t="shared" si="12"/>
        <v>5500</v>
      </c>
      <c r="J27" s="788">
        <f t="shared" si="12"/>
        <v>24371</v>
      </c>
      <c r="K27" s="788">
        <f t="shared" si="13"/>
        <v>30602</v>
      </c>
      <c r="L27" s="847">
        <f t="shared" si="6"/>
        <v>0.24810588402213346</v>
      </c>
      <c r="M27" s="847">
        <f t="shared" si="7"/>
        <v>102.44718958186871</v>
      </c>
      <c r="N27" s="788">
        <f>INT('Phụ lục số 4'!K9)</f>
        <v>5500</v>
      </c>
      <c r="O27" s="788">
        <f t="shared" si="14"/>
        <v>25102</v>
      </c>
      <c r="P27" s="788">
        <f t="shared" si="15"/>
        <v>30602</v>
      </c>
      <c r="Q27" s="847">
        <f t="shared" si="2"/>
        <v>0.25199540970128803</v>
      </c>
      <c r="R27" s="847">
        <f t="shared" si="3"/>
        <v>100</v>
      </c>
      <c r="S27" s="788">
        <f>N27</f>
        <v>5500</v>
      </c>
      <c r="T27" s="788">
        <f>O27*1</f>
        <v>25102</v>
      </c>
      <c r="U27" s="788">
        <f t="shared" si="16"/>
        <v>30602</v>
      </c>
      <c r="V27" s="847">
        <f t="shared" si="4"/>
        <v>0.25106964265935933</v>
      </c>
      <c r="W27" s="847">
        <f t="shared" si="5"/>
        <v>100</v>
      </c>
      <c r="X27" s="788">
        <f>S27</f>
        <v>5500</v>
      </c>
      <c r="Y27" s="788">
        <f t="shared" ref="Y27:Y32" si="18">INT(T27*1)</f>
        <v>25102</v>
      </c>
    </row>
    <row r="28" spans="1:25" x14ac:dyDescent="0.25">
      <c r="A28" s="301" t="s">
        <v>315</v>
      </c>
      <c r="B28" s="247" t="s">
        <v>318</v>
      </c>
      <c r="C28" s="788">
        <f t="shared" si="11"/>
        <v>28445</v>
      </c>
      <c r="D28" s="791">
        <v>18000</v>
      </c>
      <c r="E28" s="791">
        <v>10445</v>
      </c>
      <c r="F28" s="788">
        <f t="shared" si="17"/>
        <v>28445</v>
      </c>
      <c r="G28" s="847">
        <f t="shared" si="1"/>
        <v>0.23125277379348771</v>
      </c>
      <c r="H28" s="847">
        <f t="shared" si="0"/>
        <v>100</v>
      </c>
      <c r="I28" s="788">
        <f t="shared" si="12"/>
        <v>18000</v>
      </c>
      <c r="J28" s="788">
        <f t="shared" si="12"/>
        <v>10445</v>
      </c>
      <c r="K28" s="788">
        <f t="shared" si="13"/>
        <v>32041</v>
      </c>
      <c r="L28" s="847">
        <f t="shared" si="6"/>
        <v>0.25977258447007318</v>
      </c>
      <c r="M28" s="847">
        <f t="shared" si="7"/>
        <v>112.64194058709791</v>
      </c>
      <c r="N28" s="788">
        <f>INT('Phụ lục số 4'!L9)</f>
        <v>21283</v>
      </c>
      <c r="O28" s="788">
        <f t="shared" si="14"/>
        <v>10758</v>
      </c>
      <c r="P28" s="788">
        <f t="shared" si="15"/>
        <v>32148</v>
      </c>
      <c r="Q28" s="847">
        <f t="shared" si="2"/>
        <v>0.26472611042013616</v>
      </c>
      <c r="R28" s="847">
        <f t="shared" si="3"/>
        <v>100.33394713023937</v>
      </c>
      <c r="S28" s="788">
        <f>N28*1</f>
        <v>21283</v>
      </c>
      <c r="T28" s="788">
        <f>INT(O28*1.01)</f>
        <v>10865</v>
      </c>
      <c r="U28" s="788">
        <f t="shared" si="16"/>
        <v>32148</v>
      </c>
      <c r="V28" s="847">
        <f t="shared" si="4"/>
        <v>0.26375357402173333</v>
      </c>
      <c r="W28" s="847">
        <f t="shared" si="5"/>
        <v>100</v>
      </c>
      <c r="X28" s="788">
        <f>INT(S28*1)</f>
        <v>21283</v>
      </c>
      <c r="Y28" s="788">
        <f t="shared" si="18"/>
        <v>10865</v>
      </c>
    </row>
    <row r="29" spans="1:25" x14ac:dyDescent="0.25">
      <c r="A29" s="301" t="s">
        <v>317</v>
      </c>
      <c r="B29" s="247" t="s">
        <v>319</v>
      </c>
      <c r="C29" s="788">
        <f t="shared" si="11"/>
        <v>359571</v>
      </c>
      <c r="D29" s="791">
        <v>65000</v>
      </c>
      <c r="E29" s="791">
        <v>294571</v>
      </c>
      <c r="F29" s="788">
        <f t="shared" si="17"/>
        <v>359571</v>
      </c>
      <c r="G29" s="847">
        <f t="shared" si="1"/>
        <v>2.9232480620741139</v>
      </c>
      <c r="H29" s="847">
        <f t="shared" si="0"/>
        <v>100</v>
      </c>
      <c r="I29" s="788">
        <f>D29</f>
        <v>65000</v>
      </c>
      <c r="J29" s="788">
        <f>E29</f>
        <v>294571</v>
      </c>
      <c r="K29" s="788">
        <f t="shared" si="13"/>
        <v>373408</v>
      </c>
      <c r="L29" s="847">
        <f t="shared" si="6"/>
        <v>3.0274074224213066</v>
      </c>
      <c r="M29" s="847">
        <f t="shared" si="7"/>
        <v>103.84819687905866</v>
      </c>
      <c r="N29" s="788">
        <f>INT('Phụ lục số 4'!M9)</f>
        <v>70000</v>
      </c>
      <c r="O29" s="788">
        <f>INT(E29*1.03)</f>
        <v>303408</v>
      </c>
      <c r="P29" s="788">
        <f t="shared" si="15"/>
        <v>373408</v>
      </c>
      <c r="Q29" s="847">
        <f t="shared" si="2"/>
        <v>3.0748677192908489</v>
      </c>
      <c r="R29" s="847">
        <f t="shared" si="3"/>
        <v>100</v>
      </c>
      <c r="S29" s="788">
        <f>N29*1</f>
        <v>70000</v>
      </c>
      <c r="T29" s="788">
        <f>O29*1</f>
        <v>303408</v>
      </c>
      <c r="U29" s="788">
        <f t="shared" si="16"/>
        <v>373408</v>
      </c>
      <c r="V29" s="847">
        <f t="shared" si="4"/>
        <v>3.0635714373618077</v>
      </c>
      <c r="W29" s="847">
        <f t="shared" si="5"/>
        <v>100</v>
      </c>
      <c r="X29" s="788">
        <f>INT(S29*1)</f>
        <v>70000</v>
      </c>
      <c r="Y29" s="788">
        <f t="shared" si="18"/>
        <v>303408</v>
      </c>
    </row>
    <row r="30" spans="1:25" s="11" customFormat="1" x14ac:dyDescent="0.25">
      <c r="A30" s="22">
        <v>4</v>
      </c>
      <c r="B30" s="27" t="s">
        <v>320</v>
      </c>
      <c r="C30" s="797">
        <f t="shared" si="11"/>
        <v>1141145</v>
      </c>
      <c r="D30" s="849">
        <v>400000</v>
      </c>
      <c r="E30" s="849">
        <v>741145</v>
      </c>
      <c r="F30" s="797">
        <f t="shared" si="17"/>
        <v>1141145</v>
      </c>
      <c r="G30" s="846">
        <f t="shared" si="1"/>
        <v>9.2773052048011806</v>
      </c>
      <c r="H30" s="846">
        <f t="shared" si="0"/>
        <v>100</v>
      </c>
      <c r="I30" s="797">
        <f>D30</f>
        <v>400000</v>
      </c>
      <c r="J30" s="797">
        <f>E30</f>
        <v>741145</v>
      </c>
      <c r="K30" s="797">
        <f t="shared" si="13"/>
        <v>1194942</v>
      </c>
      <c r="L30" s="846">
        <f t="shared" si="6"/>
        <v>9.6879988649492272</v>
      </c>
      <c r="M30" s="846">
        <f t="shared" si="7"/>
        <v>104.71430011085357</v>
      </c>
      <c r="N30" s="797">
        <f>INT('Phụ lục số 4'!N9)</f>
        <v>418567</v>
      </c>
      <c r="O30" s="797">
        <f>INT(E30*1.03)+12996</f>
        <v>776375</v>
      </c>
      <c r="P30" s="797">
        <f t="shared" si="15"/>
        <v>1194942</v>
      </c>
      <c r="Q30" s="846">
        <f t="shared" si="2"/>
        <v>9.8398764413854156</v>
      </c>
      <c r="R30" s="846">
        <f t="shared" si="3"/>
        <v>100</v>
      </c>
      <c r="S30" s="797">
        <f>N30*1</f>
        <v>418567</v>
      </c>
      <c r="T30" s="797">
        <f>O30*1</f>
        <v>776375</v>
      </c>
      <c r="U30" s="797">
        <f t="shared" si="16"/>
        <v>1194942</v>
      </c>
      <c r="V30" s="846">
        <f t="shared" si="4"/>
        <v>9.8037272380452301</v>
      </c>
      <c r="W30" s="846">
        <f t="shared" si="5"/>
        <v>100</v>
      </c>
      <c r="X30" s="797">
        <f>INT(S30*1)</f>
        <v>418567</v>
      </c>
      <c r="Y30" s="797">
        <f t="shared" si="18"/>
        <v>776375</v>
      </c>
    </row>
    <row r="31" spans="1:25" s="11" customFormat="1" x14ac:dyDescent="0.25">
      <c r="A31" s="22">
        <v>5</v>
      </c>
      <c r="B31" s="27" t="s">
        <v>485</v>
      </c>
      <c r="C31" s="797">
        <f t="shared" si="11"/>
        <v>205014</v>
      </c>
      <c r="D31" s="849">
        <v>95000</v>
      </c>
      <c r="E31" s="849">
        <v>110014</v>
      </c>
      <c r="F31" s="797">
        <f>I31+J31</f>
        <v>210014</v>
      </c>
      <c r="G31" s="846">
        <f t="shared" si="1"/>
        <v>1.7073763415526644</v>
      </c>
      <c r="H31" s="846">
        <f t="shared" si="0"/>
        <v>102.43885783409914</v>
      </c>
      <c r="I31" s="797">
        <f>D31+5000</f>
        <v>100000</v>
      </c>
      <c r="J31" s="797">
        <f>INT(E31*1)</f>
        <v>110014</v>
      </c>
      <c r="K31" s="797">
        <f t="shared" si="13"/>
        <v>215487</v>
      </c>
      <c r="L31" s="846">
        <f t="shared" si="6"/>
        <v>1.7470620426860164</v>
      </c>
      <c r="M31" s="846">
        <f t="shared" si="7"/>
        <v>105.10843161930406</v>
      </c>
      <c r="N31" s="797">
        <f>INT('Phụ lục số 4'!O9)</f>
        <v>102173</v>
      </c>
      <c r="O31" s="797">
        <f t="shared" si="14"/>
        <v>113314</v>
      </c>
      <c r="P31" s="797">
        <f t="shared" si="15"/>
        <v>215487</v>
      </c>
      <c r="Q31" s="846">
        <f t="shared" si="2"/>
        <v>1.7744505212176149</v>
      </c>
      <c r="R31" s="846">
        <f t="shared" si="3"/>
        <v>100</v>
      </c>
      <c r="S31" s="797">
        <f>N31*1</f>
        <v>102173</v>
      </c>
      <c r="T31" s="797">
        <f>O31*1</f>
        <v>113314</v>
      </c>
      <c r="U31" s="797">
        <f t="shared" si="16"/>
        <v>215487</v>
      </c>
      <c r="V31" s="846">
        <f t="shared" si="4"/>
        <v>1.7679316413220496</v>
      </c>
      <c r="W31" s="846">
        <f t="shared" si="5"/>
        <v>100</v>
      </c>
      <c r="X31" s="797">
        <f>INT(S31*1)</f>
        <v>102173</v>
      </c>
      <c r="Y31" s="797">
        <f t="shared" si="18"/>
        <v>113314</v>
      </c>
    </row>
    <row r="32" spans="1:25" s="11" customFormat="1" x14ac:dyDescent="0.25">
      <c r="A32" s="22">
        <v>6</v>
      </c>
      <c r="B32" s="27" t="s">
        <v>384</v>
      </c>
      <c r="C32" s="797">
        <f t="shared" ref="C32:C37" si="19">SUM(D32,E32)</f>
        <v>53675</v>
      </c>
      <c r="D32" s="849">
        <v>25000</v>
      </c>
      <c r="E32" s="849">
        <v>28675</v>
      </c>
      <c r="F32" s="797">
        <f t="shared" si="17"/>
        <v>53675</v>
      </c>
      <c r="G32" s="846">
        <f t="shared" si="1"/>
        <v>0.43636817132590805</v>
      </c>
      <c r="H32" s="846">
        <f t="shared" si="0"/>
        <v>100</v>
      </c>
      <c r="I32" s="797">
        <f>D32</f>
        <v>25000</v>
      </c>
      <c r="J32" s="797">
        <f>E32</f>
        <v>28675</v>
      </c>
      <c r="K32" s="797">
        <f t="shared" si="13"/>
        <v>54535</v>
      </c>
      <c r="L32" s="846">
        <f t="shared" si="6"/>
        <v>0.44214281370979186</v>
      </c>
      <c r="M32" s="846">
        <f t="shared" si="7"/>
        <v>101.60223567768981</v>
      </c>
      <c r="N32" s="797">
        <f>INT('Phụ lục số 4'!P9)</f>
        <v>25000</v>
      </c>
      <c r="O32" s="797">
        <f t="shared" si="14"/>
        <v>29535</v>
      </c>
      <c r="P32" s="797">
        <f t="shared" si="15"/>
        <v>54193</v>
      </c>
      <c r="Q32" s="846">
        <f t="shared" si="2"/>
        <v>0.44625799744924843</v>
      </c>
      <c r="R32" s="846">
        <f t="shared" si="3"/>
        <v>99.372879801962043</v>
      </c>
      <c r="S32" s="797">
        <f>N32-342</f>
        <v>24658</v>
      </c>
      <c r="T32" s="797">
        <f>O32</f>
        <v>29535</v>
      </c>
      <c r="U32" s="797">
        <f t="shared" si="16"/>
        <v>54193</v>
      </c>
      <c r="V32" s="846">
        <f t="shared" si="4"/>
        <v>0.44461855906929809</v>
      </c>
      <c r="W32" s="846">
        <f t="shared" si="5"/>
        <v>100.00000000000001</v>
      </c>
      <c r="X32" s="797">
        <f>INT(S32*1)</f>
        <v>24658</v>
      </c>
      <c r="Y32" s="797">
        <f t="shared" si="18"/>
        <v>29535</v>
      </c>
    </row>
    <row r="33" spans="1:25" s="11" customFormat="1" x14ac:dyDescent="0.25">
      <c r="A33" s="22" t="s">
        <v>322</v>
      </c>
      <c r="B33" s="27" t="s">
        <v>338</v>
      </c>
      <c r="C33" s="797">
        <f t="shared" si="19"/>
        <v>2000</v>
      </c>
      <c r="D33" s="849">
        <v>2000</v>
      </c>
      <c r="E33" s="849">
        <v>0</v>
      </c>
      <c r="F33" s="797">
        <f t="shared" si="17"/>
        <v>2000</v>
      </c>
      <c r="G33" s="846">
        <f t="shared" si="1"/>
        <v>1.6259643086200579E-2</v>
      </c>
      <c r="H33" s="846">
        <f t="shared" si="0"/>
        <v>100</v>
      </c>
      <c r="I33" s="797">
        <f>D33</f>
        <v>2000</v>
      </c>
      <c r="J33" s="797">
        <f>E33</f>
        <v>0</v>
      </c>
      <c r="K33" s="797">
        <f t="shared" si="13"/>
        <v>2000</v>
      </c>
      <c r="L33" s="846">
        <f t="shared" si="6"/>
        <v>1.6215011046476276E-2</v>
      </c>
      <c r="M33" s="846">
        <f t="shared" si="7"/>
        <v>100</v>
      </c>
      <c r="N33" s="797">
        <f>INT(D33)</f>
        <v>2000</v>
      </c>
      <c r="O33" s="797">
        <f>E33</f>
        <v>0</v>
      </c>
      <c r="P33" s="797">
        <f t="shared" si="15"/>
        <v>2000</v>
      </c>
      <c r="Q33" s="846">
        <f t="shared" si="2"/>
        <v>1.6469211796698781E-2</v>
      </c>
      <c r="R33" s="846">
        <f t="shared" si="3"/>
        <v>100</v>
      </c>
      <c r="S33" s="797">
        <f>N33</f>
        <v>2000</v>
      </c>
      <c r="T33" s="797">
        <f>O33</f>
        <v>0</v>
      </c>
      <c r="U33" s="797">
        <f t="shared" si="16"/>
        <v>2000</v>
      </c>
      <c r="V33" s="846">
        <f t="shared" si="4"/>
        <v>1.6408708101389408E-2</v>
      </c>
      <c r="W33" s="846">
        <f t="shared" si="5"/>
        <v>100</v>
      </c>
      <c r="X33" s="797">
        <f>S33</f>
        <v>2000</v>
      </c>
      <c r="Y33" s="797">
        <f>T33</f>
        <v>0</v>
      </c>
    </row>
    <row r="34" spans="1:25" s="11" customFormat="1" x14ac:dyDescent="0.25">
      <c r="A34" s="22" t="s">
        <v>323</v>
      </c>
      <c r="B34" s="27" t="s">
        <v>361</v>
      </c>
      <c r="C34" s="797">
        <f>SUM(D34,E34)</f>
        <v>199901</v>
      </c>
      <c r="D34" s="849">
        <v>104575</v>
      </c>
      <c r="E34" s="849">
        <v>95326</v>
      </c>
      <c r="F34" s="797">
        <f>I34+J34</f>
        <v>0</v>
      </c>
      <c r="G34" s="846">
        <f t="shared" si="1"/>
        <v>0</v>
      </c>
      <c r="H34" s="846">
        <f t="shared" si="0"/>
        <v>0</v>
      </c>
      <c r="I34" s="797"/>
      <c r="J34" s="797"/>
      <c r="K34" s="797">
        <f>209077</f>
        <v>209077</v>
      </c>
      <c r="L34" s="846">
        <f t="shared" si="6"/>
        <v>1.69509293228206</v>
      </c>
      <c r="M34" s="846">
        <f t="shared" si="7"/>
        <v>104.59027218473145</v>
      </c>
      <c r="N34" s="797">
        <f>K34-O34</f>
        <v>110426</v>
      </c>
      <c r="O34" s="797">
        <f>'Phụ lục số 6'!C14</f>
        <v>98651</v>
      </c>
      <c r="P34" s="797">
        <f t="shared" si="15"/>
        <v>209077</v>
      </c>
      <c r="Q34" s="846">
        <f t="shared" si="2"/>
        <v>1.7216666974091954</v>
      </c>
      <c r="R34" s="846">
        <f t="shared" si="3"/>
        <v>100</v>
      </c>
      <c r="S34" s="797">
        <f>N34*1</f>
        <v>110426</v>
      </c>
      <c r="T34" s="797">
        <f>O34</f>
        <v>98651</v>
      </c>
      <c r="U34" s="797">
        <f t="shared" si="16"/>
        <v>209077</v>
      </c>
      <c r="V34" s="846">
        <f t="shared" si="4"/>
        <v>1.7153417318570965</v>
      </c>
      <c r="W34" s="846">
        <f t="shared" si="5"/>
        <v>100</v>
      </c>
      <c r="X34" s="797">
        <f>S34</f>
        <v>110426</v>
      </c>
      <c r="Y34" s="797">
        <f>INT(T34*1)</f>
        <v>98651</v>
      </c>
    </row>
    <row r="35" spans="1:25" s="11" customFormat="1" x14ac:dyDescent="0.25">
      <c r="A35" s="22" t="s">
        <v>346</v>
      </c>
      <c r="B35" s="322" t="s">
        <v>527</v>
      </c>
      <c r="C35" s="797">
        <f>SUM(D35,E35)</f>
        <v>0</v>
      </c>
      <c r="D35" s="797">
        <v>0</v>
      </c>
      <c r="E35" s="797">
        <v>0</v>
      </c>
      <c r="F35" s="797">
        <f>I35+J35</f>
        <v>140341</v>
      </c>
      <c r="G35" s="846"/>
      <c r="H35" s="846"/>
      <c r="I35" s="797">
        <f>36809</f>
        <v>36809</v>
      </c>
      <c r="J35" s="797">
        <f>103532</f>
        <v>103532</v>
      </c>
      <c r="K35" s="797">
        <f>N35+O35</f>
        <v>0</v>
      </c>
      <c r="L35" s="846"/>
      <c r="M35" s="846"/>
      <c r="N35" s="797"/>
      <c r="O35" s="797"/>
      <c r="P35" s="797">
        <f>S35+T35</f>
        <v>0</v>
      </c>
      <c r="Q35" s="846">
        <f t="shared" si="2"/>
        <v>0</v>
      </c>
      <c r="R35" s="846"/>
      <c r="S35" s="797"/>
      <c r="T35" s="797"/>
      <c r="U35" s="797">
        <f>X35+Y35</f>
        <v>0</v>
      </c>
      <c r="V35" s="846">
        <f t="shared" si="4"/>
        <v>0</v>
      </c>
      <c r="W35" s="846"/>
      <c r="X35" s="797"/>
      <c r="Y35" s="797"/>
    </row>
    <row r="36" spans="1:25" s="11" customFormat="1" x14ac:dyDescent="0.25">
      <c r="A36" s="22" t="s">
        <v>347</v>
      </c>
      <c r="B36" s="322" t="s">
        <v>404</v>
      </c>
      <c r="C36" s="797">
        <f>SUM(D36,E36)</f>
        <v>83719</v>
      </c>
      <c r="D36" s="797">
        <v>0</v>
      </c>
      <c r="E36" s="797">
        <v>83719</v>
      </c>
      <c r="F36" s="797">
        <f>I36+J36</f>
        <v>159826</v>
      </c>
      <c r="G36" s="846"/>
      <c r="H36" s="846"/>
      <c r="I36" s="797">
        <f>D36</f>
        <v>0</v>
      </c>
      <c r="J36" s="797">
        <f>INT('TLTT nam 2018- 2019'!D9)</f>
        <v>159826</v>
      </c>
      <c r="K36" s="797">
        <f>N36+O36</f>
        <v>204195</v>
      </c>
      <c r="L36" s="846"/>
      <c r="M36" s="846"/>
      <c r="N36" s="797"/>
      <c r="O36" s="797">
        <f>'Phụ lục số 6'!C15</f>
        <v>204195</v>
      </c>
      <c r="P36" s="797">
        <f>S36+T36</f>
        <v>0</v>
      </c>
      <c r="Q36" s="846"/>
      <c r="R36" s="846"/>
      <c r="S36" s="797"/>
      <c r="T36" s="797"/>
      <c r="U36" s="797">
        <f>X36+Y36</f>
        <v>0</v>
      </c>
      <c r="V36" s="846">
        <f t="shared" si="4"/>
        <v>0</v>
      </c>
      <c r="W36" s="846"/>
      <c r="X36" s="797"/>
      <c r="Y36" s="797"/>
    </row>
    <row r="37" spans="1:25" s="11" customFormat="1" hidden="1" x14ac:dyDescent="0.25">
      <c r="A37" s="22" t="s">
        <v>389</v>
      </c>
      <c r="B37" s="27" t="s">
        <v>402</v>
      </c>
      <c r="C37" s="797">
        <f t="shared" si="19"/>
        <v>0</v>
      </c>
      <c r="D37" s="797">
        <v>0</v>
      </c>
      <c r="E37" s="797">
        <v>0</v>
      </c>
      <c r="F37" s="797">
        <f>I37+J37</f>
        <v>0</v>
      </c>
      <c r="G37" s="846"/>
      <c r="H37" s="846"/>
      <c r="I37" s="797"/>
      <c r="J37" s="797"/>
      <c r="K37" s="797">
        <f>N37+O37</f>
        <v>0</v>
      </c>
      <c r="L37" s="846"/>
      <c r="M37" s="846"/>
      <c r="N37" s="797">
        <v>0</v>
      </c>
      <c r="O37" s="797">
        <v>0</v>
      </c>
      <c r="P37" s="797">
        <f>S37+T37</f>
        <v>0</v>
      </c>
      <c r="Q37" s="846"/>
      <c r="R37" s="846"/>
      <c r="S37" s="797">
        <v>0</v>
      </c>
      <c r="T37" s="797">
        <v>0</v>
      </c>
      <c r="U37" s="797">
        <f>X37+Y37</f>
        <v>0</v>
      </c>
      <c r="V37" s="846">
        <f t="shared" si="4"/>
        <v>0</v>
      </c>
      <c r="W37" s="846"/>
      <c r="X37" s="797">
        <v>0</v>
      </c>
      <c r="Y37" s="797">
        <v>0</v>
      </c>
    </row>
    <row r="38" spans="1:25" s="11" customFormat="1" x14ac:dyDescent="0.25">
      <c r="A38" s="22" t="s">
        <v>389</v>
      </c>
      <c r="B38" s="27" t="s">
        <v>672</v>
      </c>
      <c r="C38" s="797">
        <f>D38+E38</f>
        <v>100</v>
      </c>
      <c r="D38" s="797">
        <v>100</v>
      </c>
      <c r="E38" s="797">
        <v>0</v>
      </c>
      <c r="F38" s="797">
        <f>I38+J38</f>
        <v>100</v>
      </c>
      <c r="G38" s="846"/>
      <c r="H38" s="846"/>
      <c r="I38" s="797">
        <f>D38</f>
        <v>100</v>
      </c>
      <c r="J38" s="797">
        <f>E38</f>
        <v>0</v>
      </c>
      <c r="K38" s="797">
        <f>N38+O38</f>
        <v>300</v>
      </c>
      <c r="L38" s="846"/>
      <c r="M38" s="846"/>
      <c r="N38" s="797">
        <v>300</v>
      </c>
      <c r="O38" s="797">
        <v>0</v>
      </c>
      <c r="P38" s="797">
        <f>S38+T38</f>
        <v>0</v>
      </c>
      <c r="Q38" s="846"/>
      <c r="R38" s="846"/>
      <c r="S38" s="797"/>
      <c r="T38" s="797"/>
      <c r="U38" s="797">
        <f>X38+Y38</f>
        <v>0</v>
      </c>
      <c r="V38" s="846"/>
      <c r="W38" s="846"/>
      <c r="X38" s="797"/>
      <c r="Y38" s="797"/>
    </row>
    <row r="39" spans="1:25" x14ac:dyDescent="0.25">
      <c r="A39" s="24" t="s">
        <v>295</v>
      </c>
      <c r="B39" s="45" t="s">
        <v>324</v>
      </c>
      <c r="C39" s="798">
        <f>SUM(C40,C41,C42,C43)</f>
        <v>1818286</v>
      </c>
      <c r="D39" s="798">
        <f>SUM(D40,D41,D42,D43)</f>
        <v>1818286</v>
      </c>
      <c r="E39" s="798">
        <f>SUM(E40,E41,E42,E43)</f>
        <v>0</v>
      </c>
      <c r="F39" s="798">
        <f>SUM(F40,F41,F42,F43)</f>
        <v>1818286</v>
      </c>
      <c r="G39" s="845">
        <f t="shared" si="1"/>
        <v>14.782340694317654</v>
      </c>
      <c r="H39" s="845">
        <f t="shared" si="0"/>
        <v>100</v>
      </c>
      <c r="I39" s="798">
        <f>SUM(I40,I41,I42,I43)</f>
        <v>1818286</v>
      </c>
      <c r="J39" s="798">
        <f>SUM(J40,J41,J42,J43)</f>
        <v>0</v>
      </c>
      <c r="K39" s="798">
        <f>N39+O39</f>
        <v>1423990</v>
      </c>
      <c r="L39" s="845">
        <f>K39/$K$11*100</f>
        <v>11.545006790035876</v>
      </c>
      <c r="M39" s="845">
        <f>K39/F39*100</f>
        <v>78.314962552645724</v>
      </c>
      <c r="N39" s="798">
        <f>SUM(N40:N43)</f>
        <v>1423990</v>
      </c>
      <c r="O39" s="798">
        <f>SUM(O40:O43)</f>
        <v>0</v>
      </c>
      <c r="P39" s="798">
        <f>S39+T39</f>
        <v>1423990</v>
      </c>
      <c r="Q39" s="845">
        <f>P39/$K$11*100</f>
        <v>11.545006790035876</v>
      </c>
      <c r="R39" s="845"/>
      <c r="S39" s="798">
        <f>SUM(S40:S43)</f>
        <v>1423990</v>
      </c>
      <c r="T39" s="798">
        <f>SUM(T40:T43)</f>
        <v>0</v>
      </c>
      <c r="U39" s="798">
        <f>X39+Y39</f>
        <v>1423990</v>
      </c>
      <c r="V39" s="845">
        <f t="shared" si="4"/>
        <v>11.682918124648751</v>
      </c>
      <c r="W39" s="845"/>
      <c r="X39" s="798">
        <f>SUM(X40:X43)</f>
        <v>1423990</v>
      </c>
      <c r="Y39" s="798">
        <f>SUM(Y40:Y43)</f>
        <v>0</v>
      </c>
    </row>
    <row r="40" spans="1:25" x14ac:dyDescent="0.25">
      <c r="A40" s="302" t="s">
        <v>281</v>
      </c>
      <c r="B40" s="297" t="s">
        <v>461</v>
      </c>
      <c r="C40" s="788">
        <f>D40+E40</f>
        <v>158489</v>
      </c>
      <c r="D40" s="791">
        <v>158489</v>
      </c>
      <c r="E40" s="791"/>
      <c r="F40" s="788">
        <f>SUM(I40,J40)</f>
        <v>158489</v>
      </c>
      <c r="G40" s="847"/>
      <c r="H40" s="847"/>
      <c r="I40" s="788">
        <f t="shared" ref="I40:J42" si="20">D40</f>
        <v>158489</v>
      </c>
      <c r="J40" s="788">
        <f t="shared" si="20"/>
        <v>0</v>
      </c>
      <c r="K40" s="788">
        <f>'Phụ lục số 1'!N62</f>
        <v>237567</v>
      </c>
      <c r="L40" s="847"/>
      <c r="M40" s="847"/>
      <c r="N40" s="788">
        <f>K40-O40</f>
        <v>237567</v>
      </c>
      <c r="O40" s="788"/>
      <c r="P40" s="788">
        <f>'Phụ lục số 1'!T62</f>
        <v>237567</v>
      </c>
      <c r="Q40" s="847"/>
      <c r="R40" s="847"/>
      <c r="S40" s="788">
        <f>P40-T40</f>
        <v>237567</v>
      </c>
      <c r="T40" s="788"/>
      <c r="U40" s="788">
        <f>'Phụ lục số 1'!Z62</f>
        <v>237567</v>
      </c>
      <c r="V40" s="847"/>
      <c r="W40" s="847"/>
      <c r="X40" s="788">
        <f>U40-Y40</f>
        <v>237567</v>
      </c>
      <c r="Y40" s="788"/>
    </row>
    <row r="41" spans="1:25" ht="47.25" x14ac:dyDescent="0.25">
      <c r="A41" s="302" t="s">
        <v>294</v>
      </c>
      <c r="B41" s="297" t="s">
        <v>385</v>
      </c>
      <c r="C41" s="788">
        <f>D41+E41</f>
        <v>1503647</v>
      </c>
      <c r="D41" s="791">
        <v>1503647</v>
      </c>
      <c r="E41" s="791"/>
      <c r="F41" s="788">
        <f>SUM(I41,J41)</f>
        <v>1503647</v>
      </c>
      <c r="G41" s="847"/>
      <c r="H41" s="847"/>
      <c r="I41" s="788">
        <f t="shared" si="20"/>
        <v>1503647</v>
      </c>
      <c r="J41" s="788">
        <f t="shared" si="20"/>
        <v>0</v>
      </c>
      <c r="K41" s="788">
        <f>'Phụ lục số 1'!N63</f>
        <v>849684</v>
      </c>
      <c r="L41" s="847">
        <f>K41/$K$11*100</f>
        <v>6.8888177230070733</v>
      </c>
      <c r="M41" s="847"/>
      <c r="N41" s="788">
        <f>K41-O41</f>
        <v>849684</v>
      </c>
      <c r="O41" s="788"/>
      <c r="P41" s="788">
        <f>'Phụ lục số 1'!T63</f>
        <v>849684</v>
      </c>
      <c r="Q41" s="847">
        <f>P41/$K$11*100</f>
        <v>6.8888177230070733</v>
      </c>
      <c r="R41" s="847"/>
      <c r="S41" s="788">
        <f>P41-T41</f>
        <v>849684</v>
      </c>
      <c r="T41" s="788"/>
      <c r="U41" s="788">
        <f>'Phụ lục số 1'!Z63</f>
        <v>849684</v>
      </c>
      <c r="V41" s="847">
        <f>U41/$K$11*100</f>
        <v>6.8888177230070733</v>
      </c>
      <c r="W41" s="847"/>
      <c r="X41" s="788">
        <f>U41-Y41</f>
        <v>849684</v>
      </c>
      <c r="Y41" s="788"/>
    </row>
    <row r="42" spans="1:25" ht="49.5" customHeight="1" x14ac:dyDescent="0.25">
      <c r="A42" s="302" t="s">
        <v>322</v>
      </c>
      <c r="B42" s="297" t="s">
        <v>386</v>
      </c>
      <c r="C42" s="788">
        <f>D42+E42</f>
        <v>156150</v>
      </c>
      <c r="D42" s="791">
        <v>156150</v>
      </c>
      <c r="E42" s="791"/>
      <c r="F42" s="788">
        <f>SUM(I42,J42)</f>
        <v>156150</v>
      </c>
      <c r="G42" s="847"/>
      <c r="H42" s="847"/>
      <c r="I42" s="788">
        <f t="shared" si="20"/>
        <v>156150</v>
      </c>
      <c r="J42" s="788">
        <f t="shared" si="20"/>
        <v>0</v>
      </c>
      <c r="K42" s="788">
        <f>'Phụ lục số 4'!S9</f>
        <v>336739</v>
      </c>
      <c r="L42" s="847">
        <f>K42/$K$11*100</f>
        <v>2.7301133023896873</v>
      </c>
      <c r="M42" s="847"/>
      <c r="N42" s="788">
        <f>K42-O42</f>
        <v>336739</v>
      </c>
      <c r="O42" s="788"/>
      <c r="P42" s="788">
        <f>$K$42</f>
        <v>336739</v>
      </c>
      <c r="Q42" s="847">
        <f>P42/$K$11*100</f>
        <v>2.7301133023896873</v>
      </c>
      <c r="R42" s="847"/>
      <c r="S42" s="788">
        <f>P42-T42</f>
        <v>336739</v>
      </c>
      <c r="T42" s="788"/>
      <c r="U42" s="788">
        <f>P42</f>
        <v>336739</v>
      </c>
      <c r="V42" s="847">
        <f>U42/$K$11*100</f>
        <v>2.7301133023896873</v>
      </c>
      <c r="W42" s="847"/>
      <c r="X42" s="788">
        <f>U42-Y42</f>
        <v>336739</v>
      </c>
      <c r="Y42" s="788"/>
    </row>
    <row r="43" spans="1:25" hidden="1" x14ac:dyDescent="0.25">
      <c r="A43" s="557" t="s">
        <v>323</v>
      </c>
      <c r="B43" s="558" t="s">
        <v>705</v>
      </c>
      <c r="C43" s="559">
        <f>D43+E43</f>
        <v>0</v>
      </c>
      <c r="D43" s="560">
        <v>0</v>
      </c>
      <c r="E43" s="560"/>
      <c r="F43" s="559">
        <f>SUM(I43,J43)</f>
        <v>0</v>
      </c>
      <c r="G43" s="561"/>
      <c r="H43" s="561"/>
      <c r="I43" s="559">
        <v>0</v>
      </c>
      <c r="J43" s="559"/>
      <c r="K43" s="559"/>
      <c r="L43" s="561"/>
      <c r="M43" s="561"/>
      <c r="N43" s="559">
        <f>K43</f>
        <v>0</v>
      </c>
      <c r="O43" s="559"/>
      <c r="P43" s="559">
        <f>$K$43</f>
        <v>0</v>
      </c>
      <c r="Q43" s="561"/>
      <c r="R43" s="561"/>
      <c r="S43" s="559">
        <f>P43</f>
        <v>0</v>
      </c>
      <c r="T43" s="559"/>
      <c r="U43" s="559">
        <f>P43</f>
        <v>0</v>
      </c>
      <c r="V43" s="561"/>
      <c r="W43" s="561"/>
      <c r="X43" s="559">
        <f>U43</f>
        <v>0</v>
      </c>
      <c r="Y43" s="559"/>
    </row>
    <row r="44" spans="1:25" s="17" customFormat="1" ht="31.5" x14ac:dyDescent="0.25">
      <c r="A44" s="916" t="s">
        <v>299</v>
      </c>
      <c r="B44" s="917" t="s">
        <v>1028</v>
      </c>
      <c r="C44" s="918">
        <f>D44+E44</f>
        <v>0</v>
      </c>
      <c r="D44" s="918">
        <v>0</v>
      </c>
      <c r="E44" s="918">
        <v>0</v>
      </c>
      <c r="F44" s="918">
        <f>I44+J44</f>
        <v>0</v>
      </c>
      <c r="G44" s="919"/>
      <c r="H44" s="920"/>
      <c r="I44" s="918">
        <f>D44</f>
        <v>0</v>
      </c>
      <c r="J44" s="918"/>
      <c r="K44" s="918">
        <f>M44+N44</f>
        <v>15000</v>
      </c>
      <c r="L44" s="920">
        <f>K44/$K$11*100</f>
        <v>0.12161258284857207</v>
      </c>
      <c r="M44" s="921"/>
      <c r="N44" s="918">
        <f>'Phụ lục số 1'!R67</f>
        <v>15000</v>
      </c>
      <c r="O44" s="918">
        <f>'Phụ lục số 1'!S67</f>
        <v>0</v>
      </c>
      <c r="P44" s="918">
        <f>R44+S44</f>
        <v>0</v>
      </c>
      <c r="Q44" s="920">
        <f>P44/$K$11*100</f>
        <v>0</v>
      </c>
      <c r="R44" s="921"/>
      <c r="S44" s="918">
        <v>0</v>
      </c>
      <c r="T44" s="918">
        <v>0</v>
      </c>
      <c r="U44" s="918">
        <f>W44+X44</f>
        <v>0</v>
      </c>
      <c r="V44" s="920">
        <f>U44/$K$11*100</f>
        <v>0</v>
      </c>
      <c r="W44" s="921"/>
      <c r="X44" s="918">
        <v>0</v>
      </c>
      <c r="Y44" s="918">
        <v>0</v>
      </c>
    </row>
    <row r="45" spans="1:25" s="924" customFormat="1" x14ac:dyDescent="0.25">
      <c r="A45" s="922" t="s">
        <v>706</v>
      </c>
      <c r="B45" s="923"/>
      <c r="G45" s="925"/>
    </row>
    <row r="48" spans="1:25" x14ac:dyDescent="0.25">
      <c r="D48" s="269">
        <v>40251</v>
      </c>
      <c r="K48" s="269">
        <v>423993</v>
      </c>
    </row>
    <row r="49" spans="4:11" x14ac:dyDescent="0.25">
      <c r="D49" s="269">
        <f>+D34-D48</f>
        <v>64324</v>
      </c>
      <c r="K49" s="269">
        <f>+K48-K42</f>
        <v>87254</v>
      </c>
    </row>
    <row r="50" spans="4:11" x14ac:dyDescent="0.25">
      <c r="D50" s="269">
        <f>D34/2</f>
        <v>52287.5</v>
      </c>
    </row>
    <row r="51" spans="4:11" x14ac:dyDescent="0.25">
      <c r="D51" s="269">
        <f>+D49-D50</f>
        <v>12036.5</v>
      </c>
      <c r="K51" s="269">
        <f>K14+K44</f>
        <v>2881350</v>
      </c>
    </row>
    <row r="52" spans="4:11" x14ac:dyDescent="0.25">
      <c r="K52" s="269">
        <v>2841350</v>
      </c>
    </row>
    <row r="53" spans="4:11" x14ac:dyDescent="0.25">
      <c r="K53" s="269">
        <f>+K51-K52</f>
        <v>40000</v>
      </c>
    </row>
    <row r="54" spans="4:11" x14ac:dyDescent="0.25">
      <c r="K54" s="269">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759B5C-6D53-43FD-8E70-C4AC641CDCE1}"/>
</file>

<file path=customXml/itemProps2.xml><?xml version="1.0" encoding="utf-8"?>
<ds:datastoreItem xmlns:ds="http://schemas.openxmlformats.org/officeDocument/2006/customXml" ds:itemID="{DF8A4660-2AF7-456F-BC9C-4BA4D734D9FE}"/>
</file>

<file path=customXml/itemProps3.xml><?xml version="1.0" encoding="utf-8"?>
<ds:datastoreItem xmlns:ds="http://schemas.openxmlformats.org/officeDocument/2006/customXml" ds:itemID="{96BCD0DF-D9E1-42E2-BF3E-BD4F898678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32</vt:i4>
      </vt:variant>
    </vt:vector>
  </HeadingPairs>
  <TitlesOfParts>
    <vt:vector size="68"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Bao cao</vt:lpstr>
      <vt:lpstr>Nguồn CĐCS chuyển sang 2018</vt:lpstr>
      <vt:lpstr>'10%TK tăng thêm so với năm 2018'!Print_Area</vt:lpstr>
      <vt:lpstr>'Bao cao'!Print_Area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7'!Print_Area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2019-09-17T03:18:48Z</dcterms:modified>
</cp:coreProperties>
</file>