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13" activeTab="13"/>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r:id="rId14"/>
    <sheet name="02" sheetId="11" state="hidden" r:id="rId15"/>
    <sheet name="03" sheetId="12" state="hidden" r:id="rId16"/>
    <sheet name="48." sheetId="31" state="hidden" r:id="rId17"/>
    <sheet name="49," sheetId="30" state="hidden" r:id="rId18"/>
    <sheet name="50" sheetId="13" state="hidden" r:id="rId19"/>
    <sheet name="51" sheetId="14" state="hidden"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 name="58" sheetId="33" state="hidden" r:id="rId31"/>
  </sheets>
  <externalReferences>
    <externalReference r:id="rId32"/>
    <externalReference r:id="rId33"/>
    <externalReference r:id="rId34"/>
    <externalReference r:id="rId35"/>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9">'51'!$7:$9</definedName>
    <definedName name="_xlnm.Print_Titles" localSheetId="20">'53'!$6:$8</definedName>
    <definedName name="_xlnm.Print_Titles" localSheetId="30">'58'!$6:$10</definedName>
  </definedNames>
  <calcPr calcId="124519"/>
</workbook>
</file>

<file path=xl/calcChain.xml><?xml version="1.0" encoding="utf-8"?>
<calcChain xmlns="http://schemas.openxmlformats.org/spreadsheetml/2006/main">
  <c r="A1" i="34"/>
  <c r="A4" i="30"/>
  <c r="A4" i="31"/>
  <c r="D10"/>
  <c r="D30"/>
  <c r="A4" i="33" l="1"/>
  <c r="A3" i="18"/>
  <c r="A4" i="34"/>
  <c r="A3" i="9"/>
  <c r="K20" i="34"/>
  <c r="F20"/>
  <c r="E20"/>
  <c r="D20"/>
  <c r="K19"/>
  <c r="F19"/>
  <c r="E19"/>
  <c r="D19"/>
  <c r="K18"/>
  <c r="F18"/>
  <c r="E18"/>
  <c r="D18"/>
  <c r="K17"/>
  <c r="F17"/>
  <c r="E17"/>
  <c r="D17"/>
  <c r="K16"/>
  <c r="F16"/>
  <c r="E16"/>
  <c r="D16"/>
  <c r="K15"/>
  <c r="F15"/>
  <c r="E15"/>
  <c r="D15"/>
  <c r="K14"/>
  <c r="F14"/>
  <c r="E14"/>
  <c r="D14"/>
  <c r="K13"/>
  <c r="F13"/>
  <c r="E13"/>
  <c r="D13"/>
  <c r="K12"/>
  <c r="F12"/>
  <c r="E12"/>
  <c r="D12"/>
  <c r="K11"/>
  <c r="F11"/>
  <c r="E11"/>
  <c r="D11"/>
  <c r="C11" s="1"/>
  <c r="K10"/>
  <c r="J10"/>
  <c r="J9" s="1"/>
  <c r="F10"/>
  <c r="F9" s="1"/>
  <c r="E10"/>
  <c r="D10"/>
  <c r="C10" s="1"/>
  <c r="I9"/>
  <c r="H9"/>
  <c r="G9"/>
  <c r="C12" l="1"/>
  <c r="C13"/>
  <c r="C17"/>
  <c r="C19"/>
  <c r="C20"/>
  <c r="D9"/>
  <c r="E9"/>
  <c r="C15"/>
  <c r="C16"/>
  <c r="K9"/>
  <c r="C18"/>
  <c r="C14"/>
  <c r="C9" l="1"/>
  <c r="C22" i="9" s="1"/>
  <c r="A390" i="33"/>
  <c r="A391" s="1"/>
  <c r="AS388"/>
  <c r="AR388"/>
  <c r="AR385" s="1"/>
  <c r="AQ388"/>
  <c r="AP388"/>
  <c r="AO388"/>
  <c r="AN388"/>
  <c r="AM388"/>
  <c r="AL388"/>
  <c r="AK388"/>
  <c r="AK385" s="1"/>
  <c r="AJ388"/>
  <c r="AJ385" s="1"/>
  <c r="AI388"/>
  <c r="AH388"/>
  <c r="AH385" s="1"/>
  <c r="AG388"/>
  <c r="AF388"/>
  <c r="AF385" s="1"/>
  <c r="AE388"/>
  <c r="AE385" s="1"/>
  <c r="AD388"/>
  <c r="AD385" s="1"/>
  <c r="AC388"/>
  <c r="AC385" s="1"/>
  <c r="AB388"/>
  <c r="AB385" s="1"/>
  <c r="AA388"/>
  <c r="AA385" s="1"/>
  <c r="Z388"/>
  <c r="Z385" s="1"/>
  <c r="Y388"/>
  <c r="X388"/>
  <c r="X385" s="1"/>
  <c r="W388"/>
  <c r="W385" s="1"/>
  <c r="V388"/>
  <c r="V385" s="1"/>
  <c r="U388"/>
  <c r="T388"/>
  <c r="T385" s="1"/>
  <c r="S388"/>
  <c r="R388"/>
  <c r="R385" s="1"/>
  <c r="Q388"/>
  <c r="P388"/>
  <c r="P385" s="1"/>
  <c r="O388"/>
  <c r="O385" s="1"/>
  <c r="N388"/>
  <c r="N385" s="1"/>
  <c r="M388"/>
  <c r="M385" s="1"/>
  <c r="L388"/>
  <c r="L385" s="1"/>
  <c r="K388"/>
  <c r="K385" s="1"/>
  <c r="J388"/>
  <c r="I388"/>
  <c r="H388"/>
  <c r="H385" s="1"/>
  <c r="AM387"/>
  <c r="AL387"/>
  <c r="AH387"/>
  <c r="U387"/>
  <c r="U386" s="1"/>
  <c r="J387"/>
  <c r="J386" s="1"/>
  <c r="AS386"/>
  <c r="AR386"/>
  <c r="AK386"/>
  <c r="AJ386"/>
  <c r="AI386"/>
  <c r="AH386"/>
  <c r="AG386"/>
  <c r="AF386"/>
  <c r="AE386"/>
  <c r="AD386"/>
  <c r="AC386"/>
  <c r="AB386"/>
  <c r="AA386"/>
  <c r="Z386"/>
  <c r="Y386"/>
  <c r="X386"/>
  <c r="W386"/>
  <c r="V386"/>
  <c r="T386"/>
  <c r="S386"/>
  <c r="R386"/>
  <c r="Q386"/>
  <c r="P386"/>
  <c r="O386"/>
  <c r="N386"/>
  <c r="M386"/>
  <c r="L386"/>
  <c r="K386"/>
  <c r="I386"/>
  <c r="H386"/>
  <c r="AS385"/>
  <c r="AI385"/>
  <c r="AG385"/>
  <c r="Y385"/>
  <c r="S385"/>
  <c r="Q385"/>
  <c r="I385"/>
  <c r="AM384"/>
  <c r="AP384" s="1"/>
  <c r="AQ384" s="1"/>
  <c r="AL384"/>
  <c r="U384"/>
  <c r="AN384" s="1"/>
  <c r="AL383"/>
  <c r="AH383"/>
  <c r="U383"/>
  <c r="AN383" s="1"/>
  <c r="T383"/>
  <c r="AM383" s="1"/>
  <c r="AQ382"/>
  <c r="AN382"/>
  <c r="AL382"/>
  <c r="AH382"/>
  <c r="U382"/>
  <c r="T382"/>
  <c r="T381" s="1"/>
  <c r="N382"/>
  <c r="AS381"/>
  <c r="AR381"/>
  <c r="AL381"/>
  <c r="AK381"/>
  <c r="AJ381"/>
  <c r="AI381"/>
  <c r="AH381"/>
  <c r="AG381"/>
  <c r="AF381"/>
  <c r="AE381"/>
  <c r="AD381"/>
  <c r="AC381"/>
  <c r="AB381"/>
  <c r="AA381"/>
  <c r="Z381"/>
  <c r="Y381"/>
  <c r="X381"/>
  <c r="W381"/>
  <c r="V381"/>
  <c r="S381"/>
  <c r="R381"/>
  <c r="Q381"/>
  <c r="P381"/>
  <c r="O381"/>
  <c r="M381"/>
  <c r="L381"/>
  <c r="K381"/>
  <c r="J381"/>
  <c r="I381"/>
  <c r="H381"/>
  <c r="AJ380"/>
  <c r="U380"/>
  <c r="AN380" s="1"/>
  <c r="T380"/>
  <c r="N380"/>
  <c r="J380"/>
  <c r="AJ379"/>
  <c r="U379"/>
  <c r="T379"/>
  <c r="T378" s="1"/>
  <c r="T377" s="1"/>
  <c r="O379"/>
  <c r="N379"/>
  <c r="J379"/>
  <c r="AS378"/>
  <c r="AR378"/>
  <c r="AR377" s="1"/>
  <c r="AK378"/>
  <c r="AK377" s="1"/>
  <c r="AI378"/>
  <c r="AI377" s="1"/>
  <c r="AG378"/>
  <c r="AF378"/>
  <c r="AE378"/>
  <c r="AE377" s="1"/>
  <c r="AD378"/>
  <c r="AD377" s="1"/>
  <c r="AC378"/>
  <c r="AC377" s="1"/>
  <c r="AB378"/>
  <c r="AB377" s="1"/>
  <c r="AA378"/>
  <c r="AA377" s="1"/>
  <c r="Z378"/>
  <c r="Y378"/>
  <c r="Y377" s="1"/>
  <c r="X378"/>
  <c r="X377" s="1"/>
  <c r="W378"/>
  <c r="W377" s="1"/>
  <c r="V378"/>
  <c r="U378"/>
  <c r="U377" s="1"/>
  <c r="S378"/>
  <c r="S377" s="1"/>
  <c r="R378"/>
  <c r="Q378"/>
  <c r="P378"/>
  <c r="M378"/>
  <c r="M377" s="1"/>
  <c r="L378"/>
  <c r="L377" s="1"/>
  <c r="K378"/>
  <c r="K377" s="1"/>
  <c r="J378"/>
  <c r="J377" s="1"/>
  <c r="I378"/>
  <c r="H378"/>
  <c r="AS377"/>
  <c r="AG377"/>
  <c r="AF377"/>
  <c r="Z377"/>
  <c r="V377"/>
  <c r="R377"/>
  <c r="Q377"/>
  <c r="P377"/>
  <c r="I377"/>
  <c r="H377"/>
  <c r="AJ376"/>
  <c r="U376"/>
  <c r="AN376" s="1"/>
  <c r="T376"/>
  <c r="N376"/>
  <c r="J376"/>
  <c r="AJ375"/>
  <c r="U375"/>
  <c r="AN375" s="1"/>
  <c r="AN374" s="1"/>
  <c r="AN373" s="1"/>
  <c r="T375"/>
  <c r="N375"/>
  <c r="J375"/>
  <c r="J374" s="1"/>
  <c r="J373" s="1"/>
  <c r="AS374"/>
  <c r="AS373" s="1"/>
  <c r="AR374"/>
  <c r="AR373" s="1"/>
  <c r="AK374"/>
  <c r="AI374"/>
  <c r="AI373" s="1"/>
  <c r="AG374"/>
  <c r="AG373" s="1"/>
  <c r="AF374"/>
  <c r="AF373" s="1"/>
  <c r="AE374"/>
  <c r="AE373" s="1"/>
  <c r="AD374"/>
  <c r="AC374"/>
  <c r="AC373" s="1"/>
  <c r="AB374"/>
  <c r="AB373" s="1"/>
  <c r="AA374"/>
  <c r="AA373" s="1"/>
  <c r="Z374"/>
  <c r="Z373" s="1"/>
  <c r="Y374"/>
  <c r="Y373" s="1"/>
  <c r="X374"/>
  <c r="X373" s="1"/>
  <c r="W374"/>
  <c r="W373" s="1"/>
  <c r="V374"/>
  <c r="V373" s="1"/>
  <c r="U374"/>
  <c r="U373" s="1"/>
  <c r="T374"/>
  <c r="T373" s="1"/>
  <c r="S374"/>
  <c r="S373" s="1"/>
  <c r="R374"/>
  <c r="R373" s="1"/>
  <c r="Q374"/>
  <c r="Q373" s="1"/>
  <c r="P374"/>
  <c r="P373" s="1"/>
  <c r="O374"/>
  <c r="O373" s="1"/>
  <c r="M374"/>
  <c r="L374"/>
  <c r="L373" s="1"/>
  <c r="K374"/>
  <c r="K373" s="1"/>
  <c r="I374"/>
  <c r="I373" s="1"/>
  <c r="H374"/>
  <c r="H373" s="1"/>
  <c r="AK373"/>
  <c r="AD373"/>
  <c r="M373"/>
  <c r="AJ372"/>
  <c r="U372"/>
  <c r="AN372" s="1"/>
  <c r="T372"/>
  <c r="N372"/>
  <c r="J372"/>
  <c r="AJ371"/>
  <c r="U371"/>
  <c r="AN371" s="1"/>
  <c r="AN370" s="1"/>
  <c r="AN369" s="1"/>
  <c r="T371"/>
  <c r="N371"/>
  <c r="J371"/>
  <c r="J370" s="1"/>
  <c r="J369" s="1"/>
  <c r="AS370"/>
  <c r="AS369" s="1"/>
  <c r="AR370"/>
  <c r="AR369" s="1"/>
  <c r="AK370"/>
  <c r="AK369" s="1"/>
  <c r="AI370"/>
  <c r="AI369" s="1"/>
  <c r="AG370"/>
  <c r="AF370"/>
  <c r="AF369" s="1"/>
  <c r="AE370"/>
  <c r="AE369" s="1"/>
  <c r="AD370"/>
  <c r="AD369" s="1"/>
  <c r="AC370"/>
  <c r="AC369" s="1"/>
  <c r="AB370"/>
  <c r="AB369" s="1"/>
  <c r="AA370"/>
  <c r="AA369" s="1"/>
  <c r="Z370"/>
  <c r="Z369" s="1"/>
  <c r="Y370"/>
  <c r="X370"/>
  <c r="X369" s="1"/>
  <c r="W370"/>
  <c r="W369" s="1"/>
  <c r="V370"/>
  <c r="V369" s="1"/>
  <c r="U370"/>
  <c r="U369" s="1"/>
  <c r="T370"/>
  <c r="T369" s="1"/>
  <c r="S370"/>
  <c r="S369" s="1"/>
  <c r="R370"/>
  <c r="R369" s="1"/>
  <c r="Q370"/>
  <c r="P370"/>
  <c r="P369" s="1"/>
  <c r="O370"/>
  <c r="O369" s="1"/>
  <c r="M370"/>
  <c r="M369" s="1"/>
  <c r="L370"/>
  <c r="L369" s="1"/>
  <c r="K370"/>
  <c r="K369" s="1"/>
  <c r="I370"/>
  <c r="I369" s="1"/>
  <c r="H370"/>
  <c r="H369" s="1"/>
  <c r="AG369"/>
  <c r="Y369"/>
  <c r="Q369"/>
  <c r="AO368"/>
  <c r="AL368"/>
  <c r="AJ367"/>
  <c r="AH367" s="1"/>
  <c r="U367"/>
  <c r="T367"/>
  <c r="AM367" s="1"/>
  <c r="AO367" s="1"/>
  <c r="O367"/>
  <c r="J367"/>
  <c r="AJ366"/>
  <c r="AI366"/>
  <c r="U366"/>
  <c r="T366"/>
  <c r="T365" s="1"/>
  <c r="T364" s="1"/>
  <c r="O366"/>
  <c r="N366"/>
  <c r="N365" s="1"/>
  <c r="N364" s="1"/>
  <c r="M366"/>
  <c r="M365" s="1"/>
  <c r="M364" s="1"/>
  <c r="J366"/>
  <c r="AS365"/>
  <c r="AS364" s="1"/>
  <c r="AR365"/>
  <c r="AR364" s="1"/>
  <c r="AK365"/>
  <c r="AK364" s="1"/>
  <c r="AG365"/>
  <c r="AG364" s="1"/>
  <c r="AF365"/>
  <c r="AF364" s="1"/>
  <c r="AE365"/>
  <c r="AE364" s="1"/>
  <c r="AD365"/>
  <c r="AD364" s="1"/>
  <c r="AC365"/>
  <c r="AC364" s="1"/>
  <c r="AB365"/>
  <c r="AB364" s="1"/>
  <c r="AA365"/>
  <c r="AA364" s="1"/>
  <c r="Z365"/>
  <c r="Z364" s="1"/>
  <c r="Y365"/>
  <c r="Y364" s="1"/>
  <c r="X365"/>
  <c r="X364" s="1"/>
  <c r="W365"/>
  <c r="W364" s="1"/>
  <c r="V365"/>
  <c r="V364" s="1"/>
  <c r="S365"/>
  <c r="R365"/>
  <c r="Q365"/>
  <c r="Q364" s="1"/>
  <c r="P365"/>
  <c r="P364" s="1"/>
  <c r="L365"/>
  <c r="L364" s="1"/>
  <c r="K365"/>
  <c r="K364" s="1"/>
  <c r="I365"/>
  <c r="I364" s="1"/>
  <c r="H365"/>
  <c r="H364" s="1"/>
  <c r="S364"/>
  <c r="R364"/>
  <c r="AJ363"/>
  <c r="AH363" s="1"/>
  <c r="U363"/>
  <c r="AN363" s="1"/>
  <c r="T363"/>
  <c r="N363"/>
  <c r="J363"/>
  <c r="AL362"/>
  <c r="AL361" s="1"/>
  <c r="AL360" s="1"/>
  <c r="AJ362"/>
  <c r="AJ361" s="1"/>
  <c r="AJ360" s="1"/>
  <c r="U362"/>
  <c r="T362"/>
  <c r="T361" s="1"/>
  <c r="T360" s="1"/>
  <c r="O362"/>
  <c r="AN362" s="1"/>
  <c r="AN361" s="1"/>
  <c r="AN360" s="1"/>
  <c r="N362"/>
  <c r="J362"/>
  <c r="J361" s="1"/>
  <c r="J360" s="1"/>
  <c r="AS361"/>
  <c r="AS360" s="1"/>
  <c r="AR361"/>
  <c r="AR360" s="1"/>
  <c r="AK361"/>
  <c r="AK360" s="1"/>
  <c r="AI361"/>
  <c r="AI360" s="1"/>
  <c r="AG361"/>
  <c r="AG360" s="1"/>
  <c r="AF361"/>
  <c r="AF360" s="1"/>
  <c r="AE361"/>
  <c r="AD361"/>
  <c r="AD360" s="1"/>
  <c r="AC361"/>
  <c r="AC360" s="1"/>
  <c r="AB361"/>
  <c r="AA361"/>
  <c r="Z361"/>
  <c r="Z360" s="1"/>
  <c r="Y361"/>
  <c r="Y360" s="1"/>
  <c r="X361"/>
  <c r="X360" s="1"/>
  <c r="W361"/>
  <c r="V361"/>
  <c r="V360" s="1"/>
  <c r="U361"/>
  <c r="U360" s="1"/>
  <c r="S361"/>
  <c r="R361"/>
  <c r="R360" s="1"/>
  <c r="Q361"/>
  <c r="Q360" s="1"/>
  <c r="P361"/>
  <c r="P360" s="1"/>
  <c r="M361"/>
  <c r="M360" s="1"/>
  <c r="L361"/>
  <c r="L360" s="1"/>
  <c r="K361"/>
  <c r="K360" s="1"/>
  <c r="I361"/>
  <c r="I360" s="1"/>
  <c r="H361"/>
  <c r="H360" s="1"/>
  <c r="AE360"/>
  <c r="AB360"/>
  <c r="AA360"/>
  <c r="W360"/>
  <c r="S360"/>
  <c r="AJ359"/>
  <c r="AH359" s="1"/>
  <c r="U359"/>
  <c r="AN359" s="1"/>
  <c r="T359"/>
  <c r="N359"/>
  <c r="J359"/>
  <c r="AJ358"/>
  <c r="AH358" s="1"/>
  <c r="U358"/>
  <c r="U357" s="1"/>
  <c r="U356" s="1"/>
  <c r="T358"/>
  <c r="T357" s="1"/>
  <c r="T356" s="1"/>
  <c r="O358"/>
  <c r="N358"/>
  <c r="K358"/>
  <c r="K357" s="1"/>
  <c r="K356" s="1"/>
  <c r="J358"/>
  <c r="J357" s="1"/>
  <c r="J356" s="1"/>
  <c r="AS357"/>
  <c r="AR357"/>
  <c r="AR356" s="1"/>
  <c r="AK357"/>
  <c r="AK356" s="1"/>
  <c r="AI357"/>
  <c r="AI356" s="1"/>
  <c r="AG357"/>
  <c r="AF357"/>
  <c r="AF356" s="1"/>
  <c r="AE357"/>
  <c r="AE356" s="1"/>
  <c r="AD357"/>
  <c r="AC357"/>
  <c r="AB357"/>
  <c r="AB356" s="1"/>
  <c r="AA357"/>
  <c r="AA356" s="1"/>
  <c r="Z357"/>
  <c r="Z356" s="1"/>
  <c r="Y357"/>
  <c r="X357"/>
  <c r="X356" s="1"/>
  <c r="W357"/>
  <c r="W356" s="1"/>
  <c r="V357"/>
  <c r="S357"/>
  <c r="S356" s="1"/>
  <c r="R357"/>
  <c r="R356" s="1"/>
  <c r="Q357"/>
  <c r="Q356" s="1"/>
  <c r="P357"/>
  <c r="P356" s="1"/>
  <c r="O357"/>
  <c r="O356" s="1"/>
  <c r="M357"/>
  <c r="M356" s="1"/>
  <c r="L357"/>
  <c r="L356" s="1"/>
  <c r="I357"/>
  <c r="I356" s="1"/>
  <c r="H357"/>
  <c r="H356" s="1"/>
  <c r="AS356"/>
  <c r="AG356"/>
  <c r="AD356"/>
  <c r="AC356"/>
  <c r="Y356"/>
  <c r="V356"/>
  <c r="AJ355"/>
  <c r="U355"/>
  <c r="AN355" s="1"/>
  <c r="T355"/>
  <c r="N355"/>
  <c r="J355"/>
  <c r="AJ354"/>
  <c r="U354"/>
  <c r="T354"/>
  <c r="O354"/>
  <c r="N354"/>
  <c r="AM354" s="1"/>
  <c r="AO354" s="1"/>
  <c r="J354"/>
  <c r="AJ353"/>
  <c r="AL353" s="1"/>
  <c r="AH353"/>
  <c r="U353"/>
  <c r="AN353" s="1"/>
  <c r="T353"/>
  <c r="O353"/>
  <c r="N353"/>
  <c r="J353"/>
  <c r="AJ352"/>
  <c r="AH352" s="1"/>
  <c r="U352"/>
  <c r="T352"/>
  <c r="O352"/>
  <c r="N352"/>
  <c r="J352"/>
  <c r="AJ351"/>
  <c r="AI351"/>
  <c r="U351"/>
  <c r="T351"/>
  <c r="O351"/>
  <c r="AN351" s="1"/>
  <c r="N351"/>
  <c r="J351"/>
  <c r="AJ350"/>
  <c r="AI350"/>
  <c r="AL350" s="1"/>
  <c r="U350"/>
  <c r="T350"/>
  <c r="O350"/>
  <c r="N350"/>
  <c r="M350"/>
  <c r="M348" s="1"/>
  <c r="M347" s="1"/>
  <c r="J350"/>
  <c r="AJ349"/>
  <c r="U349"/>
  <c r="T349"/>
  <c r="O349"/>
  <c r="N349"/>
  <c r="N348" s="1"/>
  <c r="N347" s="1"/>
  <c r="J349"/>
  <c r="AS348"/>
  <c r="AS347" s="1"/>
  <c r="AR348"/>
  <c r="AR347" s="1"/>
  <c r="AK348"/>
  <c r="AK347" s="1"/>
  <c r="AG348"/>
  <c r="AG347" s="1"/>
  <c r="AF348"/>
  <c r="AF347" s="1"/>
  <c r="AE348"/>
  <c r="AD348"/>
  <c r="AD347" s="1"/>
  <c r="AD346" s="1"/>
  <c r="AC348"/>
  <c r="AC347" s="1"/>
  <c r="AB348"/>
  <c r="AB347" s="1"/>
  <c r="AA348"/>
  <c r="Z348"/>
  <c r="Z347" s="1"/>
  <c r="Z346" s="1"/>
  <c r="Y348"/>
  <c r="Y347" s="1"/>
  <c r="X348"/>
  <c r="X347" s="1"/>
  <c r="W348"/>
  <c r="V348"/>
  <c r="V347" s="1"/>
  <c r="S348"/>
  <c r="S347" s="1"/>
  <c r="R348"/>
  <c r="Q348"/>
  <c r="Q347" s="1"/>
  <c r="P348"/>
  <c r="P347" s="1"/>
  <c r="L348"/>
  <c r="L347" s="1"/>
  <c r="K348"/>
  <c r="I348"/>
  <c r="I347" s="1"/>
  <c r="H348"/>
  <c r="H347" s="1"/>
  <c r="AE347"/>
  <c r="AA347"/>
  <c r="W347"/>
  <c r="R347"/>
  <c r="R346" s="1"/>
  <c r="K347"/>
  <c r="AL345"/>
  <c r="U345"/>
  <c r="AN345" s="1"/>
  <c r="T345"/>
  <c r="AM345" s="1"/>
  <c r="AO345" s="1"/>
  <c r="J345"/>
  <c r="AL344"/>
  <c r="AH344"/>
  <c r="AC344"/>
  <c r="W344"/>
  <c r="V344"/>
  <c r="T344" s="1"/>
  <c r="O344"/>
  <c r="N344"/>
  <c r="J344"/>
  <c r="AL343"/>
  <c r="AJ343"/>
  <c r="AH343" s="1"/>
  <c r="U343"/>
  <c r="AN343" s="1"/>
  <c r="T343"/>
  <c r="O343"/>
  <c r="N343"/>
  <c r="J343"/>
  <c r="AS342"/>
  <c r="AR342"/>
  <c r="AK342"/>
  <c r="AJ342"/>
  <c r="AI342"/>
  <c r="AG342"/>
  <c r="AF342"/>
  <c r="AE342"/>
  <c r="AD342"/>
  <c r="AC342"/>
  <c r="AB342"/>
  <c r="AA342"/>
  <c r="Z342"/>
  <c r="Y342"/>
  <c r="X342"/>
  <c r="V342"/>
  <c r="S342"/>
  <c r="R342"/>
  <c r="Q342"/>
  <c r="P342"/>
  <c r="M342"/>
  <c r="L342"/>
  <c r="K342"/>
  <c r="I342"/>
  <c r="H342"/>
  <c r="AL339"/>
  <c r="AH339"/>
  <c r="U339"/>
  <c r="AN339" s="1"/>
  <c r="T339"/>
  <c r="AM339" s="1"/>
  <c r="AO339" s="1"/>
  <c r="J339"/>
  <c r="AS338"/>
  <c r="AS336" s="1"/>
  <c r="Z338"/>
  <c r="Y338"/>
  <c r="U338" s="1"/>
  <c r="U336" s="1"/>
  <c r="X338"/>
  <c r="R338"/>
  <c r="AJ338" s="1"/>
  <c r="O338"/>
  <c r="M338"/>
  <c r="L338"/>
  <c r="L336" s="1"/>
  <c r="J338"/>
  <c r="J336" s="1"/>
  <c r="AR336"/>
  <c r="AK336"/>
  <c r="AI336"/>
  <c r="AG336"/>
  <c r="AF336"/>
  <c r="AE336"/>
  <c r="AD336"/>
  <c r="AC336"/>
  <c r="AB336"/>
  <c r="AA336"/>
  <c r="Z336"/>
  <c r="Y336"/>
  <c r="W336"/>
  <c r="V336"/>
  <c r="S336"/>
  <c r="Q336"/>
  <c r="P336"/>
  <c r="O336"/>
  <c r="M336"/>
  <c r="K336"/>
  <c r="I336"/>
  <c r="H336"/>
  <c r="AM335"/>
  <c r="AP335" s="1"/>
  <c r="AQ335" s="1"/>
  <c r="AL335"/>
  <c r="U335"/>
  <c r="AN335" s="1"/>
  <c r="AJ334"/>
  <c r="AI334"/>
  <c r="U334"/>
  <c r="T334"/>
  <c r="N334"/>
  <c r="AM334" s="1"/>
  <c r="AS333"/>
  <c r="AR333"/>
  <c r="AK333"/>
  <c r="AJ333"/>
  <c r="AG333"/>
  <c r="AF333"/>
  <c r="AE333"/>
  <c r="AD333"/>
  <c r="AC333"/>
  <c r="AB333"/>
  <c r="AA333"/>
  <c r="Z333"/>
  <c r="Y333"/>
  <c r="X333"/>
  <c r="W333"/>
  <c r="V333"/>
  <c r="T333"/>
  <c r="S333"/>
  <c r="R333"/>
  <c r="Q333"/>
  <c r="P333"/>
  <c r="O333"/>
  <c r="M333"/>
  <c r="L333"/>
  <c r="K333"/>
  <c r="J333"/>
  <c r="I333"/>
  <c r="H333"/>
  <c r="AL332"/>
  <c r="AL331" s="1"/>
  <c r="AJ332"/>
  <c r="AH332" s="1"/>
  <c r="AH331" s="1"/>
  <c r="U332"/>
  <c r="U331" s="1"/>
  <c r="T332"/>
  <c r="N332"/>
  <c r="J332"/>
  <c r="AS331"/>
  <c r="AS330" s="1"/>
  <c r="AR331"/>
  <c r="AR330" s="1"/>
  <c r="AK331"/>
  <c r="AK330" s="1"/>
  <c r="AI331"/>
  <c r="AG331"/>
  <c r="AF331"/>
  <c r="AE331"/>
  <c r="AD331"/>
  <c r="AD330" s="1"/>
  <c r="AC331"/>
  <c r="AB331"/>
  <c r="AA331"/>
  <c r="AA330" s="1"/>
  <c r="Z331"/>
  <c r="Y331"/>
  <c r="X331"/>
  <c r="W331"/>
  <c r="W330" s="1"/>
  <c r="V331"/>
  <c r="V330" s="1"/>
  <c r="S331"/>
  <c r="S330" s="1"/>
  <c r="R331"/>
  <c r="R330" s="1"/>
  <c r="Q331"/>
  <c r="P331"/>
  <c r="O331"/>
  <c r="O330" s="1"/>
  <c r="N331"/>
  <c r="M331"/>
  <c r="M330" s="1"/>
  <c r="L331"/>
  <c r="L330" s="1"/>
  <c r="K331"/>
  <c r="J331"/>
  <c r="I331"/>
  <c r="I330" s="1"/>
  <c r="H331"/>
  <c r="H330" s="1"/>
  <c r="AE330"/>
  <c r="K330"/>
  <c r="AM329"/>
  <c r="AL329"/>
  <c r="U329"/>
  <c r="AN329" s="1"/>
  <c r="AH328"/>
  <c r="Y328"/>
  <c r="X328"/>
  <c r="AJ328" s="1"/>
  <c r="AL328" s="1"/>
  <c r="U328"/>
  <c r="T328"/>
  <c r="O328"/>
  <c r="N328"/>
  <c r="J328"/>
  <c r="AO322"/>
  <c r="AL322"/>
  <c r="AO321"/>
  <c r="AL321"/>
  <c r="AO320"/>
  <c r="AL320"/>
  <c r="AO319"/>
  <c r="AL319"/>
  <c r="AO318"/>
  <c r="AL318"/>
  <c r="AO317"/>
  <c r="AL317"/>
  <c r="AO316"/>
  <c r="AL316"/>
  <c r="AO315"/>
  <c r="AL315"/>
  <c r="AO314"/>
  <c r="AL314"/>
  <c r="AJ312"/>
  <c r="U312"/>
  <c r="T312"/>
  <c r="AM312" s="1"/>
  <c r="AO312" s="1"/>
  <c r="O312"/>
  <c r="J312"/>
  <c r="AJ311"/>
  <c r="U311"/>
  <c r="T311"/>
  <c r="AM311" s="1"/>
  <c r="AO311" s="1"/>
  <c r="O311"/>
  <c r="J311"/>
  <c r="AJ310"/>
  <c r="AH310" s="1"/>
  <c r="U310"/>
  <c r="T310"/>
  <c r="O310"/>
  <c r="N310"/>
  <c r="J310"/>
  <c r="AJ309"/>
  <c r="AH309" s="1"/>
  <c r="U309"/>
  <c r="T309"/>
  <c r="O309"/>
  <c r="N309"/>
  <c r="J309"/>
  <c r="AJ308"/>
  <c r="U308"/>
  <c r="T308"/>
  <c r="O308"/>
  <c r="N308"/>
  <c r="AM308" s="1"/>
  <c r="J308"/>
  <c r="AS307"/>
  <c r="AR307"/>
  <c r="AK307"/>
  <c r="AI307"/>
  <c r="AG307"/>
  <c r="AF307"/>
  <c r="AE307"/>
  <c r="AD307"/>
  <c r="AC307"/>
  <c r="AB307"/>
  <c r="AA307"/>
  <c r="Z307"/>
  <c r="Y307"/>
  <c r="X307"/>
  <c r="W307"/>
  <c r="V307"/>
  <c r="S307"/>
  <c r="R307"/>
  <c r="Q307"/>
  <c r="P307"/>
  <c r="M307"/>
  <c r="L307"/>
  <c r="K307"/>
  <c r="I307"/>
  <c r="H307"/>
  <c r="AJ306"/>
  <c r="AL306" s="1"/>
  <c r="U306"/>
  <c r="T306"/>
  <c r="O306"/>
  <c r="N306"/>
  <c r="J306"/>
  <c r="AJ305"/>
  <c r="U305"/>
  <c r="T305"/>
  <c r="AM305" s="1"/>
  <c r="AO305" s="1"/>
  <c r="O305"/>
  <c r="J305"/>
  <c r="AJ304"/>
  <c r="AL304" s="1"/>
  <c r="U304"/>
  <c r="T304"/>
  <c r="AM304" s="1"/>
  <c r="AO304" s="1"/>
  <c r="O304"/>
  <c r="J304"/>
  <c r="AM303"/>
  <c r="AO303" s="1"/>
  <c r="AL303"/>
  <c r="AH303"/>
  <c r="AP303" s="1"/>
  <c r="AQ303" s="1"/>
  <c r="U303"/>
  <c r="O303"/>
  <c r="AJ302"/>
  <c r="U302"/>
  <c r="T302"/>
  <c r="AM302" s="1"/>
  <c r="AO302" s="1"/>
  <c r="O302"/>
  <c r="J302"/>
  <c r="AJ301"/>
  <c r="AL301" s="1"/>
  <c r="U301"/>
  <c r="T301"/>
  <c r="AM301" s="1"/>
  <c r="AO301" s="1"/>
  <c r="O301"/>
  <c r="AN301" s="1"/>
  <c r="J301"/>
  <c r="AJ300"/>
  <c r="U300"/>
  <c r="T300"/>
  <c r="AM300" s="1"/>
  <c r="AO300" s="1"/>
  <c r="O300"/>
  <c r="J300"/>
  <c r="AL299"/>
  <c r="AJ299"/>
  <c r="AH299" s="1"/>
  <c r="U299"/>
  <c r="T299"/>
  <c r="AM299" s="1"/>
  <c r="AO299" s="1"/>
  <c r="O299"/>
  <c r="J299"/>
  <c r="AJ298"/>
  <c r="U298"/>
  <c r="T298"/>
  <c r="AM298" s="1"/>
  <c r="AO298" s="1"/>
  <c r="O298"/>
  <c r="J298"/>
  <c r="AJ297"/>
  <c r="AL297" s="1"/>
  <c r="U297"/>
  <c r="T297"/>
  <c r="AM297" s="1"/>
  <c r="AO297" s="1"/>
  <c r="O297"/>
  <c r="AN297" s="1"/>
  <c r="J297"/>
  <c r="AJ296"/>
  <c r="U296"/>
  <c r="T296"/>
  <c r="AM296" s="1"/>
  <c r="AO296" s="1"/>
  <c r="O296"/>
  <c r="J296"/>
  <c r="AJ295"/>
  <c r="AL295" s="1"/>
  <c r="U295"/>
  <c r="T295"/>
  <c r="AM295" s="1"/>
  <c r="AO295" s="1"/>
  <c r="O295"/>
  <c r="J295"/>
  <c r="AO294"/>
  <c r="AM294"/>
  <c r="AL294"/>
  <c r="AH294"/>
  <c r="AP294" s="1"/>
  <c r="AQ294" s="1"/>
  <c r="U294"/>
  <c r="AN294" s="1"/>
  <c r="O294"/>
  <c r="AJ293"/>
  <c r="U293"/>
  <c r="T293"/>
  <c r="AM293" s="1"/>
  <c r="AO293" s="1"/>
  <c r="O293"/>
  <c r="J293"/>
  <c r="AO292"/>
  <c r="AM292"/>
  <c r="AL292"/>
  <c r="AH292"/>
  <c r="AP292" s="1"/>
  <c r="AQ292" s="1"/>
  <c r="U292"/>
  <c r="O292"/>
  <c r="AM291"/>
  <c r="AO291" s="1"/>
  <c r="AL291"/>
  <c r="AH291"/>
  <c r="U291"/>
  <c r="O291"/>
  <c r="AM290"/>
  <c r="AO290" s="1"/>
  <c r="AJ290"/>
  <c r="U290"/>
  <c r="T290"/>
  <c r="O290"/>
  <c r="N290"/>
  <c r="J290"/>
  <c r="AJ289"/>
  <c r="AH289" s="1"/>
  <c r="U289"/>
  <c r="T289"/>
  <c r="O289"/>
  <c r="N289"/>
  <c r="J289"/>
  <c r="AJ288"/>
  <c r="U288"/>
  <c r="T288"/>
  <c r="O288"/>
  <c r="N288"/>
  <c r="J288"/>
  <c r="AJ287"/>
  <c r="AL287" s="1"/>
  <c r="U287"/>
  <c r="T287"/>
  <c r="O287"/>
  <c r="N287"/>
  <c r="J287"/>
  <c r="AJ286"/>
  <c r="AL286" s="1"/>
  <c r="U286"/>
  <c r="T286"/>
  <c r="O286"/>
  <c r="N286"/>
  <c r="J286"/>
  <c r="AJ285"/>
  <c r="AL285" s="1"/>
  <c r="U285"/>
  <c r="T285"/>
  <c r="O285"/>
  <c r="N285"/>
  <c r="J285"/>
  <c r="AJ284"/>
  <c r="AH284" s="1"/>
  <c r="U284"/>
  <c r="T284"/>
  <c r="AM284" s="1"/>
  <c r="AO284" s="1"/>
  <c r="O284"/>
  <c r="N284"/>
  <c r="J284"/>
  <c r="AJ283"/>
  <c r="U283"/>
  <c r="T283"/>
  <c r="O283"/>
  <c r="N283"/>
  <c r="J283"/>
  <c r="AJ282"/>
  <c r="U282"/>
  <c r="T282"/>
  <c r="O282"/>
  <c r="N282"/>
  <c r="J282"/>
  <c r="AJ281"/>
  <c r="U281"/>
  <c r="T281"/>
  <c r="O281"/>
  <c r="N281"/>
  <c r="J281"/>
  <c r="AJ280"/>
  <c r="AL280" s="1"/>
  <c r="U280"/>
  <c r="T280"/>
  <c r="O280"/>
  <c r="N280"/>
  <c r="J280"/>
  <c r="AJ279"/>
  <c r="AL279" s="1"/>
  <c r="U279"/>
  <c r="T279"/>
  <c r="O279"/>
  <c r="AN279" s="1"/>
  <c r="N279"/>
  <c r="J279"/>
  <c r="AS278"/>
  <c r="AR278"/>
  <c r="AR277" s="1"/>
  <c r="AK278"/>
  <c r="AI278"/>
  <c r="AG278"/>
  <c r="AF278"/>
  <c r="AE278"/>
  <c r="AD278"/>
  <c r="AC278"/>
  <c r="AB278"/>
  <c r="AA278"/>
  <c r="Z278"/>
  <c r="Y278"/>
  <c r="X278"/>
  <c r="W278"/>
  <c r="V278"/>
  <c r="S278"/>
  <c r="R278"/>
  <c r="Q278"/>
  <c r="P278"/>
  <c r="M278"/>
  <c r="L278"/>
  <c r="L277" s="1"/>
  <c r="K278"/>
  <c r="K277" s="1"/>
  <c r="I278"/>
  <c r="H278"/>
  <c r="AS277"/>
  <c r="AC277"/>
  <c r="Y277"/>
  <c r="P277"/>
  <c r="M277"/>
  <c r="H277"/>
  <c r="AO276"/>
  <c r="AM276"/>
  <c r="AP276" s="1"/>
  <c r="AQ276" s="1"/>
  <c r="AL276"/>
  <c r="U276"/>
  <c r="AN276" s="1"/>
  <c r="AO270"/>
  <c r="AL270"/>
  <c r="AO269"/>
  <c r="AL269"/>
  <c r="AN268"/>
  <c r="AN265" s="1"/>
  <c r="AJ268"/>
  <c r="AL268" s="1"/>
  <c r="U268"/>
  <c r="U265" s="1"/>
  <c r="T268"/>
  <c r="T265" s="1"/>
  <c r="O268"/>
  <c r="N268"/>
  <c r="J268"/>
  <c r="J265" s="1"/>
  <c r="AO267"/>
  <c r="AL267"/>
  <c r="AO266"/>
  <c r="AL266"/>
  <c r="AS265"/>
  <c r="AS260" s="1"/>
  <c r="AR265"/>
  <c r="AK265"/>
  <c r="AI265"/>
  <c r="AG265"/>
  <c r="AF265"/>
  <c r="AE265"/>
  <c r="AD265"/>
  <c r="AC265"/>
  <c r="AB265"/>
  <c r="AA265"/>
  <c r="Z265"/>
  <c r="Y265"/>
  <c r="X265"/>
  <c r="W265"/>
  <c r="V265"/>
  <c r="S265"/>
  <c r="R265"/>
  <c r="Q265"/>
  <c r="P265"/>
  <c r="O265"/>
  <c r="M265"/>
  <c r="L265"/>
  <c r="K265"/>
  <c r="I265"/>
  <c r="H265"/>
  <c r="AJ264"/>
  <c r="AL264" s="1"/>
  <c r="AH264"/>
  <c r="U264"/>
  <c r="T264"/>
  <c r="O264"/>
  <c r="N264"/>
  <c r="AM264" s="1"/>
  <c r="J264"/>
  <c r="AJ263"/>
  <c r="U263"/>
  <c r="T263"/>
  <c r="AM263" s="1"/>
  <c r="AO263" s="1"/>
  <c r="O263"/>
  <c r="J263"/>
  <c r="AJ262"/>
  <c r="U262"/>
  <c r="T262"/>
  <c r="O262"/>
  <c r="N262"/>
  <c r="J262"/>
  <c r="AS261"/>
  <c r="AR261"/>
  <c r="AK261"/>
  <c r="AK260" s="1"/>
  <c r="AI261"/>
  <c r="AG261"/>
  <c r="AF261"/>
  <c r="AE261"/>
  <c r="AD261"/>
  <c r="AC261"/>
  <c r="AB261"/>
  <c r="AB260" s="1"/>
  <c r="AA261"/>
  <c r="Z261"/>
  <c r="Y261"/>
  <c r="X261"/>
  <c r="W261"/>
  <c r="V261"/>
  <c r="S261"/>
  <c r="R261"/>
  <c r="Q261"/>
  <c r="Q260" s="1"/>
  <c r="P261"/>
  <c r="M261"/>
  <c r="L261"/>
  <c r="K261"/>
  <c r="I261"/>
  <c r="H261"/>
  <c r="AR260"/>
  <c r="AF260"/>
  <c r="X260"/>
  <c r="M260"/>
  <c r="AO259"/>
  <c r="AM259"/>
  <c r="AP259" s="1"/>
  <c r="AQ259" s="1"/>
  <c r="AL259"/>
  <c r="U259"/>
  <c r="AN259" s="1"/>
  <c r="AM258"/>
  <c r="AO258" s="1"/>
  <c r="AL258"/>
  <c r="AH258"/>
  <c r="U258"/>
  <c r="AN258" s="1"/>
  <c r="AO257"/>
  <c r="AL257"/>
  <c r="AJ256"/>
  <c r="AJ255" s="1"/>
  <c r="U256"/>
  <c r="U255" s="1"/>
  <c r="T256"/>
  <c r="O256"/>
  <c r="N256"/>
  <c r="N255" s="1"/>
  <c r="J256"/>
  <c r="J255" s="1"/>
  <c r="AS255"/>
  <c r="AR255"/>
  <c r="AK255"/>
  <c r="AI255"/>
  <c r="AG255"/>
  <c r="AF255"/>
  <c r="AF246" s="1"/>
  <c r="AE255"/>
  <c r="AD255"/>
  <c r="AC255"/>
  <c r="AB255"/>
  <c r="AA255"/>
  <c r="Z255"/>
  <c r="Y255"/>
  <c r="X255"/>
  <c r="X246" s="1"/>
  <c r="W255"/>
  <c r="V255"/>
  <c r="S255"/>
  <c r="R255"/>
  <c r="Q255"/>
  <c r="P255"/>
  <c r="M255"/>
  <c r="L255"/>
  <c r="K255"/>
  <c r="I255"/>
  <c r="H255"/>
  <c r="AM254"/>
  <c r="AO254" s="1"/>
  <c r="AL254"/>
  <c r="AH254"/>
  <c r="U254"/>
  <c r="AN254" s="1"/>
  <c r="AM253"/>
  <c r="AO253" s="1"/>
  <c r="AL253"/>
  <c r="AH253"/>
  <c r="U253"/>
  <c r="AN253" s="1"/>
  <c r="AN252"/>
  <c r="AJ252"/>
  <c r="U252"/>
  <c r="T252"/>
  <c r="AM252" s="1"/>
  <c r="AO252" s="1"/>
  <c r="J252"/>
  <c r="AJ251"/>
  <c r="AL251" s="1"/>
  <c r="U251"/>
  <c r="AN251" s="1"/>
  <c r="T251"/>
  <c r="AM251" s="1"/>
  <c r="AO251" s="1"/>
  <c r="J251"/>
  <c r="AJ250"/>
  <c r="AL250" s="1"/>
  <c r="U250"/>
  <c r="AN250" s="1"/>
  <c r="T250"/>
  <c r="AM250" s="1"/>
  <c r="J250"/>
  <c r="AL249"/>
  <c r="AJ249"/>
  <c r="AH249" s="1"/>
  <c r="U249"/>
  <c r="T249"/>
  <c r="O249"/>
  <c r="AN249" s="1"/>
  <c r="N249"/>
  <c r="J249"/>
  <c r="AJ248"/>
  <c r="AH248" s="1"/>
  <c r="U248"/>
  <c r="T248"/>
  <c r="O248"/>
  <c r="N248"/>
  <c r="N247" s="1"/>
  <c r="J248"/>
  <c r="AS247"/>
  <c r="AR247"/>
  <c r="AR246" s="1"/>
  <c r="AK247"/>
  <c r="AI247"/>
  <c r="AG247"/>
  <c r="AG246" s="1"/>
  <c r="AF247"/>
  <c r="AE247"/>
  <c r="AD247"/>
  <c r="AD246" s="1"/>
  <c r="AC247"/>
  <c r="AC246" s="1"/>
  <c r="AB247"/>
  <c r="AA247"/>
  <c r="Z247"/>
  <c r="Z246" s="1"/>
  <c r="Y247"/>
  <c r="Y246" s="1"/>
  <c r="X247"/>
  <c r="W247"/>
  <c r="V247"/>
  <c r="V246" s="1"/>
  <c r="S247"/>
  <c r="S246" s="1"/>
  <c r="R247"/>
  <c r="Q247"/>
  <c r="Q246" s="1"/>
  <c r="P247"/>
  <c r="M247"/>
  <c r="L247"/>
  <c r="K247"/>
  <c r="K246" s="1"/>
  <c r="I247"/>
  <c r="I246" s="1"/>
  <c r="H247"/>
  <c r="H246" s="1"/>
  <c r="AI246"/>
  <c r="P246"/>
  <c r="L246"/>
  <c r="AM245"/>
  <c r="AP245" s="1"/>
  <c r="AQ245" s="1"/>
  <c r="AL245"/>
  <c r="U245"/>
  <c r="AN245" s="1"/>
  <c r="AL244"/>
  <c r="AJ244"/>
  <c r="AH244" s="1"/>
  <c r="U244"/>
  <c r="T244"/>
  <c r="O244"/>
  <c r="N244"/>
  <c r="AM244" s="1"/>
  <c r="M244"/>
  <c r="M241" s="1"/>
  <c r="M240" s="1"/>
  <c r="L244"/>
  <c r="L241" s="1"/>
  <c r="L240" s="1"/>
  <c r="J244"/>
  <c r="AJ243"/>
  <c r="U243"/>
  <c r="T243"/>
  <c r="O243"/>
  <c r="N243"/>
  <c r="J243"/>
  <c r="AJ242"/>
  <c r="AL242" s="1"/>
  <c r="U242"/>
  <c r="T242"/>
  <c r="O242"/>
  <c r="N242"/>
  <c r="AM242" s="1"/>
  <c r="J242"/>
  <c r="AS241"/>
  <c r="AS240" s="1"/>
  <c r="AR241"/>
  <c r="AR240" s="1"/>
  <c r="AK241"/>
  <c r="AK240" s="1"/>
  <c r="AI241"/>
  <c r="AG241"/>
  <c r="AG240" s="1"/>
  <c r="AF241"/>
  <c r="AE241"/>
  <c r="AD241"/>
  <c r="AD240" s="1"/>
  <c r="AC241"/>
  <c r="AC240" s="1"/>
  <c r="AB241"/>
  <c r="AB240" s="1"/>
  <c r="AA241"/>
  <c r="AA240" s="1"/>
  <c r="Z241"/>
  <c r="Z240" s="1"/>
  <c r="Y241"/>
  <c r="Y240" s="1"/>
  <c r="X241"/>
  <c r="W241"/>
  <c r="V241"/>
  <c r="V240" s="1"/>
  <c r="S241"/>
  <c r="S240" s="1"/>
  <c r="R241"/>
  <c r="R240" s="1"/>
  <c r="Q241"/>
  <c r="Q240" s="1"/>
  <c r="P241"/>
  <c r="P240" s="1"/>
  <c r="K241"/>
  <c r="K240" s="1"/>
  <c r="I241"/>
  <c r="I240" s="1"/>
  <c r="H241"/>
  <c r="AI240"/>
  <c r="AF240"/>
  <c r="AE240"/>
  <c r="X240"/>
  <c r="W240"/>
  <c r="H240"/>
  <c r="AJ239"/>
  <c r="AL239" s="1"/>
  <c r="U239"/>
  <c r="AN239" s="1"/>
  <c r="T239"/>
  <c r="N239"/>
  <c r="AM239" s="1"/>
  <c r="AO239" s="1"/>
  <c r="J239"/>
  <c r="AJ238"/>
  <c r="AL238" s="1"/>
  <c r="U238"/>
  <c r="T238"/>
  <c r="O238"/>
  <c r="N238"/>
  <c r="J238"/>
  <c r="AJ237"/>
  <c r="U237"/>
  <c r="T237"/>
  <c r="O237"/>
  <c r="N237"/>
  <c r="J237"/>
  <c r="AJ236"/>
  <c r="AH236" s="1"/>
  <c r="U236"/>
  <c r="T236"/>
  <c r="O236"/>
  <c r="N236"/>
  <c r="J236"/>
  <c r="AL235"/>
  <c r="AJ235"/>
  <c r="AH235"/>
  <c r="U235"/>
  <c r="AN235" s="1"/>
  <c r="T235"/>
  <c r="O235"/>
  <c r="N235"/>
  <c r="J235"/>
  <c r="AJ234"/>
  <c r="AL234" s="1"/>
  <c r="AH234"/>
  <c r="U234"/>
  <c r="AN234" s="1"/>
  <c r="T234"/>
  <c r="O234"/>
  <c r="N234"/>
  <c r="K234"/>
  <c r="J234"/>
  <c r="AJ233"/>
  <c r="AH233" s="1"/>
  <c r="U233"/>
  <c r="T233"/>
  <c r="O233"/>
  <c r="N233"/>
  <c r="J233"/>
  <c r="AJ232"/>
  <c r="AL232" s="1"/>
  <c r="U232"/>
  <c r="T232"/>
  <c r="O232"/>
  <c r="N232"/>
  <c r="J232"/>
  <c r="AJ231"/>
  <c r="AL231" s="1"/>
  <c r="U231"/>
  <c r="T231"/>
  <c r="O231"/>
  <c r="N231"/>
  <c r="J231"/>
  <c r="AS230"/>
  <c r="AR230"/>
  <c r="AR229" s="1"/>
  <c r="AK230"/>
  <c r="AK229" s="1"/>
  <c r="AI230"/>
  <c r="AI229" s="1"/>
  <c r="AG230"/>
  <c r="AF230"/>
  <c r="AF229" s="1"/>
  <c r="AE230"/>
  <c r="AE229" s="1"/>
  <c r="AD230"/>
  <c r="AD229" s="1"/>
  <c r="AC230"/>
  <c r="AB230"/>
  <c r="AB229" s="1"/>
  <c r="AA230"/>
  <c r="AA229" s="1"/>
  <c r="Z230"/>
  <c r="Z229" s="1"/>
  <c r="Y230"/>
  <c r="X230"/>
  <c r="X229" s="1"/>
  <c r="W230"/>
  <c r="W229" s="1"/>
  <c r="V230"/>
  <c r="V229" s="1"/>
  <c r="S230"/>
  <c r="S229" s="1"/>
  <c r="R230"/>
  <c r="R229" s="1"/>
  <c r="Q230"/>
  <c r="Q229" s="1"/>
  <c r="P230"/>
  <c r="P229" s="1"/>
  <c r="M230"/>
  <c r="L230"/>
  <c r="K230"/>
  <c r="K229" s="1"/>
  <c r="I230"/>
  <c r="H230"/>
  <c r="AS229"/>
  <c r="AG229"/>
  <c r="AC229"/>
  <c r="Y229"/>
  <c r="M229"/>
  <c r="L229"/>
  <c r="I229"/>
  <c r="H229"/>
  <c r="AJ228"/>
  <c r="U228"/>
  <c r="AN228" s="1"/>
  <c r="N228"/>
  <c r="AM228" s="1"/>
  <c r="AO228" s="1"/>
  <c r="J228"/>
  <c r="AS227"/>
  <c r="AO227"/>
  <c r="AL227"/>
  <c r="AO226"/>
  <c r="AL226"/>
  <c r="AS225"/>
  <c r="AO225"/>
  <c r="AL225"/>
  <c r="AS224"/>
  <c r="AO224"/>
  <c r="AL224"/>
  <c r="AS223"/>
  <c r="AO223"/>
  <c r="AL223"/>
  <c r="AR222"/>
  <c r="AQ222"/>
  <c r="AP222"/>
  <c r="AN222"/>
  <c r="AM222"/>
  <c r="AK222"/>
  <c r="AJ222"/>
  <c r="AI222"/>
  <c r="AH222"/>
  <c r="AG222"/>
  <c r="AF222"/>
  <c r="AE222"/>
  <c r="AD222"/>
  <c r="AC222"/>
  <c r="AB222"/>
  <c r="AA222"/>
  <c r="Z222"/>
  <c r="Y222"/>
  <c r="X222"/>
  <c r="W222"/>
  <c r="V222"/>
  <c r="U222"/>
  <c r="T222"/>
  <c r="S222"/>
  <c r="R222"/>
  <c r="Q222"/>
  <c r="P222"/>
  <c r="O222"/>
  <c r="N222"/>
  <c r="M222"/>
  <c r="L222"/>
  <c r="K222"/>
  <c r="J222"/>
  <c r="I222"/>
  <c r="H222"/>
  <c r="AM221"/>
  <c r="AP221" s="1"/>
  <c r="AQ221" s="1"/>
  <c r="AL221"/>
  <c r="U221"/>
  <c r="AN221" s="1"/>
  <c r="AU220"/>
  <c r="AS220"/>
  <c r="AS214" s="1"/>
  <c r="AQ220"/>
  <c r="AP220"/>
  <c r="AO220"/>
  <c r="AN220"/>
  <c r="AM220"/>
  <c r="AL220"/>
  <c r="AK220"/>
  <c r="AK214" s="1"/>
  <c r="AJ220"/>
  <c r="AI220"/>
  <c r="AH220"/>
  <c r="AG220"/>
  <c r="AG214" s="1"/>
  <c r="AF220"/>
  <c r="AE220"/>
  <c r="AD220"/>
  <c r="AC220"/>
  <c r="AC214" s="1"/>
  <c r="AB220"/>
  <c r="AA220"/>
  <c r="Z220"/>
  <c r="Y220"/>
  <c r="Y214" s="1"/>
  <c r="X220"/>
  <c r="X214" s="1"/>
  <c r="W220"/>
  <c r="V220"/>
  <c r="U220"/>
  <c r="T220"/>
  <c r="S220"/>
  <c r="R220"/>
  <c r="Q220"/>
  <c r="Q214" s="1"/>
  <c r="P220"/>
  <c r="P214" s="1"/>
  <c r="O220"/>
  <c r="N220"/>
  <c r="M220"/>
  <c r="M214" s="1"/>
  <c r="L220"/>
  <c r="K220"/>
  <c r="J220"/>
  <c r="I220"/>
  <c r="I214" s="1"/>
  <c r="AJ219"/>
  <c r="U219"/>
  <c r="T219"/>
  <c r="AM219" s="1"/>
  <c r="AO219" s="1"/>
  <c r="O219"/>
  <c r="AN219" s="1"/>
  <c r="J219"/>
  <c r="AM218"/>
  <c r="AO218" s="1"/>
  <c r="AL218"/>
  <c r="AH218"/>
  <c r="AP218" s="1"/>
  <c r="AQ218" s="1"/>
  <c r="U218"/>
  <c r="O218"/>
  <c r="J218"/>
  <c r="AL217"/>
  <c r="AJ217"/>
  <c r="AH217" s="1"/>
  <c r="U217"/>
  <c r="T217"/>
  <c r="O217"/>
  <c r="AN217" s="1"/>
  <c r="N217"/>
  <c r="J217"/>
  <c r="AL216"/>
  <c r="AJ216"/>
  <c r="AH216" s="1"/>
  <c r="U216"/>
  <c r="T216"/>
  <c r="O216"/>
  <c r="N216"/>
  <c r="AM216" s="1"/>
  <c r="AO216" s="1"/>
  <c r="J216"/>
  <c r="AJ215"/>
  <c r="AL215" s="1"/>
  <c r="U215"/>
  <c r="T215"/>
  <c r="O215"/>
  <c r="N215"/>
  <c r="J215"/>
  <c r="AR214"/>
  <c r="AI214"/>
  <c r="AF214"/>
  <c r="AE214"/>
  <c r="AD214"/>
  <c r="AB214"/>
  <c r="AA214"/>
  <c r="Z214"/>
  <c r="W214"/>
  <c r="V214"/>
  <c r="S214"/>
  <c r="R214"/>
  <c r="L214"/>
  <c r="K214"/>
  <c r="H214"/>
  <c r="AJ213"/>
  <c r="AL213" s="1"/>
  <c r="U213"/>
  <c r="T213"/>
  <c r="O213"/>
  <c r="N213"/>
  <c r="J213"/>
  <c r="AU212"/>
  <c r="AS212"/>
  <c r="AS205" s="1"/>
  <c r="AS204" s="1"/>
  <c r="AU122" s="1"/>
  <c r="AR212"/>
  <c r="AQ212"/>
  <c r="AP212"/>
  <c r="AO212"/>
  <c r="AN212"/>
  <c r="AM212"/>
  <c r="AL212"/>
  <c r="AK212"/>
  <c r="AK205" s="1"/>
  <c r="AK204" s="1"/>
  <c r="AJ212"/>
  <c r="AI212"/>
  <c r="AH212"/>
  <c r="AG212"/>
  <c r="AG205" s="1"/>
  <c r="AG204" s="1"/>
  <c r="AF212"/>
  <c r="AE212"/>
  <c r="AD212"/>
  <c r="AD205" s="1"/>
  <c r="AD204" s="1"/>
  <c r="AC212"/>
  <c r="AC205" s="1"/>
  <c r="AB212"/>
  <c r="AB205" s="1"/>
  <c r="AA212"/>
  <c r="Z212"/>
  <c r="Z205" s="1"/>
  <c r="Z204" s="1"/>
  <c r="Y212"/>
  <c r="Y205" s="1"/>
  <c r="Y204" s="1"/>
  <c r="X212"/>
  <c r="X205" s="1"/>
  <c r="W212"/>
  <c r="V212"/>
  <c r="V205" s="1"/>
  <c r="U212"/>
  <c r="T212"/>
  <c r="S212"/>
  <c r="R212"/>
  <c r="R205" s="1"/>
  <c r="R204" s="1"/>
  <c r="Q212"/>
  <c r="Q205" s="1"/>
  <c r="Q204" s="1"/>
  <c r="P212"/>
  <c r="P205" s="1"/>
  <c r="O212"/>
  <c r="N212"/>
  <c r="M212"/>
  <c r="M205" s="1"/>
  <c r="M204" s="1"/>
  <c r="L212"/>
  <c r="L205" s="1"/>
  <c r="K212"/>
  <c r="J212"/>
  <c r="I212"/>
  <c r="I205" s="1"/>
  <c r="I204" s="1"/>
  <c r="H212"/>
  <c r="H205" s="1"/>
  <c r="H204" s="1"/>
  <c r="AJ211"/>
  <c r="AH211" s="1"/>
  <c r="U211"/>
  <c r="T211"/>
  <c r="O211"/>
  <c r="N211"/>
  <c r="J211"/>
  <c r="AJ210"/>
  <c r="U210"/>
  <c r="T210"/>
  <c r="O210"/>
  <c r="N210"/>
  <c r="AM210" s="1"/>
  <c r="AO210" s="1"/>
  <c r="J210"/>
  <c r="AJ209"/>
  <c r="AL209" s="1"/>
  <c r="U209"/>
  <c r="T209"/>
  <c r="O209"/>
  <c r="AN209" s="1"/>
  <c r="N209"/>
  <c r="J209"/>
  <c r="AJ208"/>
  <c r="U208"/>
  <c r="T208"/>
  <c r="O208"/>
  <c r="N208"/>
  <c r="J208"/>
  <c r="AU207"/>
  <c r="AJ207"/>
  <c r="AL207" s="1"/>
  <c r="U207"/>
  <c r="T207"/>
  <c r="O207"/>
  <c r="N207"/>
  <c r="AM207" s="1"/>
  <c r="AO207" s="1"/>
  <c r="J207"/>
  <c r="AJ206"/>
  <c r="AL206" s="1"/>
  <c r="AH206"/>
  <c r="U206"/>
  <c r="T206"/>
  <c r="O206"/>
  <c r="N206"/>
  <c r="J206"/>
  <c r="AR205"/>
  <c r="AR204" s="1"/>
  <c r="AI205"/>
  <c r="AF205"/>
  <c r="AE205"/>
  <c r="AA205"/>
  <c r="W205"/>
  <c r="S205"/>
  <c r="K205"/>
  <c r="K204" s="1"/>
  <c r="AJ203"/>
  <c r="AH203" s="1"/>
  <c r="U203"/>
  <c r="AN203" s="1"/>
  <c r="N203"/>
  <c r="AM203" s="1"/>
  <c r="AO203" s="1"/>
  <c r="J203"/>
  <c r="AS202"/>
  <c r="AQ202"/>
  <c r="AP202"/>
  <c r="AN202"/>
  <c r="AM202"/>
  <c r="AK202"/>
  <c r="AJ202"/>
  <c r="AI202"/>
  <c r="AL202" s="1"/>
  <c r="AH202"/>
  <c r="AG202"/>
  <c r="AF202"/>
  <c r="AE202"/>
  <c r="AD202"/>
  <c r="AC202"/>
  <c r="AB202"/>
  <c r="AA202"/>
  <c r="Z202"/>
  <c r="Y202"/>
  <c r="X202"/>
  <c r="W202"/>
  <c r="V202"/>
  <c r="U202"/>
  <c r="T202"/>
  <c r="S202"/>
  <c r="R202"/>
  <c r="Q202"/>
  <c r="P202"/>
  <c r="O202"/>
  <c r="N202"/>
  <c r="M202"/>
  <c r="L202"/>
  <c r="K202"/>
  <c r="AO202" s="1"/>
  <c r="J202"/>
  <c r="AS201"/>
  <c r="AR201"/>
  <c r="AQ201"/>
  <c r="AP201"/>
  <c r="AO201"/>
  <c r="AN201"/>
  <c r="AM201"/>
  <c r="AM169" s="1"/>
  <c r="AL201"/>
  <c r="AK201"/>
  <c r="AJ201"/>
  <c r="AI201"/>
  <c r="AH201"/>
  <c r="AG201"/>
  <c r="AF201"/>
  <c r="AE201"/>
  <c r="AD201"/>
  <c r="AC201"/>
  <c r="AB201"/>
  <c r="AA201"/>
  <c r="AA169" s="1"/>
  <c r="Z201"/>
  <c r="Y201"/>
  <c r="X201"/>
  <c r="W201"/>
  <c r="V201"/>
  <c r="U201"/>
  <c r="T201"/>
  <c r="S201"/>
  <c r="S169" s="1"/>
  <c r="R201"/>
  <c r="Q201"/>
  <c r="P201"/>
  <c r="O201"/>
  <c r="N201"/>
  <c r="M201"/>
  <c r="L201"/>
  <c r="K201"/>
  <c r="J201"/>
  <c r="I201"/>
  <c r="H201"/>
  <c r="AO200"/>
  <c r="AL200"/>
  <c r="AO199"/>
  <c r="AL199"/>
  <c r="AO198"/>
  <c r="AL198"/>
  <c r="AO197"/>
  <c r="AL197"/>
  <c r="AO196"/>
  <c r="AL196"/>
  <c r="AO195"/>
  <c r="AL195"/>
  <c r="AO194"/>
  <c r="AL194"/>
  <c r="AO193"/>
  <c r="AL193"/>
  <c r="AO192"/>
  <c r="AL192"/>
  <c r="AO191"/>
  <c r="AL191"/>
  <c r="AO190"/>
  <c r="AL190"/>
  <c r="AO189"/>
  <c r="AL189"/>
  <c r="AO188"/>
  <c r="AL188"/>
  <c r="AO187"/>
  <c r="AL187"/>
  <c r="AO186"/>
  <c r="AL186"/>
  <c r="AO185"/>
  <c r="AL185"/>
  <c r="AO184"/>
  <c r="AL184"/>
  <c r="AO183"/>
  <c r="AL183"/>
  <c r="AO182"/>
  <c r="AL182"/>
  <c r="AO181"/>
  <c r="AL181"/>
  <c r="AO180"/>
  <c r="AL180"/>
  <c r="AO179"/>
  <c r="AL179"/>
  <c r="AO178"/>
  <c r="AL178"/>
  <c r="AO177"/>
  <c r="AL177"/>
  <c r="AO176"/>
  <c r="AL176"/>
  <c r="AO175"/>
  <c r="AL175"/>
  <c r="AO174"/>
  <c r="AL174"/>
  <c r="AO172"/>
  <c r="AL172"/>
  <c r="AO171"/>
  <c r="AO170" s="1"/>
  <c r="AL171"/>
  <c r="AS170"/>
  <c r="AR170"/>
  <c r="AQ170"/>
  <c r="AQ169" s="1"/>
  <c r="AP170"/>
  <c r="AN170"/>
  <c r="AM170"/>
  <c r="AL170"/>
  <c r="AK170"/>
  <c r="AJ170"/>
  <c r="AI170"/>
  <c r="AH170"/>
  <c r="AG170"/>
  <c r="AG169" s="1"/>
  <c r="AF170"/>
  <c r="AE170"/>
  <c r="AD170"/>
  <c r="AC170"/>
  <c r="AB170"/>
  <c r="AA170"/>
  <c r="Z170"/>
  <c r="Y170"/>
  <c r="Y169" s="1"/>
  <c r="X170"/>
  <c r="W170"/>
  <c r="V170"/>
  <c r="U170"/>
  <c r="T170"/>
  <c r="S170"/>
  <c r="R170"/>
  <c r="Q170"/>
  <c r="Q169" s="1"/>
  <c r="P170"/>
  <c r="O170"/>
  <c r="N170"/>
  <c r="M170"/>
  <c r="L170"/>
  <c r="K170"/>
  <c r="J170"/>
  <c r="I170"/>
  <c r="I169" s="1"/>
  <c r="H170"/>
  <c r="AR169"/>
  <c r="AN169"/>
  <c r="AJ169"/>
  <c r="AF169"/>
  <c r="AB169"/>
  <c r="X169"/>
  <c r="T169"/>
  <c r="P169"/>
  <c r="L169"/>
  <c r="H169"/>
  <c r="AS168"/>
  <c r="AS165" s="1"/>
  <c r="AR165"/>
  <c r="AQ165"/>
  <c r="AP165"/>
  <c r="AO165"/>
  <c r="AN165"/>
  <c r="AM165"/>
  <c r="AL165"/>
  <c r="AK165"/>
  <c r="AJ165"/>
  <c r="AI165"/>
  <c r="AH165"/>
  <c r="AG165"/>
  <c r="AF165"/>
  <c r="AE165"/>
  <c r="AE124" s="1"/>
  <c r="AD165"/>
  <c r="AC165"/>
  <c r="AB165"/>
  <c r="AA165"/>
  <c r="AA124" s="1"/>
  <c r="AA123" s="1"/>
  <c r="Z165"/>
  <c r="Y165"/>
  <c r="X165"/>
  <c r="W165"/>
  <c r="V165"/>
  <c r="U165"/>
  <c r="T165"/>
  <c r="S165"/>
  <c r="S124" s="1"/>
  <c r="R165"/>
  <c r="Q165"/>
  <c r="P165"/>
  <c r="O165"/>
  <c r="N165"/>
  <c r="M165"/>
  <c r="L165"/>
  <c r="K165"/>
  <c r="K124" s="1"/>
  <c r="J165"/>
  <c r="I165"/>
  <c r="H165"/>
  <c r="AS164"/>
  <c r="AR164"/>
  <c r="AQ164"/>
  <c r="AP164"/>
  <c r="AO164"/>
  <c r="AN164"/>
  <c r="AM164"/>
  <c r="AL164"/>
  <c r="AK164"/>
  <c r="AJ164"/>
  <c r="AI164"/>
  <c r="AH164"/>
  <c r="AG164"/>
  <c r="AG124" s="1"/>
  <c r="AF164"/>
  <c r="AE164"/>
  <c r="AD164"/>
  <c r="AC164"/>
  <c r="AB164"/>
  <c r="AA164"/>
  <c r="Z164"/>
  <c r="Y164"/>
  <c r="X164"/>
  <c r="W164"/>
  <c r="V164"/>
  <c r="U164"/>
  <c r="T164"/>
  <c r="S164"/>
  <c r="R164"/>
  <c r="Q164"/>
  <c r="P164"/>
  <c r="O164"/>
  <c r="N164"/>
  <c r="M164"/>
  <c r="M124" s="1"/>
  <c r="L164"/>
  <c r="K164"/>
  <c r="J164"/>
  <c r="I164"/>
  <c r="H164"/>
  <c r="AJ161"/>
  <c r="U161"/>
  <c r="AN161" s="1"/>
  <c r="T161"/>
  <c r="AM161" s="1"/>
  <c r="AO161" s="1"/>
  <c r="J161"/>
  <c r="AJ160"/>
  <c r="AL160" s="1"/>
  <c r="U160"/>
  <c r="AN160" s="1"/>
  <c r="T160"/>
  <c r="AM160" s="1"/>
  <c r="AO160" s="1"/>
  <c r="J160"/>
  <c r="AN159"/>
  <c r="AL159"/>
  <c r="AJ159"/>
  <c r="AH159" s="1"/>
  <c r="U159"/>
  <c r="T159"/>
  <c r="AM159" s="1"/>
  <c r="AO159" s="1"/>
  <c r="J159"/>
  <c r="AL158"/>
  <c r="AJ158"/>
  <c r="AH158" s="1"/>
  <c r="U158"/>
  <c r="AN158" s="1"/>
  <c r="T158"/>
  <c r="AM158" s="1"/>
  <c r="AO158" s="1"/>
  <c r="J158"/>
  <c r="AJ157"/>
  <c r="U157"/>
  <c r="AN157" s="1"/>
  <c r="T157"/>
  <c r="AM157" s="1"/>
  <c r="AO157" s="1"/>
  <c r="J157"/>
  <c r="AJ156"/>
  <c r="U156"/>
  <c r="AN156" s="1"/>
  <c r="T156"/>
  <c r="AM156" s="1"/>
  <c r="AO156" s="1"/>
  <c r="J156"/>
  <c r="AJ155"/>
  <c r="AL155" s="1"/>
  <c r="U155"/>
  <c r="AN155" s="1"/>
  <c r="T155"/>
  <c r="AM155" s="1"/>
  <c r="AO155" s="1"/>
  <c r="J155"/>
  <c r="AL154"/>
  <c r="AJ154"/>
  <c r="AH154" s="1"/>
  <c r="U154"/>
  <c r="AN154" s="1"/>
  <c r="T154"/>
  <c r="AM154" s="1"/>
  <c r="J154"/>
  <c r="AJ153"/>
  <c r="U153"/>
  <c r="AN153" s="1"/>
  <c r="T153"/>
  <c r="AM153" s="1"/>
  <c r="AO153" s="1"/>
  <c r="J153"/>
  <c r="AJ152"/>
  <c r="U152"/>
  <c r="AN152" s="1"/>
  <c r="T152"/>
  <c r="AM152" s="1"/>
  <c r="AO152" s="1"/>
  <c r="J152"/>
  <c r="AJ151"/>
  <c r="AL151" s="1"/>
  <c r="U151"/>
  <c r="AN151" s="1"/>
  <c r="T151"/>
  <c r="AM151" s="1"/>
  <c r="AO151" s="1"/>
  <c r="J151"/>
  <c r="AL150"/>
  <c r="AJ150"/>
  <c r="AH150" s="1"/>
  <c r="U150"/>
  <c r="AN150" s="1"/>
  <c r="T150"/>
  <c r="AM150" s="1"/>
  <c r="J150"/>
  <c r="AM149"/>
  <c r="AO149" s="1"/>
  <c r="AL149"/>
  <c r="AH149"/>
  <c r="AP149" s="1"/>
  <c r="AQ149" s="1"/>
  <c r="U149"/>
  <c r="AN149" s="1"/>
  <c r="AJ148"/>
  <c r="AH148" s="1"/>
  <c r="U148"/>
  <c r="AN148" s="1"/>
  <c r="T148"/>
  <c r="AM148" s="1"/>
  <c r="AO148" s="1"/>
  <c r="J148"/>
  <c r="AJ147"/>
  <c r="U147"/>
  <c r="AN147" s="1"/>
  <c r="T147"/>
  <c r="AM147" s="1"/>
  <c r="AO147" s="1"/>
  <c r="J147"/>
  <c r="AM146"/>
  <c r="AO146" s="1"/>
  <c r="AJ146"/>
  <c r="U146"/>
  <c r="AN146" s="1"/>
  <c r="T146"/>
  <c r="J146"/>
  <c r="AJ145"/>
  <c r="AL145" s="1"/>
  <c r="U145"/>
  <c r="AN145" s="1"/>
  <c r="T145"/>
  <c r="AM145" s="1"/>
  <c r="J145"/>
  <c r="AL144"/>
  <c r="AJ144"/>
  <c r="AH144" s="1"/>
  <c r="U144"/>
  <c r="AN144" s="1"/>
  <c r="T144"/>
  <c r="AM144" s="1"/>
  <c r="AO144" s="1"/>
  <c r="J144"/>
  <c r="AJ143"/>
  <c r="U143"/>
  <c r="T143"/>
  <c r="O143"/>
  <c r="N143"/>
  <c r="J143"/>
  <c r="AL142"/>
  <c r="AJ142"/>
  <c r="AH142" s="1"/>
  <c r="U142"/>
  <c r="T142"/>
  <c r="O142"/>
  <c r="AN142" s="1"/>
  <c r="N142"/>
  <c r="J142"/>
  <c r="AJ141"/>
  <c r="AH141" s="1"/>
  <c r="U141"/>
  <c r="T141"/>
  <c r="O141"/>
  <c r="N141"/>
  <c r="J141"/>
  <c r="AJ140"/>
  <c r="U140"/>
  <c r="T140"/>
  <c r="O140"/>
  <c r="AN140" s="1"/>
  <c r="N140"/>
  <c r="J140"/>
  <c r="AJ139"/>
  <c r="U139"/>
  <c r="T139"/>
  <c r="O139"/>
  <c r="N139"/>
  <c r="AM139" s="1"/>
  <c r="AO139" s="1"/>
  <c r="J139"/>
  <c r="AJ138"/>
  <c r="U138"/>
  <c r="T138"/>
  <c r="O138"/>
  <c r="N138"/>
  <c r="J138"/>
  <c r="AR137"/>
  <c r="AJ136"/>
  <c r="AL136" s="1"/>
  <c r="U136"/>
  <c r="T136"/>
  <c r="O136"/>
  <c r="AN136" s="1"/>
  <c r="N136"/>
  <c r="J136"/>
  <c r="AJ135"/>
  <c r="U135"/>
  <c r="T135"/>
  <c r="O135"/>
  <c r="N135"/>
  <c r="AM135" s="1"/>
  <c r="AO135" s="1"/>
  <c r="J135"/>
  <c r="AL134"/>
  <c r="AJ134"/>
  <c r="AH134" s="1"/>
  <c r="U134"/>
  <c r="T134"/>
  <c r="AM134" s="1"/>
  <c r="AO134" s="1"/>
  <c r="O134"/>
  <c r="N134"/>
  <c r="J134"/>
  <c r="AL133"/>
  <c r="AJ133"/>
  <c r="AH133" s="1"/>
  <c r="U133"/>
  <c r="AN133" s="1"/>
  <c r="T133"/>
  <c r="O133"/>
  <c r="N133"/>
  <c r="J133"/>
  <c r="AJ132"/>
  <c r="AL132" s="1"/>
  <c r="U132"/>
  <c r="T132"/>
  <c r="O132"/>
  <c r="N132"/>
  <c r="J132"/>
  <c r="AJ131"/>
  <c r="U131"/>
  <c r="T131"/>
  <c r="O131"/>
  <c r="N131"/>
  <c r="J131"/>
  <c r="AJ130"/>
  <c r="AH130" s="1"/>
  <c r="U130"/>
  <c r="T130"/>
  <c r="O130"/>
  <c r="AN130" s="1"/>
  <c r="N130"/>
  <c r="J130"/>
  <c r="AL129"/>
  <c r="AJ129"/>
  <c r="AH129" s="1"/>
  <c r="U129"/>
  <c r="T129"/>
  <c r="O129"/>
  <c r="N129"/>
  <c r="J129"/>
  <c r="AJ128"/>
  <c r="U128"/>
  <c r="T128"/>
  <c r="O128"/>
  <c r="N128"/>
  <c r="J128"/>
  <c r="AR127"/>
  <c r="AU127" s="1"/>
  <c r="AL126"/>
  <c r="AJ126"/>
  <c r="AH126"/>
  <c r="U126"/>
  <c r="T126"/>
  <c r="O126"/>
  <c r="N126"/>
  <c r="AM126" s="1"/>
  <c r="J126"/>
  <c r="AS125"/>
  <c r="AK125"/>
  <c r="AI125"/>
  <c r="AI124" s="1"/>
  <c r="AG125"/>
  <c r="AF125"/>
  <c r="AE125"/>
  <c r="AD125"/>
  <c r="AD124" s="1"/>
  <c r="AC125"/>
  <c r="AB125"/>
  <c r="AA125"/>
  <c r="Z125"/>
  <c r="Z124" s="1"/>
  <c r="Y125"/>
  <c r="X125"/>
  <c r="W125"/>
  <c r="V125"/>
  <c r="V124" s="1"/>
  <c r="S125"/>
  <c r="R125"/>
  <c r="Q125"/>
  <c r="P125"/>
  <c r="P124" s="1"/>
  <c r="P123" s="1"/>
  <c r="M125"/>
  <c r="L125"/>
  <c r="K125"/>
  <c r="I125"/>
  <c r="I124" s="1"/>
  <c r="H125"/>
  <c r="H124" s="1"/>
  <c r="H123" s="1"/>
  <c r="W124"/>
  <c r="AQ121"/>
  <c r="AO121"/>
  <c r="AL121"/>
  <c r="U121"/>
  <c r="P121"/>
  <c r="N121" s="1"/>
  <c r="J121"/>
  <c r="AS120"/>
  <c r="X120"/>
  <c r="U120"/>
  <c r="R120"/>
  <c r="M120"/>
  <c r="L120"/>
  <c r="J120"/>
  <c r="AJ119"/>
  <c r="U119"/>
  <c r="T119"/>
  <c r="AM119" s="1"/>
  <c r="AO119" s="1"/>
  <c r="O119"/>
  <c r="AN119" s="1"/>
  <c r="J119"/>
  <c r="AJ118"/>
  <c r="U118"/>
  <c r="T118"/>
  <c r="O118"/>
  <c r="N118"/>
  <c r="J118"/>
  <c r="AL117"/>
  <c r="AJ117"/>
  <c r="AH117" s="1"/>
  <c r="U117"/>
  <c r="T117"/>
  <c r="O117"/>
  <c r="AN117" s="1"/>
  <c r="N117"/>
  <c r="J117"/>
  <c r="AJ116"/>
  <c r="AH116" s="1"/>
  <c r="U116"/>
  <c r="AN116" s="1"/>
  <c r="T116"/>
  <c r="O116"/>
  <c r="N116"/>
  <c r="J116"/>
  <c r="AJ115"/>
  <c r="AL115" s="1"/>
  <c r="U115"/>
  <c r="T115"/>
  <c r="O115"/>
  <c r="AN115" s="1"/>
  <c r="N115"/>
  <c r="J115"/>
  <c r="AL114"/>
  <c r="AH114"/>
  <c r="U114"/>
  <c r="T114"/>
  <c r="O114"/>
  <c r="AN114" s="1"/>
  <c r="N114"/>
  <c r="J114"/>
  <c r="AS113"/>
  <c r="AS104" s="1"/>
  <c r="AR113"/>
  <c r="AK113"/>
  <c r="AI113"/>
  <c r="AG113"/>
  <c r="AF113"/>
  <c r="AE113"/>
  <c r="AD113"/>
  <c r="AC113"/>
  <c r="AB113"/>
  <c r="AA113"/>
  <c r="Z113"/>
  <c r="Y113"/>
  <c r="X113"/>
  <c r="W113"/>
  <c r="V113"/>
  <c r="S113"/>
  <c r="R113"/>
  <c r="Q113"/>
  <c r="P113"/>
  <c r="O113"/>
  <c r="M113"/>
  <c r="L113"/>
  <c r="K113"/>
  <c r="I113"/>
  <c r="H113"/>
  <c r="AJ112"/>
  <c r="AL112" s="1"/>
  <c r="U112"/>
  <c r="T112"/>
  <c r="O112"/>
  <c r="N112"/>
  <c r="J112"/>
  <c r="AJ110"/>
  <c r="AL110" s="1"/>
  <c r="Z110"/>
  <c r="U110"/>
  <c r="T110"/>
  <c r="O110"/>
  <c r="N110"/>
  <c r="J110"/>
  <c r="AJ109"/>
  <c r="AH109" s="1"/>
  <c r="U109"/>
  <c r="T109"/>
  <c r="O109"/>
  <c r="N109"/>
  <c r="N108" s="1"/>
  <c r="K109"/>
  <c r="K108" s="1"/>
  <c r="K104" s="1"/>
  <c r="J109"/>
  <c r="AS108"/>
  <c r="AR108"/>
  <c r="AR104" s="1"/>
  <c r="AK108"/>
  <c r="AK104" s="1"/>
  <c r="AI108"/>
  <c r="AI104" s="1"/>
  <c r="AG108"/>
  <c r="AF108"/>
  <c r="AF104" s="1"/>
  <c r="AE108"/>
  <c r="AE104" s="1"/>
  <c r="AD108"/>
  <c r="AD104" s="1"/>
  <c r="AC108"/>
  <c r="AB108"/>
  <c r="AA108"/>
  <c r="AA104" s="1"/>
  <c r="Z108"/>
  <c r="Z104" s="1"/>
  <c r="Y108"/>
  <c r="X108"/>
  <c r="W108"/>
  <c r="W104" s="1"/>
  <c r="V108"/>
  <c r="V104" s="1"/>
  <c r="S108"/>
  <c r="R108"/>
  <c r="Q108"/>
  <c r="P108"/>
  <c r="M108"/>
  <c r="L108"/>
  <c r="I108"/>
  <c r="H108"/>
  <c r="H104" s="1"/>
  <c r="AU107"/>
  <c r="AS107"/>
  <c r="AO107"/>
  <c r="AL107"/>
  <c r="AJ106"/>
  <c r="U106"/>
  <c r="T106"/>
  <c r="AM106" s="1"/>
  <c r="AO106" s="1"/>
  <c r="O106"/>
  <c r="J106"/>
  <c r="AJ105"/>
  <c r="AH105" s="1"/>
  <c r="U105"/>
  <c r="T105"/>
  <c r="O105"/>
  <c r="N105"/>
  <c r="J105"/>
  <c r="Q104"/>
  <c r="P104"/>
  <c r="AJ103"/>
  <c r="U103"/>
  <c r="AN103" s="1"/>
  <c r="T103"/>
  <c r="N103"/>
  <c r="AM103" s="1"/>
  <c r="AO103" s="1"/>
  <c r="J103"/>
  <c r="AS102"/>
  <c r="AJ102"/>
  <c r="AI102"/>
  <c r="U102"/>
  <c r="T102"/>
  <c r="O102"/>
  <c r="N102"/>
  <c r="J102"/>
  <c r="AJ101"/>
  <c r="AL101" s="1"/>
  <c r="U101"/>
  <c r="T101"/>
  <c r="AM101" s="1"/>
  <c r="AO101" s="1"/>
  <c r="O101"/>
  <c r="J101"/>
  <c r="AJ100"/>
  <c r="U100"/>
  <c r="T100"/>
  <c r="O100"/>
  <c r="N100"/>
  <c r="J100"/>
  <c r="AJ99"/>
  <c r="U99"/>
  <c r="T99"/>
  <c r="O99"/>
  <c r="N99"/>
  <c r="AM99" s="1"/>
  <c r="AO99" s="1"/>
  <c r="J99"/>
  <c r="AJ98"/>
  <c r="AH98" s="1"/>
  <c r="U98"/>
  <c r="T98"/>
  <c r="O98"/>
  <c r="N98"/>
  <c r="J98"/>
  <c r="AO97"/>
  <c r="AL97"/>
  <c r="AJ96"/>
  <c r="U96"/>
  <c r="T96"/>
  <c r="O96"/>
  <c r="N96"/>
  <c r="AM96" s="1"/>
  <c r="AO96" s="1"/>
  <c r="J96"/>
  <c r="AJ95"/>
  <c r="AH95" s="1"/>
  <c r="U95"/>
  <c r="U94" s="1"/>
  <c r="T95"/>
  <c r="O95"/>
  <c r="N95"/>
  <c r="J95"/>
  <c r="AS94"/>
  <c r="AS81" s="1"/>
  <c r="AR94"/>
  <c r="AK94"/>
  <c r="AI94"/>
  <c r="AG94"/>
  <c r="AF94"/>
  <c r="AE94"/>
  <c r="AD94"/>
  <c r="AD81" s="1"/>
  <c r="AC94"/>
  <c r="AC81" s="1"/>
  <c r="AB94"/>
  <c r="AA94"/>
  <c r="Z94"/>
  <c r="Z81" s="1"/>
  <c r="Y94"/>
  <c r="X94"/>
  <c r="W94"/>
  <c r="V94"/>
  <c r="V81" s="1"/>
  <c r="S94"/>
  <c r="R94"/>
  <c r="Q94"/>
  <c r="P94"/>
  <c r="M94"/>
  <c r="L94"/>
  <c r="K94"/>
  <c r="I94"/>
  <c r="H94"/>
  <c r="AJ91"/>
  <c r="U91"/>
  <c r="T91"/>
  <c r="O91"/>
  <c r="N91"/>
  <c r="J91"/>
  <c r="AQ87"/>
  <c r="AP87"/>
  <c r="AO87"/>
  <c r="AN87"/>
  <c r="AM87"/>
  <c r="AL87"/>
  <c r="AK87"/>
  <c r="AJ87"/>
  <c r="AI87"/>
  <c r="AI82" s="1"/>
  <c r="AH87"/>
  <c r="AG87"/>
  <c r="AF87"/>
  <c r="AF82" s="1"/>
  <c r="AF81" s="1"/>
  <c r="AE87"/>
  <c r="AE82" s="1"/>
  <c r="AE81" s="1"/>
  <c r="AD87"/>
  <c r="AD82" s="1"/>
  <c r="AC87"/>
  <c r="AB87"/>
  <c r="AB82" s="1"/>
  <c r="AB81" s="1"/>
  <c r="AA87"/>
  <c r="Z87"/>
  <c r="Z82" s="1"/>
  <c r="Y87"/>
  <c r="X87"/>
  <c r="X82" s="1"/>
  <c r="X81" s="1"/>
  <c r="W87"/>
  <c r="W82" s="1"/>
  <c r="W81" s="1"/>
  <c r="V87"/>
  <c r="V82" s="1"/>
  <c r="U87"/>
  <c r="T87"/>
  <c r="S87"/>
  <c r="S82" s="1"/>
  <c r="S81" s="1"/>
  <c r="R87"/>
  <c r="R82" s="1"/>
  <c r="Q87"/>
  <c r="P87"/>
  <c r="P82" s="1"/>
  <c r="O87"/>
  <c r="N87"/>
  <c r="M87"/>
  <c r="L87"/>
  <c r="L82" s="1"/>
  <c r="L81" s="1"/>
  <c r="K87"/>
  <c r="K82" s="1"/>
  <c r="K81" s="1"/>
  <c r="J87"/>
  <c r="I87"/>
  <c r="AO86"/>
  <c r="AJ85"/>
  <c r="AL85" s="1"/>
  <c r="U85"/>
  <c r="T85"/>
  <c r="O85"/>
  <c r="AN85" s="1"/>
  <c r="N85"/>
  <c r="J85"/>
  <c r="AJ84"/>
  <c r="AL84" s="1"/>
  <c r="U84"/>
  <c r="AN84" s="1"/>
  <c r="T84"/>
  <c r="O84"/>
  <c r="N84"/>
  <c r="J84"/>
  <c r="J82" s="1"/>
  <c r="AJ83"/>
  <c r="U83"/>
  <c r="T83"/>
  <c r="O83"/>
  <c r="AN83" s="1"/>
  <c r="N83"/>
  <c r="AM83" s="1"/>
  <c r="AO83" s="1"/>
  <c r="J83"/>
  <c r="AS82"/>
  <c r="AR82"/>
  <c r="AR81" s="1"/>
  <c r="AK82"/>
  <c r="AG82"/>
  <c r="AC82"/>
  <c r="AA82"/>
  <c r="AA81" s="1"/>
  <c r="Y82"/>
  <c r="Q82"/>
  <c r="M82"/>
  <c r="I82"/>
  <c r="H82"/>
  <c r="R81"/>
  <c r="AL80"/>
  <c r="AH80"/>
  <c r="U80"/>
  <c r="AN80" s="1"/>
  <c r="T80"/>
  <c r="N80"/>
  <c r="J80"/>
  <c r="AJ79"/>
  <c r="AI79"/>
  <c r="U79"/>
  <c r="T79"/>
  <c r="O79"/>
  <c r="N79"/>
  <c r="J79"/>
  <c r="AJ78"/>
  <c r="AH78" s="1"/>
  <c r="U78"/>
  <c r="T78"/>
  <c r="O78"/>
  <c r="N78"/>
  <c r="J78"/>
  <c r="AJ77"/>
  <c r="U77"/>
  <c r="T77"/>
  <c r="O77"/>
  <c r="N77"/>
  <c r="J77"/>
  <c r="AO75"/>
  <c r="AL75"/>
  <c r="AS74"/>
  <c r="AR74"/>
  <c r="AK74"/>
  <c r="AG74"/>
  <c r="AG70" s="1"/>
  <c r="AF74"/>
  <c r="AE74"/>
  <c r="AD74"/>
  <c r="AC74"/>
  <c r="AC70" s="1"/>
  <c r="AB74"/>
  <c r="AA74"/>
  <c r="Z74"/>
  <c r="Y74"/>
  <c r="Y70" s="1"/>
  <c r="X74"/>
  <c r="W74"/>
  <c r="V74"/>
  <c r="S74"/>
  <c r="R74"/>
  <c r="Q74"/>
  <c r="P74"/>
  <c r="M74"/>
  <c r="M70" s="1"/>
  <c r="L74"/>
  <c r="K74"/>
  <c r="I74"/>
  <c r="I70" s="1"/>
  <c r="H74"/>
  <c r="AJ73"/>
  <c r="U73"/>
  <c r="T73"/>
  <c r="AM73" s="1"/>
  <c r="AM71" s="1"/>
  <c r="O73"/>
  <c r="AN73" s="1"/>
  <c r="AN71" s="1"/>
  <c r="J73"/>
  <c r="AS71"/>
  <c r="AR71"/>
  <c r="AR70" s="1"/>
  <c r="AK71"/>
  <c r="AI71"/>
  <c r="AG71"/>
  <c r="AF71"/>
  <c r="AE71"/>
  <c r="AE70" s="1"/>
  <c r="AD71"/>
  <c r="AC71"/>
  <c r="AB71"/>
  <c r="AA71"/>
  <c r="AA70" s="1"/>
  <c r="Z71"/>
  <c r="Z70" s="1"/>
  <c r="Y71"/>
  <c r="X71"/>
  <c r="W71"/>
  <c r="W70" s="1"/>
  <c r="V71"/>
  <c r="U71"/>
  <c r="T71"/>
  <c r="S71"/>
  <c r="S70" s="1"/>
  <c r="R71"/>
  <c r="R70" s="1"/>
  <c r="Q71"/>
  <c r="P71"/>
  <c r="O71"/>
  <c r="N71"/>
  <c r="M71"/>
  <c r="L71"/>
  <c r="K71"/>
  <c r="K70" s="1"/>
  <c r="J71"/>
  <c r="I71"/>
  <c r="H71"/>
  <c r="AS70"/>
  <c r="Q70"/>
  <c r="P70"/>
  <c r="AJ69"/>
  <c r="U69"/>
  <c r="AN69" s="1"/>
  <c r="T69"/>
  <c r="N69"/>
  <c r="J69"/>
  <c r="AP67"/>
  <c r="AQ67" s="1"/>
  <c r="AO67"/>
  <c r="AJ67"/>
  <c r="AL67" s="1"/>
  <c r="U67"/>
  <c r="T67"/>
  <c r="O67"/>
  <c r="J67"/>
  <c r="AJ66"/>
  <c r="AH66" s="1"/>
  <c r="AH65" s="1"/>
  <c r="U66"/>
  <c r="T66"/>
  <c r="O66"/>
  <c r="O65" s="1"/>
  <c r="J66"/>
  <c r="AS65"/>
  <c r="AS62" s="1"/>
  <c r="AK65"/>
  <c r="AK62" s="1"/>
  <c r="AI65"/>
  <c r="AG65"/>
  <c r="AF65"/>
  <c r="AF62" s="1"/>
  <c r="AE65"/>
  <c r="AE62" s="1"/>
  <c r="AD65"/>
  <c r="AD62" s="1"/>
  <c r="AC65"/>
  <c r="AB65"/>
  <c r="AB62" s="1"/>
  <c r="AA65"/>
  <c r="AA62" s="1"/>
  <c r="Z65"/>
  <c r="Z62" s="1"/>
  <c r="Y65"/>
  <c r="X65"/>
  <c r="X62" s="1"/>
  <c r="W65"/>
  <c r="V65"/>
  <c r="S65"/>
  <c r="S62" s="1"/>
  <c r="R65"/>
  <c r="R62" s="1"/>
  <c r="Q65"/>
  <c r="Q62" s="1"/>
  <c r="Q52" s="1"/>
  <c r="P65"/>
  <c r="P62" s="1"/>
  <c r="N65"/>
  <c r="N62" s="1"/>
  <c r="M65"/>
  <c r="L65"/>
  <c r="L62" s="1"/>
  <c r="K65"/>
  <c r="I65"/>
  <c r="I62" s="1"/>
  <c r="AO64"/>
  <c r="AL64"/>
  <c r="AJ63"/>
  <c r="U63"/>
  <c r="T63"/>
  <c r="AM63" s="1"/>
  <c r="AO63" s="1"/>
  <c r="O63"/>
  <c r="O62" s="1"/>
  <c r="J63"/>
  <c r="AR62"/>
  <c r="AI62"/>
  <c r="AH62"/>
  <c r="AG62"/>
  <c r="AC62"/>
  <c r="Y62"/>
  <c r="W62"/>
  <c r="V62"/>
  <c r="M62"/>
  <c r="M52" s="1"/>
  <c r="K62"/>
  <c r="H62"/>
  <c r="AJ61"/>
  <c r="U61"/>
  <c r="T61"/>
  <c r="AM61" s="1"/>
  <c r="AO61" s="1"/>
  <c r="O61"/>
  <c r="J61"/>
  <c r="AL60"/>
  <c r="AJ60"/>
  <c r="AH60" s="1"/>
  <c r="U60"/>
  <c r="T60"/>
  <c r="AM60" s="1"/>
  <c r="AO60" s="1"/>
  <c r="O60"/>
  <c r="AN60" s="1"/>
  <c r="J60"/>
  <c r="AJ59"/>
  <c r="U59"/>
  <c r="T59"/>
  <c r="AM59" s="1"/>
  <c r="AO59" s="1"/>
  <c r="O59"/>
  <c r="J59"/>
  <c r="AJ58"/>
  <c r="AH58" s="1"/>
  <c r="U58"/>
  <c r="T58"/>
  <c r="AM58" s="1"/>
  <c r="AO58" s="1"/>
  <c r="O58"/>
  <c r="J58"/>
  <c r="AJ57"/>
  <c r="U57"/>
  <c r="T57"/>
  <c r="O57"/>
  <c r="N57"/>
  <c r="J57"/>
  <c r="AJ56"/>
  <c r="AL56" s="1"/>
  <c r="AH56"/>
  <c r="U56"/>
  <c r="T56"/>
  <c r="O56"/>
  <c r="N56"/>
  <c r="AM56" s="1"/>
  <c r="J56"/>
  <c r="AJ55"/>
  <c r="AL55" s="1"/>
  <c r="U55"/>
  <c r="T55"/>
  <c r="O55"/>
  <c r="AN55" s="1"/>
  <c r="N55"/>
  <c r="J55"/>
  <c r="AJ54"/>
  <c r="U54"/>
  <c r="T54"/>
  <c r="O54"/>
  <c r="N54"/>
  <c r="J54"/>
  <c r="AS53"/>
  <c r="AR53"/>
  <c r="AK53"/>
  <c r="AI53"/>
  <c r="AG53"/>
  <c r="AF53"/>
  <c r="AE53"/>
  <c r="AD53"/>
  <c r="AC53"/>
  <c r="AB53"/>
  <c r="AA53"/>
  <c r="Z53"/>
  <c r="Y53"/>
  <c r="X53"/>
  <c r="W53"/>
  <c r="V53"/>
  <c r="V52" s="1"/>
  <c r="S53"/>
  <c r="R53"/>
  <c r="Q53"/>
  <c r="P53"/>
  <c r="M53"/>
  <c r="L53"/>
  <c r="K53"/>
  <c r="I53"/>
  <c r="H53"/>
  <c r="H52" s="1"/>
  <c r="AG52"/>
  <c r="AE52"/>
  <c r="S52"/>
  <c r="AJ51"/>
  <c r="U51"/>
  <c r="AN51" s="1"/>
  <c r="T51"/>
  <c r="N51"/>
  <c r="J51"/>
  <c r="AL50"/>
  <c r="AJ50"/>
  <c r="AH50" s="1"/>
  <c r="U50"/>
  <c r="T50"/>
  <c r="O50"/>
  <c r="AN50" s="1"/>
  <c r="N50"/>
  <c r="J50"/>
  <c r="AL48"/>
  <c r="AJ48"/>
  <c r="AH48" s="1"/>
  <c r="U48"/>
  <c r="T48"/>
  <c r="O48"/>
  <c r="N48"/>
  <c r="J48"/>
  <c r="AM47"/>
  <c r="AO47" s="1"/>
  <c r="AL47"/>
  <c r="AH47"/>
  <c r="U47"/>
  <c r="O47"/>
  <c r="AS46"/>
  <c r="AR46"/>
  <c r="AK46"/>
  <c r="AI46"/>
  <c r="AG46"/>
  <c r="AF46"/>
  <c r="AE46"/>
  <c r="AD46"/>
  <c r="AC46"/>
  <c r="AB46"/>
  <c r="AA46"/>
  <c r="Z46"/>
  <c r="Y46"/>
  <c r="X46"/>
  <c r="W46"/>
  <c r="V46"/>
  <c r="S46"/>
  <c r="R46"/>
  <c r="Q46"/>
  <c r="P46"/>
  <c r="N46"/>
  <c r="M46"/>
  <c r="L46"/>
  <c r="K46"/>
  <c r="I46"/>
  <c r="I36" s="1"/>
  <c r="H46"/>
  <c r="AO45"/>
  <c r="AL45"/>
  <c r="AO44"/>
  <c r="AM44"/>
  <c r="AL44"/>
  <c r="AH44"/>
  <c r="U44"/>
  <c r="AN44" s="1"/>
  <c r="O44"/>
  <c r="AJ43"/>
  <c r="AH43" s="1"/>
  <c r="U43"/>
  <c r="T43"/>
  <c r="AM43" s="1"/>
  <c r="AO43" s="1"/>
  <c r="O43"/>
  <c r="J43"/>
  <c r="AL42"/>
  <c r="AJ42"/>
  <c r="AH42" s="1"/>
  <c r="U42"/>
  <c r="T42"/>
  <c r="AM42" s="1"/>
  <c r="AO42" s="1"/>
  <c r="O42"/>
  <c r="AN42" s="1"/>
  <c r="J42"/>
  <c r="AJ41"/>
  <c r="AH41" s="1"/>
  <c r="U41"/>
  <c r="T41"/>
  <c r="AM41" s="1"/>
  <c r="AO41" s="1"/>
  <c r="O41"/>
  <c r="J41"/>
  <c r="AL40"/>
  <c r="AJ40"/>
  <c r="AH40" s="1"/>
  <c r="U40"/>
  <c r="T40"/>
  <c r="O40"/>
  <c r="AN40" s="1"/>
  <c r="N40"/>
  <c r="J40"/>
  <c r="AJ39"/>
  <c r="AH39" s="1"/>
  <c r="U39"/>
  <c r="T39"/>
  <c r="O39"/>
  <c r="N39"/>
  <c r="AM39" s="1"/>
  <c r="AO39" s="1"/>
  <c r="J39"/>
  <c r="AJ38"/>
  <c r="U38"/>
  <c r="T38"/>
  <c r="O38"/>
  <c r="AN38" s="1"/>
  <c r="N38"/>
  <c r="J38"/>
  <c r="AS37"/>
  <c r="AS36" s="1"/>
  <c r="AR37"/>
  <c r="AR36" s="1"/>
  <c r="AK37"/>
  <c r="AI37"/>
  <c r="AG37"/>
  <c r="AG36" s="1"/>
  <c r="AF37"/>
  <c r="AF36" s="1"/>
  <c r="AE37"/>
  <c r="AD37"/>
  <c r="AC37"/>
  <c r="AC36" s="1"/>
  <c r="AB37"/>
  <c r="AA37"/>
  <c r="Z37"/>
  <c r="Y37"/>
  <c r="Y36" s="1"/>
  <c r="X37"/>
  <c r="W37"/>
  <c r="V37"/>
  <c r="S37"/>
  <c r="S36" s="1"/>
  <c r="R37"/>
  <c r="Q37"/>
  <c r="P37"/>
  <c r="M37"/>
  <c r="L37"/>
  <c r="L36" s="1"/>
  <c r="K37"/>
  <c r="I37"/>
  <c r="H37"/>
  <c r="AK36"/>
  <c r="R36"/>
  <c r="Q36"/>
  <c r="AJ35"/>
  <c r="U35"/>
  <c r="AN35" s="1"/>
  <c r="T35"/>
  <c r="N35"/>
  <c r="AM35" s="1"/>
  <c r="AO35" s="1"/>
  <c r="J35"/>
  <c r="AS34"/>
  <c r="AS22" s="1"/>
  <c r="AS16" s="1"/>
  <c r="AJ34"/>
  <c r="AH34" s="1"/>
  <c r="U34"/>
  <c r="T34"/>
  <c r="AM34" s="1"/>
  <c r="O34"/>
  <c r="N34"/>
  <c r="J34"/>
  <c r="AO33"/>
  <c r="AL33"/>
  <c r="AJ29"/>
  <c r="U29"/>
  <c r="T29"/>
  <c r="O29"/>
  <c r="N29"/>
  <c r="J29"/>
  <c r="AM28"/>
  <c r="AO28" s="1"/>
  <c r="AL28"/>
  <c r="U28"/>
  <c r="O28"/>
  <c r="AJ27"/>
  <c r="U27"/>
  <c r="T27"/>
  <c r="AM27" s="1"/>
  <c r="AO27" s="1"/>
  <c r="O27"/>
  <c r="J27"/>
  <c r="AL26"/>
  <c r="AJ26"/>
  <c r="AH26" s="1"/>
  <c r="U26"/>
  <c r="T26"/>
  <c r="AM26" s="1"/>
  <c r="AO26" s="1"/>
  <c r="O26"/>
  <c r="AN26" s="1"/>
  <c r="J26"/>
  <c r="AJ25"/>
  <c r="U25"/>
  <c r="T25"/>
  <c r="AM25" s="1"/>
  <c r="AO25" s="1"/>
  <c r="O25"/>
  <c r="J25"/>
  <c r="AL24"/>
  <c r="AJ24"/>
  <c r="AH24" s="1"/>
  <c r="U24"/>
  <c r="T24"/>
  <c r="AM24" s="1"/>
  <c r="AO24" s="1"/>
  <c r="O24"/>
  <c r="AN24" s="1"/>
  <c r="J24"/>
  <c r="AJ23"/>
  <c r="U23"/>
  <c r="T23"/>
  <c r="AM23" s="1"/>
  <c r="AO23" s="1"/>
  <c r="O23"/>
  <c r="J23"/>
  <c r="AR22"/>
  <c r="AK22"/>
  <c r="AI22"/>
  <c r="AG22"/>
  <c r="AF22"/>
  <c r="AE22"/>
  <c r="AE16" s="1"/>
  <c r="AD22"/>
  <c r="AC22"/>
  <c r="AB22"/>
  <c r="AA22"/>
  <c r="AA16" s="1"/>
  <c r="Z22"/>
  <c r="Y22"/>
  <c r="X22"/>
  <c r="W22"/>
  <c r="V22"/>
  <c r="S22"/>
  <c r="R22"/>
  <c r="R16" s="1"/>
  <c r="Q22"/>
  <c r="P22"/>
  <c r="M22"/>
  <c r="L22"/>
  <c r="K22"/>
  <c r="I22"/>
  <c r="H22"/>
  <c r="AJ19"/>
  <c r="U19"/>
  <c r="T19"/>
  <c r="O19"/>
  <c r="N19"/>
  <c r="J19"/>
  <c r="AJ18"/>
  <c r="U18"/>
  <c r="T18"/>
  <c r="T17" s="1"/>
  <c r="O18"/>
  <c r="N18"/>
  <c r="J18"/>
  <c r="AS17"/>
  <c r="AR17"/>
  <c r="AK17"/>
  <c r="AI17"/>
  <c r="AG17"/>
  <c r="AG16" s="1"/>
  <c r="AF17"/>
  <c r="AE17"/>
  <c r="AD17"/>
  <c r="AC17"/>
  <c r="AC16" s="1"/>
  <c r="AB17"/>
  <c r="AA17"/>
  <c r="Z17"/>
  <c r="Y17"/>
  <c r="Y16" s="1"/>
  <c r="X17"/>
  <c r="W17"/>
  <c r="V17"/>
  <c r="U17"/>
  <c r="S17"/>
  <c r="R17"/>
  <c r="Q17"/>
  <c r="Q16" s="1"/>
  <c r="P17"/>
  <c r="P16" s="1"/>
  <c r="M17"/>
  <c r="L17"/>
  <c r="K17"/>
  <c r="I17"/>
  <c r="I16" s="1"/>
  <c r="H17"/>
  <c r="H16" s="1"/>
  <c r="AI16"/>
  <c r="W16"/>
  <c r="S16"/>
  <c r="M16"/>
  <c r="K16"/>
  <c r="AN15"/>
  <c r="AL15"/>
  <c r="T15"/>
  <c r="AM15" s="1"/>
  <c r="AO15" s="1"/>
  <c r="J15"/>
  <c r="AS14"/>
  <c r="AL14"/>
  <c r="AH14"/>
  <c r="U14"/>
  <c r="T14"/>
  <c r="O14"/>
  <c r="N14"/>
  <c r="J14"/>
  <c r="C37" i="30"/>
  <c r="C29" s="1"/>
  <c r="C34"/>
  <c r="C31"/>
  <c r="C18"/>
  <c r="C11" s="1"/>
  <c r="C10" s="1"/>
  <c r="C9" s="1"/>
  <c r="C8" s="1"/>
  <c r="D37" i="31"/>
  <c r="D36"/>
  <c r="D34"/>
  <c r="D33"/>
  <c r="D32"/>
  <c r="D31"/>
  <c r="D29"/>
  <c r="D24"/>
  <c r="D23"/>
  <c r="D20"/>
  <c r="D19"/>
  <c r="D17"/>
  <c r="D15"/>
  <c r="D13"/>
  <c r="D11"/>
  <c r="C10"/>
  <c r="C9" s="1"/>
  <c r="C37" i="32"/>
  <c r="C36"/>
  <c r="C35" s="1"/>
  <c r="C34"/>
  <c r="C33"/>
  <c r="C32" s="1"/>
  <c r="C29"/>
  <c r="C28"/>
  <c r="C27" s="1"/>
  <c r="C26"/>
  <c r="C25"/>
  <c r="C24"/>
  <c r="C23"/>
  <c r="C22"/>
  <c r="C21"/>
  <c r="C20" s="1"/>
  <c r="C19" s="1"/>
  <c r="C15"/>
  <c r="C14"/>
  <c r="C13" s="1"/>
  <c r="C11"/>
  <c r="C10" s="1"/>
  <c r="A1" i="18"/>
  <c r="A1" i="16"/>
  <c r="A2" i="14"/>
  <c r="A2" i="13"/>
  <c r="C39"/>
  <c r="N20" i="16"/>
  <c r="C32" i="13"/>
  <c r="R73" i="16"/>
  <c r="M16" i="20"/>
  <c r="D23" i="12"/>
  <c r="C30" i="13" s="1"/>
  <c r="Q9" i="11"/>
  <c r="Q19"/>
  <c r="J9" i="21"/>
  <c r="K10" i="18" s="1"/>
  <c r="E10" i="21"/>
  <c r="E11"/>
  <c r="E12"/>
  <c r="E13"/>
  <c r="E14"/>
  <c r="E15"/>
  <c r="E16"/>
  <c r="E17"/>
  <c r="E18"/>
  <c r="E19"/>
  <c r="K11" i="18"/>
  <c r="K12"/>
  <c r="K13"/>
  <c r="K14"/>
  <c r="K15"/>
  <c r="K16"/>
  <c r="K17"/>
  <c r="K18"/>
  <c r="K19"/>
  <c r="K20"/>
  <c r="J8" i="21"/>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J13" i="18"/>
  <c r="I14" i="20" s="1"/>
  <c r="J20" i="18"/>
  <c r="I21" i="20" s="1"/>
  <c r="J19" i="18"/>
  <c r="I20" i="20" s="1"/>
  <c r="J18" i="18"/>
  <c r="J17"/>
  <c r="I18" i="20" s="1"/>
  <c r="J16" i="18"/>
  <c r="I17" i="20" s="1"/>
  <c r="J15" i="18"/>
  <c r="I16" i="20" s="1"/>
  <c r="J14" i="18"/>
  <c r="I15" i="20" s="1"/>
  <c r="J12" i="18"/>
  <c r="I13" i="20" s="1"/>
  <c r="J11" i="18"/>
  <c r="I12" i="20" s="1"/>
  <c r="J10" i="18"/>
  <c r="F74" i="14"/>
  <c r="L78"/>
  <c r="L73"/>
  <c r="N11"/>
  <c r="K11"/>
  <c r="C43" i="13"/>
  <c r="C31"/>
  <c r="E4" i="16" s="1"/>
  <c r="C13" i="13"/>
  <c r="D31" i="12"/>
  <c r="Q16" i="11"/>
  <c r="Q21"/>
  <c r="Q20"/>
  <c r="Q18"/>
  <c r="C13" i="9"/>
  <c r="C9" i="32" l="1"/>
  <c r="C31" s="1"/>
  <c r="AM380" i="33"/>
  <c r="AO380" s="1"/>
  <c r="AA52"/>
  <c r="AA13" s="1"/>
  <c r="AG123"/>
  <c r="T260"/>
  <c r="Z330"/>
  <c r="X16"/>
  <c r="AF16"/>
  <c r="Z52"/>
  <c r="AI52"/>
  <c r="AH110"/>
  <c r="AP110" s="1"/>
  <c r="AQ110" s="1"/>
  <c r="AH151"/>
  <c r="AP151" s="1"/>
  <c r="AQ151" s="1"/>
  <c r="AH213"/>
  <c r="AP213" s="1"/>
  <c r="AQ213" s="1"/>
  <c r="AH215"/>
  <c r="W246"/>
  <c r="AE246"/>
  <c r="Q277"/>
  <c r="AA277"/>
  <c r="AK277"/>
  <c r="AH279"/>
  <c r="AH295"/>
  <c r="AN338"/>
  <c r="AN336" s="1"/>
  <c r="AL342"/>
  <c r="AN14"/>
  <c r="AK16"/>
  <c r="AM18"/>
  <c r="AO18" s="1"/>
  <c r="AJ17"/>
  <c r="AJ16" s="1"/>
  <c r="V16"/>
  <c r="Z16"/>
  <c r="Z13" s="1"/>
  <c r="AD16"/>
  <c r="AM29"/>
  <c r="AO29" s="1"/>
  <c r="K36"/>
  <c r="H36"/>
  <c r="M36"/>
  <c r="X36"/>
  <c r="AB36"/>
  <c r="U46"/>
  <c r="J46"/>
  <c r="AN48"/>
  <c r="Y52"/>
  <c r="AC52"/>
  <c r="AC13" s="1"/>
  <c r="AM55"/>
  <c r="AO55" s="1"/>
  <c r="J62"/>
  <c r="J65"/>
  <c r="AL78"/>
  <c r="H81"/>
  <c r="AL95"/>
  <c r="AM98"/>
  <c r="AO98" s="1"/>
  <c r="AN100"/>
  <c r="AN102"/>
  <c r="AH102"/>
  <c r="AN105"/>
  <c r="AL105"/>
  <c r="AM112"/>
  <c r="AO112" s="1"/>
  <c r="AM116"/>
  <c r="AO116" s="1"/>
  <c r="R124"/>
  <c r="AN128"/>
  <c r="AM132"/>
  <c r="AO132" s="1"/>
  <c r="AH132"/>
  <c r="AP132" s="1"/>
  <c r="AQ132" s="1"/>
  <c r="AM136"/>
  <c r="AO136" s="1"/>
  <c r="AH136"/>
  <c r="AP136" s="1"/>
  <c r="AQ136" s="1"/>
  <c r="AN143"/>
  <c r="M169"/>
  <c r="M123" s="1"/>
  <c r="U169"/>
  <c r="AC169"/>
  <c r="AK169"/>
  <c r="AS169"/>
  <c r="AN206"/>
  <c r="AM209"/>
  <c r="AO209" s="1"/>
  <c r="AN213"/>
  <c r="AN215"/>
  <c r="AM232"/>
  <c r="AH232"/>
  <c r="AP232" s="1"/>
  <c r="AQ232" s="1"/>
  <c r="AM235"/>
  <c r="AM236"/>
  <c r="AO236" s="1"/>
  <c r="O247"/>
  <c r="AM248"/>
  <c r="AP248" s="1"/>
  <c r="I260"/>
  <c r="P260"/>
  <c r="T261"/>
  <c r="Y260"/>
  <c r="AC260"/>
  <c r="AG260"/>
  <c r="AN263"/>
  <c r="H260"/>
  <c r="H122" s="1"/>
  <c r="AH268"/>
  <c r="V277"/>
  <c r="Z277"/>
  <c r="AD277"/>
  <c r="AI277"/>
  <c r="AM280"/>
  <c r="AM282"/>
  <c r="AO282" s="1"/>
  <c r="AP284"/>
  <c r="AQ284" s="1"/>
  <c r="AM286"/>
  <c r="AO286" s="1"/>
  <c r="AH286"/>
  <c r="AP286" s="1"/>
  <c r="AQ286" s="1"/>
  <c r="AN287"/>
  <c r="AN289"/>
  <c r="AN295"/>
  <c r="AH301"/>
  <c r="AP301" s="1"/>
  <c r="AQ301" s="1"/>
  <c r="AN303"/>
  <c r="AN304"/>
  <c r="AN305"/>
  <c r="I277"/>
  <c r="N307"/>
  <c r="AG277"/>
  <c r="AN328"/>
  <c r="J330"/>
  <c r="N338"/>
  <c r="T338"/>
  <c r="T336" s="1"/>
  <c r="X346"/>
  <c r="X341" s="1"/>
  <c r="X340" s="1"/>
  <c r="AB346"/>
  <c r="AB341" s="1"/>
  <c r="AB340" s="1"/>
  <c r="AF346"/>
  <c r="AF341" s="1"/>
  <c r="AF340" s="1"/>
  <c r="T348"/>
  <c r="T347" s="1"/>
  <c r="T346" s="1"/>
  <c r="AM352"/>
  <c r="AO352" s="1"/>
  <c r="AM363"/>
  <c r="AP363" s="1"/>
  <c r="AQ363" s="1"/>
  <c r="AH366"/>
  <c r="U385"/>
  <c r="W52"/>
  <c r="AK52"/>
  <c r="AB16"/>
  <c r="AR16"/>
  <c r="AD52"/>
  <c r="K52"/>
  <c r="Y81"/>
  <c r="M104"/>
  <c r="AB104"/>
  <c r="AH155"/>
  <c r="AH231"/>
  <c r="AH239"/>
  <c r="AP239" s="1"/>
  <c r="AQ239" s="1"/>
  <c r="AH242"/>
  <c r="AP242" s="1"/>
  <c r="AH250"/>
  <c r="AA246"/>
  <c r="K260"/>
  <c r="W277"/>
  <c r="AE277"/>
  <c r="AH304"/>
  <c r="T342"/>
  <c r="AJ365"/>
  <c r="AJ364" s="1"/>
  <c r="J365"/>
  <c r="J364" s="1"/>
  <c r="AM366"/>
  <c r="AO366" s="1"/>
  <c r="AO365" s="1"/>
  <c r="AO364" s="1"/>
  <c r="AN19"/>
  <c r="U22"/>
  <c r="U16" s="1"/>
  <c r="P36"/>
  <c r="V36"/>
  <c r="V13" s="1"/>
  <c r="Z36"/>
  <c r="AD36"/>
  <c r="AL41"/>
  <c r="AL43"/>
  <c r="AJ46"/>
  <c r="O46"/>
  <c r="AM48"/>
  <c r="AO48" s="1"/>
  <c r="AN58"/>
  <c r="AL58"/>
  <c r="R52"/>
  <c r="H70"/>
  <c r="L70"/>
  <c r="X70"/>
  <c r="AB70"/>
  <c r="AF70"/>
  <c r="V70"/>
  <c r="AD70"/>
  <c r="AM78"/>
  <c r="AO78" s="1"/>
  <c r="AN79"/>
  <c r="P81"/>
  <c r="AL98"/>
  <c r="AN101"/>
  <c r="I104"/>
  <c r="Y104"/>
  <c r="AC104"/>
  <c r="AG104"/>
  <c r="AN109"/>
  <c r="J108"/>
  <c r="AL116"/>
  <c r="AN132"/>
  <c r="AM133"/>
  <c r="AO133" s="1"/>
  <c r="AN139"/>
  <c r="AL148"/>
  <c r="K169"/>
  <c r="K123" s="1"/>
  <c r="K122" s="1"/>
  <c r="O169"/>
  <c r="W169"/>
  <c r="AE169"/>
  <c r="AI169"/>
  <c r="AI123" s="1"/>
  <c r="AN207"/>
  <c r="V204"/>
  <c r="AM213"/>
  <c r="AO213" s="1"/>
  <c r="AN216"/>
  <c r="AS222"/>
  <c r="AN232"/>
  <c r="AN236"/>
  <c r="AL236"/>
  <c r="AM238"/>
  <c r="AO238" s="1"/>
  <c r="AH238"/>
  <c r="N241"/>
  <c r="N240" s="1"/>
  <c r="J241"/>
  <c r="J240" s="1"/>
  <c r="AN244"/>
  <c r="R246"/>
  <c r="AB246"/>
  <c r="AH251"/>
  <c r="AP251" s="1"/>
  <c r="AQ251" s="1"/>
  <c r="AN262"/>
  <c r="L260"/>
  <c r="AJ265"/>
  <c r="AN283"/>
  <c r="AN285"/>
  <c r="AN286"/>
  <c r="AM287"/>
  <c r="AO287" s="1"/>
  <c r="AN298"/>
  <c r="AN299"/>
  <c r="AN302"/>
  <c r="X277"/>
  <c r="AB277"/>
  <c r="AF277"/>
  <c r="AN308"/>
  <c r="AJ331"/>
  <c r="AJ330" s="1"/>
  <c r="AM355"/>
  <c r="AO355" s="1"/>
  <c r="AL363"/>
  <c r="Z123"/>
  <c r="Z122" s="1"/>
  <c r="Y124"/>
  <c r="Y123" s="1"/>
  <c r="P204"/>
  <c r="AC204"/>
  <c r="S123"/>
  <c r="Q124"/>
  <c r="AK124"/>
  <c r="AK123" s="1"/>
  <c r="AS124"/>
  <c r="AE123"/>
  <c r="AB204"/>
  <c r="AE204"/>
  <c r="AC124"/>
  <c r="AC123" s="1"/>
  <c r="X204"/>
  <c r="AI204"/>
  <c r="L124"/>
  <c r="L123" s="1"/>
  <c r="AB124"/>
  <c r="AB123" s="1"/>
  <c r="AB122" s="1"/>
  <c r="AF124"/>
  <c r="AF123" s="1"/>
  <c r="J169"/>
  <c r="N169"/>
  <c r="R169"/>
  <c r="R123" s="1"/>
  <c r="V169"/>
  <c r="V123" s="1"/>
  <c r="Z169"/>
  <c r="AD169"/>
  <c r="AD123" s="1"/>
  <c r="AH169"/>
  <c r="AL169"/>
  <c r="AO169"/>
  <c r="AA204"/>
  <c r="AF204"/>
  <c r="D9" i="31"/>
  <c r="AH25" i="33"/>
  <c r="AP25" s="1"/>
  <c r="AQ25" s="1"/>
  <c r="AL25"/>
  <c r="AH59"/>
  <c r="AP59" s="1"/>
  <c r="AQ59" s="1"/>
  <c r="AL59"/>
  <c r="AM66"/>
  <c r="AM65" s="1"/>
  <c r="AM62" s="1"/>
  <c r="T65"/>
  <c r="T62" s="1"/>
  <c r="AL77"/>
  <c r="AH77"/>
  <c r="AH74" s="1"/>
  <c r="O108"/>
  <c r="AN110"/>
  <c r="AH157"/>
  <c r="AP157" s="1"/>
  <c r="AQ157" s="1"/>
  <c r="AL157"/>
  <c r="AH281"/>
  <c r="AL281"/>
  <c r="AH288"/>
  <c r="AL288"/>
  <c r="U333"/>
  <c r="AN334"/>
  <c r="AN333" s="1"/>
  <c r="O378"/>
  <c r="O377" s="1"/>
  <c r="AN379"/>
  <c r="AN378" s="1"/>
  <c r="AN377" s="1"/>
  <c r="AL380"/>
  <c r="AH380"/>
  <c r="AP380" s="1"/>
  <c r="AQ380" s="1"/>
  <c r="AO387"/>
  <c r="AO385" s="1"/>
  <c r="AP387"/>
  <c r="AP385" s="1"/>
  <c r="AM386"/>
  <c r="AM385"/>
  <c r="AH27"/>
  <c r="AP27" s="1"/>
  <c r="AQ27" s="1"/>
  <c r="AL27"/>
  <c r="AH61"/>
  <c r="AP61" s="1"/>
  <c r="AQ61" s="1"/>
  <c r="AL61"/>
  <c r="AL100"/>
  <c r="AH100"/>
  <c r="AL140"/>
  <c r="AH140"/>
  <c r="AL146"/>
  <c r="AH146"/>
  <c r="AP146" s="1"/>
  <c r="AQ146" s="1"/>
  <c r="AH153"/>
  <c r="AP153" s="1"/>
  <c r="AQ153" s="1"/>
  <c r="AL153"/>
  <c r="AH243"/>
  <c r="AL243"/>
  <c r="AL241" s="1"/>
  <c r="AL240" s="1"/>
  <c r="AL263"/>
  <c r="AH263"/>
  <c r="AP263" s="1"/>
  <c r="AQ263" s="1"/>
  <c r="N357"/>
  <c r="N356" s="1"/>
  <c r="AM358"/>
  <c r="AM357" s="1"/>
  <c r="AM356" s="1"/>
  <c r="AL379"/>
  <c r="AL378" s="1"/>
  <c r="AL377" s="1"/>
  <c r="AJ378"/>
  <c r="AJ377" s="1"/>
  <c r="AH379"/>
  <c r="J22"/>
  <c r="I52"/>
  <c r="AD13"/>
  <c r="AR13"/>
  <c r="O37"/>
  <c r="H13"/>
  <c r="AH55"/>
  <c r="AP55" s="1"/>
  <c r="AQ55" s="1"/>
  <c r="AJ65"/>
  <c r="AL66"/>
  <c r="AL65" s="1"/>
  <c r="AJ74"/>
  <c r="U82"/>
  <c r="U81" s="1"/>
  <c r="AJ82"/>
  <c r="T82"/>
  <c r="AL102"/>
  <c r="AH112"/>
  <c r="AH108" s="1"/>
  <c r="J125"/>
  <c r="J124" s="1"/>
  <c r="J123" s="1"/>
  <c r="AL141"/>
  <c r="L204"/>
  <c r="S204"/>
  <c r="AH209"/>
  <c r="AP209" s="1"/>
  <c r="AQ209" s="1"/>
  <c r="U230"/>
  <c r="U229" s="1"/>
  <c r="N246"/>
  <c r="AL248"/>
  <c r="R277"/>
  <c r="AH285"/>
  <c r="AL289"/>
  <c r="AH297"/>
  <c r="AP297" s="1"/>
  <c r="AQ297" s="1"/>
  <c r="AH306"/>
  <c r="AP306" s="1"/>
  <c r="AQ306" s="1"/>
  <c r="O307"/>
  <c r="X330"/>
  <c r="AB330"/>
  <c r="AF330"/>
  <c r="AF122" s="1"/>
  <c r="AA341"/>
  <c r="AA340" s="1"/>
  <c r="J348"/>
  <c r="J347" s="1"/>
  <c r="J346" s="1"/>
  <c r="V346"/>
  <c r="V341" s="1"/>
  <c r="V340" s="1"/>
  <c r="U365"/>
  <c r="U364" s="1"/>
  <c r="AN381"/>
  <c r="J385"/>
  <c r="AH51"/>
  <c r="AL51"/>
  <c r="AH106"/>
  <c r="AL106"/>
  <c r="AL128"/>
  <c r="AH128"/>
  <c r="AP128" s="1"/>
  <c r="AQ128" s="1"/>
  <c r="AH138"/>
  <c r="AP138" s="1"/>
  <c r="AQ138" s="1"/>
  <c r="AL138"/>
  <c r="AL219"/>
  <c r="AL214" s="1"/>
  <c r="AH219"/>
  <c r="AP219" s="1"/>
  <c r="AQ219" s="1"/>
  <c r="AJ214"/>
  <c r="AL262"/>
  <c r="AJ261"/>
  <c r="AJ260" s="1"/>
  <c r="AH293"/>
  <c r="AP293" s="1"/>
  <c r="AQ293" s="1"/>
  <c r="AL293"/>
  <c r="T307"/>
  <c r="AM309"/>
  <c r="AO309" s="1"/>
  <c r="AL19"/>
  <c r="AH19"/>
  <c r="AH23"/>
  <c r="AH22" s="1"/>
  <c r="AL23"/>
  <c r="AL38"/>
  <c r="AJ37"/>
  <c r="AJ36" s="1"/>
  <c r="AH38"/>
  <c r="AH57"/>
  <c r="AL57"/>
  <c r="AH208"/>
  <c r="AL208"/>
  <c r="AH256"/>
  <c r="AL256"/>
  <c r="AL255" s="1"/>
  <c r="AL283"/>
  <c r="AH283"/>
  <c r="AL290"/>
  <c r="AH290"/>
  <c r="AL308"/>
  <c r="AJ307"/>
  <c r="AO329"/>
  <c r="AP329"/>
  <c r="AQ329" s="1"/>
  <c r="Q81"/>
  <c r="Q13" s="1"/>
  <c r="AP116"/>
  <c r="AQ116" s="1"/>
  <c r="X124"/>
  <c r="X123" s="1"/>
  <c r="AM141"/>
  <c r="AP141" s="1"/>
  <c r="AQ141" s="1"/>
  <c r="J230"/>
  <c r="J229" s="1"/>
  <c r="O261"/>
  <c r="O260" s="1"/>
  <c r="AM349"/>
  <c r="AO349" s="1"/>
  <c r="AJ22"/>
  <c r="AL39"/>
  <c r="AL46"/>
  <c r="AK70"/>
  <c r="Y13"/>
  <c r="O74"/>
  <c r="O70" s="1"/>
  <c r="AN77"/>
  <c r="AI81"/>
  <c r="I81"/>
  <c r="AG81"/>
  <c r="AG13" s="1"/>
  <c r="AL109"/>
  <c r="AL108" s="1"/>
  <c r="AN113"/>
  <c r="J113"/>
  <c r="AM129"/>
  <c r="AO129" s="1"/>
  <c r="AL130"/>
  <c r="AH145"/>
  <c r="AP145" s="1"/>
  <c r="AQ145" s="1"/>
  <c r="AP155"/>
  <c r="AQ155" s="1"/>
  <c r="AP159"/>
  <c r="AQ159" s="1"/>
  <c r="W123"/>
  <c r="AL211"/>
  <c r="O214"/>
  <c r="AN231"/>
  <c r="AN238"/>
  <c r="AH262"/>
  <c r="AH280"/>
  <c r="AP280" s="1"/>
  <c r="AQ280" s="1"/>
  <c r="AL284"/>
  <c r="AH287"/>
  <c r="AP287" s="1"/>
  <c r="AQ287" s="1"/>
  <c r="AL309"/>
  <c r="U330"/>
  <c r="AN332"/>
  <c r="AN331" s="1"/>
  <c r="AM344"/>
  <c r="AO344" s="1"/>
  <c r="I346"/>
  <c r="P346"/>
  <c r="P341" s="1"/>
  <c r="P340" s="1"/>
  <c r="AC346"/>
  <c r="AM359"/>
  <c r="AO359" s="1"/>
  <c r="AA346"/>
  <c r="AM376"/>
  <c r="AO376" s="1"/>
  <c r="AM382"/>
  <c r="AL385"/>
  <c r="AM19"/>
  <c r="AO19" s="1"/>
  <c r="AO17" s="1"/>
  <c r="AP24"/>
  <c r="AQ24" s="1"/>
  <c r="AN28"/>
  <c r="AP28"/>
  <c r="AQ28" s="1"/>
  <c r="AN34"/>
  <c r="AL34"/>
  <c r="AN41"/>
  <c r="AN43"/>
  <c r="AN37" s="1"/>
  <c r="AH46"/>
  <c r="X52"/>
  <c r="AB52"/>
  <c r="AF52"/>
  <c r="AF13" s="1"/>
  <c r="AR52"/>
  <c r="J53"/>
  <c r="J52" s="1"/>
  <c r="AM57"/>
  <c r="AO57" s="1"/>
  <c r="AP58"/>
  <c r="AQ58" s="1"/>
  <c r="AM69"/>
  <c r="AO69" s="1"/>
  <c r="AM80"/>
  <c r="M81"/>
  <c r="M13" s="1"/>
  <c r="AN95"/>
  <c r="AN94" s="1"/>
  <c r="AN98"/>
  <c r="AM102"/>
  <c r="AO102" s="1"/>
  <c r="AM110"/>
  <c r="AO110" s="1"/>
  <c r="J104"/>
  <c r="AN118"/>
  <c r="AM128"/>
  <c r="AO128" s="1"/>
  <c r="AM131"/>
  <c r="AO131" s="1"/>
  <c r="AN134"/>
  <c r="AM138"/>
  <c r="AO138" s="1"/>
  <c r="AM140"/>
  <c r="AO140" s="1"/>
  <c r="AM143"/>
  <c r="AO143" s="1"/>
  <c r="AP144"/>
  <c r="AQ144" s="1"/>
  <c r="AP148"/>
  <c r="AQ148" s="1"/>
  <c r="J205"/>
  <c r="U205"/>
  <c r="AM208"/>
  <c r="AO208" s="1"/>
  <c r="AM211"/>
  <c r="AO211" s="1"/>
  <c r="AN218"/>
  <c r="AN214" s="1"/>
  <c r="O230"/>
  <c r="O229" s="1"/>
  <c r="AN233"/>
  <c r="AL233"/>
  <c r="AN237"/>
  <c r="AM243"/>
  <c r="AO243" s="1"/>
  <c r="M246"/>
  <c r="AK246"/>
  <c r="AP254"/>
  <c r="AQ254" s="1"/>
  <c r="R260"/>
  <c r="W260"/>
  <c r="AA260"/>
  <c r="AE260"/>
  <c r="U261"/>
  <c r="U260" s="1"/>
  <c r="J261"/>
  <c r="J260" s="1"/>
  <c r="AN264"/>
  <c r="AL265"/>
  <c r="AN280"/>
  <c r="AM281"/>
  <c r="AO281" s="1"/>
  <c r="AM283"/>
  <c r="AO283" s="1"/>
  <c r="AM288"/>
  <c r="AO288" s="1"/>
  <c r="AN291"/>
  <c r="AN292"/>
  <c r="AN296"/>
  <c r="AN300"/>
  <c r="AN306"/>
  <c r="AN311"/>
  <c r="Q330"/>
  <c r="AO335"/>
  <c r="AP339"/>
  <c r="AQ339" s="1"/>
  <c r="R341"/>
  <c r="R340" s="1"/>
  <c r="AR346"/>
  <c r="AR341" s="1"/>
  <c r="AR340" s="1"/>
  <c r="AM350"/>
  <c r="AO350" s="1"/>
  <c r="AH350"/>
  <c r="AM351"/>
  <c r="AO351" s="1"/>
  <c r="AN354"/>
  <c r="AP359"/>
  <c r="AQ359" s="1"/>
  <c r="O361"/>
  <c r="O360" s="1"/>
  <c r="AH362"/>
  <c r="AH361" s="1"/>
  <c r="AH360" s="1"/>
  <c r="AN366"/>
  <c r="AL366"/>
  <c r="AM372"/>
  <c r="AO372" s="1"/>
  <c r="AO384"/>
  <c r="W346"/>
  <c r="AE346"/>
  <c r="AE341" s="1"/>
  <c r="AE340" s="1"/>
  <c r="L16"/>
  <c r="J17"/>
  <c r="J16" s="1"/>
  <c r="AN23"/>
  <c r="AN25"/>
  <c r="AN27"/>
  <c r="W36"/>
  <c r="W13" s="1"/>
  <c r="AA36"/>
  <c r="AE36"/>
  <c r="AE13" s="1"/>
  <c r="U37"/>
  <c r="U36" s="1"/>
  <c r="J37"/>
  <c r="J36" s="1"/>
  <c r="AN39"/>
  <c r="AP41"/>
  <c r="AQ41" s="1"/>
  <c r="AP44"/>
  <c r="AQ44" s="1"/>
  <c r="AP47"/>
  <c r="AQ47" s="1"/>
  <c r="AM51"/>
  <c r="AO51" s="1"/>
  <c r="AM54"/>
  <c r="AO54" s="1"/>
  <c r="AJ53"/>
  <c r="AN57"/>
  <c r="AN59"/>
  <c r="AN61"/>
  <c r="AN63"/>
  <c r="AS52"/>
  <c r="AS13" s="1"/>
  <c r="AN67"/>
  <c r="J74"/>
  <c r="J70" s="1"/>
  <c r="AN78"/>
  <c r="T74"/>
  <c r="T70" s="1"/>
  <c r="AM84"/>
  <c r="AH84"/>
  <c r="AM85"/>
  <c r="AH85"/>
  <c r="AP85" s="1"/>
  <c r="AM91"/>
  <c r="AO91" s="1"/>
  <c r="AK81"/>
  <c r="AN96"/>
  <c r="AP98"/>
  <c r="AQ98" s="1"/>
  <c r="AN99"/>
  <c r="J94"/>
  <c r="J81" s="1"/>
  <c r="AH101"/>
  <c r="AP101" s="1"/>
  <c r="AQ101" s="1"/>
  <c r="AN106"/>
  <c r="U113"/>
  <c r="AM115"/>
  <c r="AO115" s="1"/>
  <c r="AH115"/>
  <c r="AM118"/>
  <c r="AO118" s="1"/>
  <c r="L104"/>
  <c r="AN129"/>
  <c r="AM130"/>
  <c r="AO130" s="1"/>
  <c r="AN135"/>
  <c r="AN138"/>
  <c r="AN141"/>
  <c r="AM142"/>
  <c r="AO142" s="1"/>
  <c r="AP158"/>
  <c r="AQ158" s="1"/>
  <c r="T205"/>
  <c r="AN210"/>
  <c r="AN211"/>
  <c r="W204"/>
  <c r="AP216"/>
  <c r="AQ216" s="1"/>
  <c r="AM234"/>
  <c r="AO234" s="1"/>
  <c r="AM237"/>
  <c r="AO237" s="1"/>
  <c r="AN243"/>
  <c r="J247"/>
  <c r="J246" s="1"/>
  <c r="AM249"/>
  <c r="AO249" s="1"/>
  <c r="AP253"/>
  <c r="AQ253" s="1"/>
  <c r="AN256"/>
  <c r="AN255" s="1"/>
  <c r="AP258"/>
  <c r="AQ258" s="1"/>
  <c r="V260"/>
  <c r="Z260"/>
  <c r="AD260"/>
  <c r="S277"/>
  <c r="AN281"/>
  <c r="AN288"/>
  <c r="AN290"/>
  <c r="AN293"/>
  <c r="AP295"/>
  <c r="AQ295" s="1"/>
  <c r="AP299"/>
  <c r="AQ299" s="1"/>
  <c r="AM306"/>
  <c r="AO306" s="1"/>
  <c r="AN309"/>
  <c r="AM310"/>
  <c r="AO310" s="1"/>
  <c r="AN312"/>
  <c r="P330"/>
  <c r="P122" s="1"/>
  <c r="Y330"/>
  <c r="AC330"/>
  <c r="AG330"/>
  <c r="AH342"/>
  <c r="J342"/>
  <c r="AJ348"/>
  <c r="AJ347" s="1"/>
  <c r="M346"/>
  <c r="M341" s="1"/>
  <c r="M340" s="1"/>
  <c r="K346"/>
  <c r="K341" s="1"/>
  <c r="K340" s="1"/>
  <c r="AN358"/>
  <c r="AN357" s="1"/>
  <c r="AN356" s="1"/>
  <c r="AP367"/>
  <c r="AQ367" s="1"/>
  <c r="N381"/>
  <c r="U381"/>
  <c r="AO82"/>
  <c r="AH18"/>
  <c r="AL18"/>
  <c r="AH29"/>
  <c r="AP29" s="1"/>
  <c r="AQ29" s="1"/>
  <c r="AL29"/>
  <c r="AM38"/>
  <c r="AP38" s="1"/>
  <c r="N37"/>
  <c r="N36" s="1"/>
  <c r="AH37"/>
  <c r="AH36" s="1"/>
  <c r="AM40"/>
  <c r="AO40" s="1"/>
  <c r="T37"/>
  <c r="AN56"/>
  <c r="U53"/>
  <c r="AO56"/>
  <c r="AP56"/>
  <c r="AQ56" s="1"/>
  <c r="AH96"/>
  <c r="AP96" s="1"/>
  <c r="AQ96" s="1"/>
  <c r="AJ94"/>
  <c r="AL96"/>
  <c r="AM100"/>
  <c r="AO100" s="1"/>
  <c r="N94"/>
  <c r="T108"/>
  <c r="AM109"/>
  <c r="AM108" s="1"/>
  <c r="T120"/>
  <c r="X104"/>
  <c r="AN131"/>
  <c r="O125"/>
  <c r="O124" s="1"/>
  <c r="O123" s="1"/>
  <c r="AH135"/>
  <c r="AP135" s="1"/>
  <c r="AQ135" s="1"/>
  <c r="AL135"/>
  <c r="AH139"/>
  <c r="AP139" s="1"/>
  <c r="AQ139" s="1"/>
  <c r="AL139"/>
  <c r="AO150"/>
  <c r="AP150"/>
  <c r="AQ150" s="1"/>
  <c r="AH152"/>
  <c r="AP152" s="1"/>
  <c r="AQ152" s="1"/>
  <c r="AL152"/>
  <c r="AH252"/>
  <c r="AL252"/>
  <c r="AL247" s="1"/>
  <c r="AO280"/>
  <c r="AM379"/>
  <c r="N378"/>
  <c r="N377" s="1"/>
  <c r="AH378"/>
  <c r="AH377" s="1"/>
  <c r="AP15"/>
  <c r="AQ15" s="1"/>
  <c r="K13"/>
  <c r="AM17"/>
  <c r="AI36"/>
  <c r="AP39"/>
  <c r="AQ39" s="1"/>
  <c r="L52"/>
  <c r="AO73"/>
  <c r="AO71" s="1"/>
  <c r="AN74"/>
  <c r="AN70" s="1"/>
  <c r="AM79"/>
  <c r="AO79" s="1"/>
  <c r="AH79"/>
  <c r="T125"/>
  <c r="T124" s="1"/>
  <c r="T123" s="1"/>
  <c r="AJ205"/>
  <c r="AJ204" s="1"/>
  <c r="U278"/>
  <c r="J278"/>
  <c r="AN18"/>
  <c r="AN17" s="1"/>
  <c r="O17"/>
  <c r="AN29"/>
  <c r="O22"/>
  <c r="AH103"/>
  <c r="AP103" s="1"/>
  <c r="AQ103" s="1"/>
  <c r="AL103"/>
  <c r="AM117"/>
  <c r="T113"/>
  <c r="AH119"/>
  <c r="AP119" s="1"/>
  <c r="AQ119" s="1"/>
  <c r="AL119"/>
  <c r="AO126"/>
  <c r="AH143"/>
  <c r="AL143"/>
  <c r="AH161"/>
  <c r="AP161" s="1"/>
  <c r="AQ161" s="1"/>
  <c r="AL161"/>
  <c r="AM231"/>
  <c r="AP231" s="1"/>
  <c r="N230"/>
  <c r="N229" s="1"/>
  <c r="AM233"/>
  <c r="T230"/>
  <c r="T229" s="1"/>
  <c r="AO250"/>
  <c r="AP250"/>
  <c r="AQ250" s="1"/>
  <c r="AH302"/>
  <c r="AP302" s="1"/>
  <c r="AQ302" s="1"/>
  <c r="AL302"/>
  <c r="AO34"/>
  <c r="AO22" s="1"/>
  <c r="AM50"/>
  <c r="AO50" s="1"/>
  <c r="AO46" s="1"/>
  <c r="T46"/>
  <c r="AN54"/>
  <c r="AN53" s="1"/>
  <c r="O53"/>
  <c r="O52" s="1"/>
  <c r="AJ62"/>
  <c r="AJ52" s="1"/>
  <c r="AL63"/>
  <c r="AH69"/>
  <c r="AP69" s="1"/>
  <c r="AQ69" s="1"/>
  <c r="AL69"/>
  <c r="AH73"/>
  <c r="AL73"/>
  <c r="AL71" s="1"/>
  <c r="AJ71"/>
  <c r="AJ70" s="1"/>
  <c r="AH83"/>
  <c r="AP83" s="1"/>
  <c r="AQ83" s="1"/>
  <c r="AL83"/>
  <c r="AN91"/>
  <c r="AN82" s="1"/>
  <c r="O82"/>
  <c r="AH118"/>
  <c r="AL118"/>
  <c r="AL113" s="1"/>
  <c r="AJ113"/>
  <c r="AH131"/>
  <c r="AP131" s="1"/>
  <c r="AQ131" s="1"/>
  <c r="AL131"/>
  <c r="AO145"/>
  <c r="AH147"/>
  <c r="AP147" s="1"/>
  <c r="AQ147" s="1"/>
  <c r="AL147"/>
  <c r="AO154"/>
  <c r="AP154"/>
  <c r="AQ154" s="1"/>
  <c r="AH156"/>
  <c r="AP156" s="1"/>
  <c r="AQ156" s="1"/>
  <c r="AL156"/>
  <c r="U247"/>
  <c r="U246" s="1"/>
  <c r="AN248"/>
  <c r="AN247" s="1"/>
  <c r="AO248"/>
  <c r="AH255"/>
  <c r="AM14"/>
  <c r="AP23"/>
  <c r="AQ23" s="1"/>
  <c r="AP43"/>
  <c r="AQ43" s="1"/>
  <c r="AP115"/>
  <c r="AQ115" s="1"/>
  <c r="AP130"/>
  <c r="AQ130" s="1"/>
  <c r="AP243"/>
  <c r="AQ243" s="1"/>
  <c r="AP19"/>
  <c r="AQ19" s="1"/>
  <c r="T22"/>
  <c r="T16" s="1"/>
  <c r="AP34"/>
  <c r="AP48"/>
  <c r="AQ48" s="1"/>
  <c r="R104"/>
  <c r="R13" s="1"/>
  <c r="AP112"/>
  <c r="AQ112" s="1"/>
  <c r="Q123"/>
  <c r="AC122"/>
  <c r="AP140"/>
  <c r="AQ140" s="1"/>
  <c r="AP203"/>
  <c r="AQ203" s="1"/>
  <c r="AP238"/>
  <c r="AQ238" s="1"/>
  <c r="AH35"/>
  <c r="AP35" s="1"/>
  <c r="AQ35" s="1"/>
  <c r="AL35"/>
  <c r="AP63"/>
  <c r="AH99"/>
  <c r="AP99" s="1"/>
  <c r="AQ99" s="1"/>
  <c r="AL99"/>
  <c r="AM114"/>
  <c r="N113"/>
  <c r="U125"/>
  <c r="U124" s="1"/>
  <c r="U123" s="1"/>
  <c r="AN126"/>
  <c r="AH54"/>
  <c r="AL54"/>
  <c r="AN66"/>
  <c r="AN65" s="1"/>
  <c r="AN62" s="1"/>
  <c r="U65"/>
  <c r="U62" s="1"/>
  <c r="AO66"/>
  <c r="AO65" s="1"/>
  <c r="AO62" s="1"/>
  <c r="AM77"/>
  <c r="N74"/>
  <c r="N70" s="1"/>
  <c r="AH91"/>
  <c r="AL91"/>
  <c r="T94"/>
  <c r="T81" s="1"/>
  <c r="AM95"/>
  <c r="AM105"/>
  <c r="U108"/>
  <c r="U104" s="1"/>
  <c r="AN112"/>
  <c r="AN108" s="1"/>
  <c r="AN104" s="1"/>
  <c r="AJ120"/>
  <c r="N120"/>
  <c r="AM120" s="1"/>
  <c r="AO120" s="1"/>
  <c r="S120"/>
  <c r="O120" s="1"/>
  <c r="AN120" s="1"/>
  <c r="AO141"/>
  <c r="AL210"/>
  <c r="AH210"/>
  <c r="AP210" s="1"/>
  <c r="AQ210" s="1"/>
  <c r="AO264"/>
  <c r="AP264"/>
  <c r="AQ264" s="1"/>
  <c r="AN282"/>
  <c r="O278"/>
  <c r="AN349"/>
  <c r="O348"/>
  <c r="O347" s="1"/>
  <c r="AN47"/>
  <c r="AJ81"/>
  <c r="AP106"/>
  <c r="AQ106" s="1"/>
  <c r="AP26"/>
  <c r="AQ26" s="1"/>
  <c r="AP42"/>
  <c r="AQ42" s="1"/>
  <c r="P52"/>
  <c r="P13" s="1"/>
  <c r="T53"/>
  <c r="AM53"/>
  <c r="AP60"/>
  <c r="AQ60" s="1"/>
  <c r="U74"/>
  <c r="U70" s="1"/>
  <c r="AP84"/>
  <c r="AQ84" s="1"/>
  <c r="AM82"/>
  <c r="I123"/>
  <c r="I122" s="1"/>
  <c r="AG122"/>
  <c r="N125"/>
  <c r="N124" s="1"/>
  <c r="AP126"/>
  <c r="AP133"/>
  <c r="AQ133" s="1"/>
  <c r="AP134"/>
  <c r="AQ134" s="1"/>
  <c r="AP169"/>
  <c r="AP350"/>
  <c r="AQ350" s="1"/>
  <c r="AH237"/>
  <c r="AP237" s="1"/>
  <c r="AQ237" s="1"/>
  <c r="AL237"/>
  <c r="AJ230"/>
  <c r="AJ229" s="1"/>
  <c r="AM262"/>
  <c r="AP262" s="1"/>
  <c r="N261"/>
  <c r="AH261"/>
  <c r="AM279"/>
  <c r="AP279" s="1"/>
  <c r="N278"/>
  <c r="N277" s="1"/>
  <c r="AH300"/>
  <c r="AP300" s="1"/>
  <c r="AQ300" s="1"/>
  <c r="AL300"/>
  <c r="O342"/>
  <c r="AO386"/>
  <c r="AL79"/>
  <c r="AL74" s="1"/>
  <c r="O205"/>
  <c r="AH207"/>
  <c r="AP207" s="1"/>
  <c r="AQ207" s="1"/>
  <c r="U214"/>
  <c r="J214"/>
  <c r="J204" s="1"/>
  <c r="AL222"/>
  <c r="AL230"/>
  <c r="AL229" s="1"/>
  <c r="AI260"/>
  <c r="AH228"/>
  <c r="AP228" s="1"/>
  <c r="AQ228" s="1"/>
  <c r="AL228"/>
  <c r="AO232"/>
  <c r="U241"/>
  <c r="U240" s="1"/>
  <c r="AN242"/>
  <c r="AO242"/>
  <c r="AM241"/>
  <c r="AM240" s="1"/>
  <c r="AO244"/>
  <c r="AP244"/>
  <c r="AQ244" s="1"/>
  <c r="AH282"/>
  <c r="AP282" s="1"/>
  <c r="AQ282" s="1"/>
  <c r="AL282"/>
  <c r="AH296"/>
  <c r="AP296" s="1"/>
  <c r="AQ296" s="1"/>
  <c r="AL296"/>
  <c r="AM332"/>
  <c r="T331"/>
  <c r="T330" s="1"/>
  <c r="AL338"/>
  <c r="AL336" s="1"/>
  <c r="AJ336"/>
  <c r="AH338"/>
  <c r="AO363"/>
  <c r="AO383"/>
  <c r="AP383"/>
  <c r="AL203"/>
  <c r="AO222"/>
  <c r="AS246"/>
  <c r="T247"/>
  <c r="S260"/>
  <c r="S122" s="1"/>
  <c r="AN261"/>
  <c r="AN260" s="1"/>
  <c r="AN278"/>
  <c r="T278"/>
  <c r="J307"/>
  <c r="AM206"/>
  <c r="AP206" s="1"/>
  <c r="N205"/>
  <c r="AM215"/>
  <c r="AP215" s="1"/>
  <c r="N214"/>
  <c r="AH214"/>
  <c r="AM217"/>
  <c r="AO217" s="1"/>
  <c r="T214"/>
  <c r="T204" s="1"/>
  <c r="AO235"/>
  <c r="AP235"/>
  <c r="AQ235" s="1"/>
  <c r="T255"/>
  <c r="AM256"/>
  <c r="AM268"/>
  <c r="N265"/>
  <c r="AH265"/>
  <c r="AH298"/>
  <c r="AP298" s="1"/>
  <c r="AQ298" s="1"/>
  <c r="AL298"/>
  <c r="AL305"/>
  <c r="AH305"/>
  <c r="AP305" s="1"/>
  <c r="AQ305" s="1"/>
  <c r="AO308"/>
  <c r="AM371"/>
  <c r="N370"/>
  <c r="N369" s="1"/>
  <c r="N17"/>
  <c r="N22"/>
  <c r="N53"/>
  <c r="N52" s="1"/>
  <c r="AI74"/>
  <c r="AI70" s="1"/>
  <c r="AI13" s="1"/>
  <c r="N82"/>
  <c r="N81" s="1"/>
  <c r="O94"/>
  <c r="O104"/>
  <c r="AJ108"/>
  <c r="AJ125"/>
  <c r="AJ124" s="1"/>
  <c r="AJ123" s="1"/>
  <c r="AR125"/>
  <c r="AR124" s="1"/>
  <c r="AR123" s="1"/>
  <c r="AR122" s="1"/>
  <c r="AH160"/>
  <c r="AP160" s="1"/>
  <c r="AQ160" s="1"/>
  <c r="AN208"/>
  <c r="AN205" s="1"/>
  <c r="AN204" s="1"/>
  <c r="T241"/>
  <c r="T240" s="1"/>
  <c r="AP283"/>
  <c r="AQ283" s="1"/>
  <c r="Y346"/>
  <c r="Y341" s="1"/>
  <c r="Y340" s="1"/>
  <c r="AG346"/>
  <c r="AL351"/>
  <c r="AH351"/>
  <c r="AL372"/>
  <c r="AH372"/>
  <c r="AP372" s="1"/>
  <c r="AQ372" s="1"/>
  <c r="AL375"/>
  <c r="AL374" s="1"/>
  <c r="AL373" s="1"/>
  <c r="AJ374"/>
  <c r="AJ373" s="1"/>
  <c r="AH375"/>
  <c r="AO382"/>
  <c r="AM381"/>
  <c r="AO221"/>
  <c r="O241"/>
  <c r="O240" s="1"/>
  <c r="AO245"/>
  <c r="AJ278"/>
  <c r="AJ277" s="1"/>
  <c r="AM285"/>
  <c r="AO285" s="1"/>
  <c r="AP290"/>
  <c r="AQ290" s="1"/>
  <c r="AP291"/>
  <c r="AQ291" s="1"/>
  <c r="AP304"/>
  <c r="AQ304" s="1"/>
  <c r="U307"/>
  <c r="AP310"/>
  <c r="AQ310" s="1"/>
  <c r="AM328"/>
  <c r="AO328" s="1"/>
  <c r="N333"/>
  <c r="N330" s="1"/>
  <c r="AC341"/>
  <c r="AC340" s="1"/>
  <c r="AG341"/>
  <c r="AG340" s="1"/>
  <c r="AM343"/>
  <c r="Q346"/>
  <c r="Q341" s="1"/>
  <c r="Q340" s="1"/>
  <c r="AS346"/>
  <c r="AV346" s="1"/>
  <c r="AW346" s="1"/>
  <c r="AN350"/>
  <c r="AP352"/>
  <c r="AQ352" s="1"/>
  <c r="AM353"/>
  <c r="S346"/>
  <c r="S341" s="1"/>
  <c r="S340" s="1"/>
  <c r="AM362"/>
  <c r="AN367"/>
  <c r="AN365" s="1"/>
  <c r="AN364" s="1"/>
  <c r="AN387"/>
  <c r="AO334"/>
  <c r="AO333" s="1"/>
  <c r="AM333"/>
  <c r="U344"/>
  <c r="U342" s="1"/>
  <c r="W342"/>
  <c r="W341" s="1"/>
  <c r="W340" s="1"/>
  <c r="AL349"/>
  <c r="AH349"/>
  <c r="AL354"/>
  <c r="AH354"/>
  <c r="AP354" s="1"/>
  <c r="AQ354" s="1"/>
  <c r="AH357"/>
  <c r="AH356" s="1"/>
  <c r="AH365"/>
  <c r="AH364" s="1"/>
  <c r="AP366"/>
  <c r="AL371"/>
  <c r="AL370" s="1"/>
  <c r="AL369" s="1"/>
  <c r="AJ370"/>
  <c r="AJ369" s="1"/>
  <c r="AH371"/>
  <c r="AL376"/>
  <c r="AH376"/>
  <c r="AN330"/>
  <c r="AS341"/>
  <c r="AS340" s="1"/>
  <c r="T341"/>
  <c r="T340" s="1"/>
  <c r="H346"/>
  <c r="H341" s="1"/>
  <c r="H340" s="1"/>
  <c r="AL311"/>
  <c r="AH311"/>
  <c r="AP311" s="1"/>
  <c r="AQ311" s="1"/>
  <c r="AL312"/>
  <c r="AH312"/>
  <c r="AP312" s="1"/>
  <c r="AQ312" s="1"/>
  <c r="AI333"/>
  <c r="AI330" s="1"/>
  <c r="AL334"/>
  <c r="AL333" s="1"/>
  <c r="AL330" s="1"/>
  <c r="AH334"/>
  <c r="N336"/>
  <c r="AM338"/>
  <c r="AL355"/>
  <c r="AH355"/>
  <c r="AP355" s="1"/>
  <c r="AQ355" s="1"/>
  <c r="AM365"/>
  <c r="AM364" s="1"/>
  <c r="AM375"/>
  <c r="N374"/>
  <c r="N373" s="1"/>
  <c r="AJ241"/>
  <c r="AJ240" s="1"/>
  <c r="AJ247"/>
  <c r="AJ246" s="1"/>
  <c r="O255"/>
  <c r="O246" s="1"/>
  <c r="AN284"/>
  <c r="AM289"/>
  <c r="AO289" s="1"/>
  <c r="AH308"/>
  <c r="AN310"/>
  <c r="AL310"/>
  <c r="I341"/>
  <c r="I340" s="1"/>
  <c r="Z341"/>
  <c r="Z340" s="1"/>
  <c r="AD341"/>
  <c r="AD340" s="1"/>
  <c r="J341"/>
  <c r="J340" s="1"/>
  <c r="AP345"/>
  <c r="AQ345" s="1"/>
  <c r="L346"/>
  <c r="L341" s="1"/>
  <c r="L340" s="1"/>
  <c r="AK346"/>
  <c r="AK341" s="1"/>
  <c r="AK340" s="1"/>
  <c r="U348"/>
  <c r="U347" s="1"/>
  <c r="U346" s="1"/>
  <c r="AN352"/>
  <c r="AO358"/>
  <c r="AO357" s="1"/>
  <c r="AO356" s="1"/>
  <c r="X336"/>
  <c r="AI348"/>
  <c r="AI347" s="1"/>
  <c r="AL352"/>
  <c r="AL358"/>
  <c r="AL357" s="1"/>
  <c r="AL356" s="1"/>
  <c r="AL359"/>
  <c r="O365"/>
  <c r="O364" s="1"/>
  <c r="AI365"/>
  <c r="AI364" s="1"/>
  <c r="AL367"/>
  <c r="AL386"/>
  <c r="AP386"/>
  <c r="R336"/>
  <c r="N342"/>
  <c r="AJ357"/>
  <c r="AJ356" s="1"/>
  <c r="N361"/>
  <c r="N360" s="1"/>
  <c r="K9" i="18"/>
  <c r="F9" i="21"/>
  <c r="T11" i="20" s="1"/>
  <c r="AN36" i="33" l="1"/>
  <c r="N346"/>
  <c r="AQ387"/>
  <c r="AP358"/>
  <c r="AQ358" s="1"/>
  <c r="AQ357" s="1"/>
  <c r="AQ356" s="1"/>
  <c r="AP288"/>
  <c r="AQ288" s="1"/>
  <c r="AL278"/>
  <c r="AP236"/>
  <c r="AQ236" s="1"/>
  <c r="O204"/>
  <c r="AP78"/>
  <c r="AQ78" s="1"/>
  <c r="T52"/>
  <c r="AL82"/>
  <c r="AL53"/>
  <c r="AL52" s="1"/>
  <c r="N104"/>
  <c r="Q122"/>
  <c r="AL62"/>
  <c r="AM125"/>
  <c r="AM124" s="1"/>
  <c r="AM123" s="1"/>
  <c r="T104"/>
  <c r="AL94"/>
  <c r="AO53"/>
  <c r="AK122"/>
  <c r="AK12" s="1"/>
  <c r="AK10" s="1"/>
  <c r="AO16"/>
  <c r="AP57"/>
  <c r="AQ57" s="1"/>
  <c r="AP51"/>
  <c r="AQ51" s="1"/>
  <c r="O36"/>
  <c r="I13"/>
  <c r="I12" s="1"/>
  <c r="I10" s="1"/>
  <c r="AA122"/>
  <c r="L122"/>
  <c r="AS123"/>
  <c r="AV123" s="1"/>
  <c r="AC12"/>
  <c r="K12"/>
  <c r="K10" s="1"/>
  <c r="V122"/>
  <c r="V12" s="1"/>
  <c r="V10" s="1"/>
  <c r="H12"/>
  <c r="H10" s="1"/>
  <c r="Z12"/>
  <c r="Z10" s="1"/>
  <c r="X122"/>
  <c r="AN307"/>
  <c r="AN277" s="1"/>
  <c r="AO381"/>
  <c r="T277"/>
  <c r="T246"/>
  <c r="AN241"/>
  <c r="AN240" s="1"/>
  <c r="AN46"/>
  <c r="AL205"/>
  <c r="AM22"/>
  <c r="L13"/>
  <c r="L12" s="1"/>
  <c r="L10" s="1"/>
  <c r="AL246"/>
  <c r="X13"/>
  <c r="AL17"/>
  <c r="AB13"/>
  <c r="AK13"/>
  <c r="AP208"/>
  <c r="AQ208" s="1"/>
  <c r="AP379"/>
  <c r="AH241"/>
  <c r="AH240" s="1"/>
  <c r="Y122"/>
  <c r="Y12" s="1"/>
  <c r="Y10" s="1"/>
  <c r="N204"/>
  <c r="AD122"/>
  <c r="AD12" s="1"/>
  <c r="AD10" s="1"/>
  <c r="N123"/>
  <c r="AL204"/>
  <c r="AE122"/>
  <c r="AE12" s="1"/>
  <c r="AE10" s="1"/>
  <c r="AB12"/>
  <c r="AB10" s="1"/>
  <c r="J13"/>
  <c r="AN246"/>
  <c r="O16"/>
  <c r="AP109"/>
  <c r="AQ109" s="1"/>
  <c r="AQ108" s="1"/>
  <c r="AF12"/>
  <c r="AF10" s="1"/>
  <c r="AP102"/>
  <c r="AQ102" s="1"/>
  <c r="AP281"/>
  <c r="AQ281" s="1"/>
  <c r="R122"/>
  <c r="AL365"/>
  <c r="AL364" s="1"/>
  <c r="AL307"/>
  <c r="AL277" s="1"/>
  <c r="AL122" s="1"/>
  <c r="U341"/>
  <c r="U340" s="1"/>
  <c r="AP344"/>
  <c r="AQ344" s="1"/>
  <c r="AP351"/>
  <c r="AQ351" s="1"/>
  <c r="AP211"/>
  <c r="AQ211" s="1"/>
  <c r="AR12"/>
  <c r="AR10" s="1"/>
  <c r="AP256"/>
  <c r="AP255" s="1"/>
  <c r="AO241"/>
  <c r="AO240" s="1"/>
  <c r="AI122"/>
  <c r="AI12" s="1"/>
  <c r="AH260"/>
  <c r="AM348"/>
  <c r="AM347" s="1"/>
  <c r="AO109"/>
  <c r="AO108" s="1"/>
  <c r="O277"/>
  <c r="Q12"/>
  <c r="Q10" s="1"/>
  <c r="AP50"/>
  <c r="AQ50" s="1"/>
  <c r="AQ46" s="1"/>
  <c r="AO247"/>
  <c r="AO246" s="1"/>
  <c r="AL125"/>
  <c r="AL124" s="1"/>
  <c r="AL123" s="1"/>
  <c r="AP118"/>
  <c r="AQ118" s="1"/>
  <c r="AH230"/>
  <c r="AH229" s="1"/>
  <c r="AN22"/>
  <c r="AA12"/>
  <c r="AA10" s="1"/>
  <c r="U52"/>
  <c r="U13" s="1"/>
  <c r="AL22"/>
  <c r="AL16" s="1"/>
  <c r="AP142"/>
  <c r="AQ142" s="1"/>
  <c r="AL261"/>
  <c r="AL260" s="1"/>
  <c r="AO80"/>
  <c r="AP80"/>
  <c r="AQ80" s="1"/>
  <c r="P12"/>
  <c r="P10" s="1"/>
  <c r="AH125"/>
  <c r="AH124" s="1"/>
  <c r="AH123" s="1"/>
  <c r="AC10"/>
  <c r="AN230"/>
  <c r="AN229" s="1"/>
  <c r="W122"/>
  <c r="W12" s="1"/>
  <c r="W10" s="1"/>
  <c r="M122"/>
  <c r="M12" s="1"/>
  <c r="M10" s="1"/>
  <c r="AP309"/>
  <c r="AQ309" s="1"/>
  <c r="AJ346"/>
  <c r="AJ341" s="1"/>
  <c r="AJ340" s="1"/>
  <c r="AP376"/>
  <c r="AQ376" s="1"/>
  <c r="AH205"/>
  <c r="AP234"/>
  <c r="AQ234" s="1"/>
  <c r="AP66"/>
  <c r="AQ66" s="1"/>
  <c r="AQ65" s="1"/>
  <c r="AP249"/>
  <c r="AQ249" s="1"/>
  <c r="U204"/>
  <c r="AG12"/>
  <c r="AG10" s="1"/>
  <c r="O346"/>
  <c r="AM247"/>
  <c r="AN81"/>
  <c r="AP143"/>
  <c r="AQ143" s="1"/>
  <c r="AP129"/>
  <c r="AQ129" s="1"/>
  <c r="AL37"/>
  <c r="AL36" s="1"/>
  <c r="AQ231"/>
  <c r="AO52"/>
  <c r="AP308"/>
  <c r="AH307"/>
  <c r="AO338"/>
  <c r="AO336" s="1"/>
  <c r="AM336"/>
  <c r="AP371"/>
  <c r="AH370"/>
  <c r="AH369" s="1"/>
  <c r="AP381"/>
  <c r="AQ383"/>
  <c r="AQ381" s="1"/>
  <c r="AQ385"/>
  <c r="AQ386"/>
  <c r="AP349"/>
  <c r="AH348"/>
  <c r="AH347" s="1"/>
  <c r="AM361"/>
  <c r="AM360" s="1"/>
  <c r="AO362"/>
  <c r="AO361" s="1"/>
  <c r="AO360" s="1"/>
  <c r="AP362"/>
  <c r="AP375"/>
  <c r="AH374"/>
  <c r="AH373" s="1"/>
  <c r="AO268"/>
  <c r="AO265" s="1"/>
  <c r="AM265"/>
  <c r="AQ215"/>
  <c r="AO206"/>
  <c r="AO205" s="1"/>
  <c r="AM205"/>
  <c r="AQ279"/>
  <c r="AQ262"/>
  <c r="AQ261" s="1"/>
  <c r="AP261"/>
  <c r="AM94"/>
  <c r="AM81" s="1"/>
  <c r="AO95"/>
  <c r="AO94" s="1"/>
  <c r="AP95"/>
  <c r="AO14"/>
  <c r="AP14"/>
  <c r="AO117"/>
  <c r="AP117"/>
  <c r="AQ117" s="1"/>
  <c r="AQ38"/>
  <c r="AM52"/>
  <c r="AP328"/>
  <c r="AJ122"/>
  <c r="N16"/>
  <c r="N13" s="1"/>
  <c r="AO307"/>
  <c r="AN348"/>
  <c r="AN347" s="1"/>
  <c r="AN346" s="1"/>
  <c r="AN125"/>
  <c r="AN124" s="1"/>
  <c r="AN123" s="1"/>
  <c r="O81"/>
  <c r="AN52"/>
  <c r="AO125"/>
  <c r="AO124" s="1"/>
  <c r="AO123" s="1"/>
  <c r="AN16"/>
  <c r="AN13" s="1"/>
  <c r="AP100"/>
  <c r="AQ100" s="1"/>
  <c r="X12"/>
  <c r="X10" s="1"/>
  <c r="AP40"/>
  <c r="AQ40" s="1"/>
  <c r="AH336"/>
  <c r="AP338"/>
  <c r="AL120"/>
  <c r="AL104" s="1"/>
  <c r="AH120"/>
  <c r="AP120" s="1"/>
  <c r="AQ120" s="1"/>
  <c r="AH82"/>
  <c r="AP91"/>
  <c r="AQ63"/>
  <c r="AQ206"/>
  <c r="AQ379"/>
  <c r="AQ378" s="1"/>
  <c r="AQ377" s="1"/>
  <c r="AP378"/>
  <c r="AP377" s="1"/>
  <c r="AO375"/>
  <c r="AO374" s="1"/>
  <c r="AO373" s="1"/>
  <c r="AM374"/>
  <c r="AM373" s="1"/>
  <c r="AP365"/>
  <c r="AP364" s="1"/>
  <c r="AQ366"/>
  <c r="AQ365" s="1"/>
  <c r="AQ364" s="1"/>
  <c r="AN386"/>
  <c r="AN385"/>
  <c r="AO353"/>
  <c r="AO348" s="1"/>
  <c r="AO347" s="1"/>
  <c r="AP353"/>
  <c r="AQ353" s="1"/>
  <c r="AM342"/>
  <c r="AO343"/>
  <c r="AO342" s="1"/>
  <c r="AP343"/>
  <c r="AM370"/>
  <c r="AM369" s="1"/>
  <c r="AO371"/>
  <c r="AO370" s="1"/>
  <c r="AO369" s="1"/>
  <c r="AO215"/>
  <c r="AO214" s="1"/>
  <c r="AM214"/>
  <c r="AO279"/>
  <c r="AO278" s="1"/>
  <c r="AO277" s="1"/>
  <c r="AM278"/>
  <c r="AO262"/>
  <c r="AO261" s="1"/>
  <c r="AO260" s="1"/>
  <c r="AM261"/>
  <c r="AQ126"/>
  <c r="AP125"/>
  <c r="AP124" s="1"/>
  <c r="AP123" s="1"/>
  <c r="AO105"/>
  <c r="AP105"/>
  <c r="AP22"/>
  <c r="AQ34"/>
  <c r="AQ22" s="1"/>
  <c r="AH71"/>
  <c r="AH70" s="1"/>
  <c r="AP73"/>
  <c r="AO233"/>
  <c r="AP233"/>
  <c r="AQ233" s="1"/>
  <c r="AO231"/>
  <c r="AM230"/>
  <c r="AM229" s="1"/>
  <c r="AO38"/>
  <c r="AO37" s="1"/>
  <c r="AO36" s="1"/>
  <c r="AM37"/>
  <c r="AH17"/>
  <c r="AH16" s="1"/>
  <c r="AP18"/>
  <c r="AH278"/>
  <c r="N341"/>
  <c r="N340" s="1"/>
  <c r="AP268"/>
  <c r="AN344"/>
  <c r="AN342" s="1"/>
  <c r="AL81"/>
  <c r="AP46"/>
  <c r="AP217"/>
  <c r="AQ217" s="1"/>
  <c r="AH113"/>
  <c r="U277"/>
  <c r="T122"/>
  <c r="AP79"/>
  <c r="AQ79" s="1"/>
  <c r="AM46"/>
  <c r="O122"/>
  <c r="AO332"/>
  <c r="AO331" s="1"/>
  <c r="AO330" s="1"/>
  <c r="AM331"/>
  <c r="AM330" s="1"/>
  <c r="AP332"/>
  <c r="AQ242"/>
  <c r="AQ241" s="1"/>
  <c r="AQ240" s="1"/>
  <c r="AP241"/>
  <c r="AP240" s="1"/>
  <c r="AM74"/>
  <c r="AM70" s="1"/>
  <c r="AO77"/>
  <c r="AO74" s="1"/>
  <c r="AO70" s="1"/>
  <c r="AO114"/>
  <c r="AO113" s="1"/>
  <c r="AM113"/>
  <c r="AM104" s="1"/>
  <c r="AP334"/>
  <c r="AH333"/>
  <c r="AH330" s="1"/>
  <c r="AP357"/>
  <c r="AP356" s="1"/>
  <c r="AM255"/>
  <c r="AO256"/>
  <c r="AO255" s="1"/>
  <c r="AH53"/>
  <c r="AH52" s="1"/>
  <c r="AP54"/>
  <c r="AQ248"/>
  <c r="AO379"/>
  <c r="AO378" s="1"/>
  <c r="AO377" s="1"/>
  <c r="AM378"/>
  <c r="AM377" s="1"/>
  <c r="AP252"/>
  <c r="AQ252" s="1"/>
  <c r="AH247"/>
  <c r="AH246" s="1"/>
  <c r="AP108"/>
  <c r="AM307"/>
  <c r="AI346"/>
  <c r="AI341" s="1"/>
  <c r="AI340" s="1"/>
  <c r="AL348"/>
  <c r="AL347" s="1"/>
  <c r="AP289"/>
  <c r="AQ289" s="1"/>
  <c r="AH204"/>
  <c r="AJ104"/>
  <c r="AJ13" s="1"/>
  <c r="AP285"/>
  <c r="AQ285" s="1"/>
  <c r="O341"/>
  <c r="O340" s="1"/>
  <c r="N260"/>
  <c r="AP77"/>
  <c r="R12"/>
  <c r="R10" s="1"/>
  <c r="AL70"/>
  <c r="AP114"/>
  <c r="J277"/>
  <c r="J122" s="1"/>
  <c r="S104"/>
  <c r="S13" s="1"/>
  <c r="S12" s="1"/>
  <c r="S10" s="1"/>
  <c r="AH94"/>
  <c r="AM16"/>
  <c r="T36"/>
  <c r="T13" s="1"/>
  <c r="T12" s="1"/>
  <c r="T10" s="1"/>
  <c r="AO81"/>
  <c r="G29" i="13"/>
  <c r="G31"/>
  <c r="G30"/>
  <c r="F33"/>
  <c r="H33" s="1"/>
  <c r="F32"/>
  <c r="H32" s="1"/>
  <c r="F30"/>
  <c r="H30" s="1"/>
  <c r="F31"/>
  <c r="H31" s="1"/>
  <c r="J74" i="14"/>
  <c r="J75"/>
  <c r="J76"/>
  <c r="J77"/>
  <c r="J79"/>
  <c r="K10" i="21"/>
  <c r="K11"/>
  <c r="K12"/>
  <c r="K13"/>
  <c r="K14"/>
  <c r="K15"/>
  <c r="K16"/>
  <c r="K17"/>
  <c r="K18"/>
  <c r="K19"/>
  <c r="K9"/>
  <c r="E9"/>
  <c r="F8"/>
  <c r="G8"/>
  <c r="H8"/>
  <c r="D10"/>
  <c r="D11"/>
  <c r="D12"/>
  <c r="D13"/>
  <c r="D14"/>
  <c r="D15"/>
  <c r="D16"/>
  <c r="D17"/>
  <c r="D18"/>
  <c r="D19"/>
  <c r="D9"/>
  <c r="AH122" i="33" l="1"/>
  <c r="AP65"/>
  <c r="AP62" s="1"/>
  <c r="O13"/>
  <c r="AS122"/>
  <c r="AJ12"/>
  <c r="AQ247"/>
  <c r="AM246"/>
  <c r="AN341"/>
  <c r="AN340" s="1"/>
  <c r="AQ256"/>
  <c r="AQ255" s="1"/>
  <c r="N122"/>
  <c r="AL346"/>
  <c r="AL341" s="1"/>
  <c r="AL340" s="1"/>
  <c r="AH277"/>
  <c r="AQ205"/>
  <c r="U122"/>
  <c r="U12" s="1"/>
  <c r="U10" s="1"/>
  <c r="O12"/>
  <c r="J12"/>
  <c r="J10" s="1"/>
  <c r="AQ125"/>
  <c r="AQ124" s="1"/>
  <c r="AQ123" s="1"/>
  <c r="AP205"/>
  <c r="AP204" s="1"/>
  <c r="AN122"/>
  <c r="AM204"/>
  <c r="AJ10"/>
  <c r="AI10"/>
  <c r="AM36"/>
  <c r="AM13" s="1"/>
  <c r="AM346"/>
  <c r="AM341" s="1"/>
  <c r="AM340" s="1"/>
  <c r="AQ18"/>
  <c r="AQ17" s="1"/>
  <c r="AQ16" s="1"/>
  <c r="AP17"/>
  <c r="AP16" s="1"/>
  <c r="AQ114"/>
  <c r="AQ113" s="1"/>
  <c r="AP113"/>
  <c r="AP104" s="1"/>
  <c r="AQ54"/>
  <c r="AQ53" s="1"/>
  <c r="AP53"/>
  <c r="AP52" s="1"/>
  <c r="AQ268"/>
  <c r="AQ265" s="1"/>
  <c r="AQ260" s="1"/>
  <c r="AP265"/>
  <c r="AQ343"/>
  <c r="AQ342" s="1"/>
  <c r="AP342"/>
  <c r="AQ95"/>
  <c r="AQ94" s="1"/>
  <c r="AP94"/>
  <c r="AM277"/>
  <c r="AO346"/>
  <c r="AO341" s="1"/>
  <c r="AO340" s="1"/>
  <c r="AQ62"/>
  <c r="AO204"/>
  <c r="AQ362"/>
  <c r="AQ361" s="1"/>
  <c r="AQ360" s="1"/>
  <c r="AP361"/>
  <c r="AP360" s="1"/>
  <c r="AQ349"/>
  <c r="AQ348" s="1"/>
  <c r="AQ347" s="1"/>
  <c r="AP348"/>
  <c r="AP347" s="1"/>
  <c r="AQ332"/>
  <c r="AQ331" s="1"/>
  <c r="AP331"/>
  <c r="AQ375"/>
  <c r="AQ374" s="1"/>
  <c r="AQ373" s="1"/>
  <c r="AP374"/>
  <c r="AP373" s="1"/>
  <c r="AP260"/>
  <c r="O10"/>
  <c r="AP247"/>
  <c r="AP246" s="1"/>
  <c r="AH104"/>
  <c r="AO230"/>
  <c r="AO229" s="1"/>
  <c r="AO104"/>
  <c r="AO13" s="1"/>
  <c r="AM260"/>
  <c r="AH81"/>
  <c r="AH13" s="1"/>
  <c r="AN12"/>
  <c r="AN10" s="1"/>
  <c r="N12"/>
  <c r="N10" s="1"/>
  <c r="AQ37"/>
  <c r="AQ36" s="1"/>
  <c r="AQ278"/>
  <c r="AQ214"/>
  <c r="AQ204" s="1"/>
  <c r="AH346"/>
  <c r="AH341" s="1"/>
  <c r="AH340" s="1"/>
  <c r="AQ230"/>
  <c r="AQ229" s="1"/>
  <c r="AQ334"/>
  <c r="AQ333" s="1"/>
  <c r="AP333"/>
  <c r="AQ77"/>
  <c r="AQ74" s="1"/>
  <c r="AP74"/>
  <c r="AQ73"/>
  <c r="AQ71" s="1"/>
  <c r="AP71"/>
  <c r="AQ105"/>
  <c r="AQ91"/>
  <c r="AQ82" s="1"/>
  <c r="AQ81" s="1"/>
  <c r="AP82"/>
  <c r="AP336"/>
  <c r="AQ338"/>
  <c r="AQ336" s="1"/>
  <c r="AQ14"/>
  <c r="AQ371"/>
  <c r="AQ370" s="1"/>
  <c r="AQ369" s="1"/>
  <c r="AP370"/>
  <c r="AP369" s="1"/>
  <c r="AQ308"/>
  <c r="AQ307" s="1"/>
  <c r="AP307"/>
  <c r="AL13"/>
  <c r="AL12" s="1"/>
  <c r="AL10" s="1"/>
  <c r="AP37"/>
  <c r="AP36" s="1"/>
  <c r="AP278"/>
  <c r="AP214"/>
  <c r="AP230"/>
  <c r="AP229" s="1"/>
  <c r="C19" i="21"/>
  <c r="C17"/>
  <c r="C15"/>
  <c r="C13"/>
  <c r="C11"/>
  <c r="C18"/>
  <c r="C14"/>
  <c r="C10"/>
  <c r="C9"/>
  <c r="C16"/>
  <c r="C12"/>
  <c r="I8"/>
  <c r="H29" i="13"/>
  <c r="K8" i="21"/>
  <c r="E8"/>
  <c r="C70" i="16"/>
  <c r="E73" i="14" s="1"/>
  <c r="C46" i="13"/>
  <c r="C44"/>
  <c r="C45"/>
  <c r="C73" i="16"/>
  <c r="C74"/>
  <c r="C75"/>
  <c r="C72"/>
  <c r="R17" i="20"/>
  <c r="A3" i="21"/>
  <c r="A3" i="20"/>
  <c r="A3" i="16"/>
  <c r="A4" i="14"/>
  <c r="A4" i="13"/>
  <c r="A3" i="12"/>
  <c r="A3" i="11"/>
  <c r="C74" i="14"/>
  <c r="C79"/>
  <c r="M11"/>
  <c r="J11"/>
  <c r="F10"/>
  <c r="K10"/>
  <c r="N10"/>
  <c r="O10"/>
  <c r="P10"/>
  <c r="D13"/>
  <c r="D12" s="1"/>
  <c r="F13"/>
  <c r="G13"/>
  <c r="H13"/>
  <c r="H12" s="1"/>
  <c r="I13"/>
  <c r="K13"/>
  <c r="L13"/>
  <c r="L12" s="1"/>
  <c r="M13"/>
  <c r="N13"/>
  <c r="O13"/>
  <c r="P13"/>
  <c r="F12"/>
  <c r="G12"/>
  <c r="I12"/>
  <c r="K12"/>
  <c r="N12"/>
  <c r="O12"/>
  <c r="M73"/>
  <c r="J73"/>
  <c r="N52"/>
  <c r="M72"/>
  <c r="M71"/>
  <c r="M68"/>
  <c r="M67"/>
  <c r="M64"/>
  <c r="M63"/>
  <c r="M60"/>
  <c r="M59"/>
  <c r="M56"/>
  <c r="M55"/>
  <c r="M51"/>
  <c r="M48"/>
  <c r="M47"/>
  <c r="M44"/>
  <c r="M43"/>
  <c r="M40"/>
  <c r="M39"/>
  <c r="M36"/>
  <c r="M35"/>
  <c r="M32"/>
  <c r="M31"/>
  <c r="M28"/>
  <c r="M24"/>
  <c r="M23"/>
  <c r="M20"/>
  <c r="M19"/>
  <c r="M16"/>
  <c r="M15"/>
  <c r="M70"/>
  <c r="M69"/>
  <c r="M66"/>
  <c r="M65"/>
  <c r="M62"/>
  <c r="M61"/>
  <c r="M58"/>
  <c r="M57"/>
  <c r="M54"/>
  <c r="M53"/>
  <c r="M50"/>
  <c r="M49"/>
  <c r="M46"/>
  <c r="M45"/>
  <c r="M42"/>
  <c r="M41"/>
  <c r="M38"/>
  <c r="M37"/>
  <c r="M34"/>
  <c r="M33"/>
  <c r="M30"/>
  <c r="M29"/>
  <c r="M26"/>
  <c r="M25"/>
  <c r="M22"/>
  <c r="M21"/>
  <c r="M18"/>
  <c r="M17"/>
  <c r="M14"/>
  <c r="J72"/>
  <c r="J71"/>
  <c r="J70"/>
  <c r="J69"/>
  <c r="J68"/>
  <c r="J67"/>
  <c r="J66"/>
  <c r="J65"/>
  <c r="J64"/>
  <c r="J63"/>
  <c r="J62"/>
  <c r="J61"/>
  <c r="J60"/>
  <c r="J59"/>
  <c r="J58"/>
  <c r="J57"/>
  <c r="J56"/>
  <c r="J55"/>
  <c r="J54"/>
  <c r="J53"/>
  <c r="J51"/>
  <c r="J50"/>
  <c r="J49"/>
  <c r="J48"/>
  <c r="J47"/>
  <c r="J46"/>
  <c r="J45"/>
  <c r="J44"/>
  <c r="J43"/>
  <c r="J42"/>
  <c r="J41"/>
  <c r="J40"/>
  <c r="J39"/>
  <c r="J38"/>
  <c r="J37"/>
  <c r="J36"/>
  <c r="J35"/>
  <c r="J34"/>
  <c r="J33"/>
  <c r="J32"/>
  <c r="J31"/>
  <c r="J30"/>
  <c r="J29"/>
  <c r="J28"/>
  <c r="J27"/>
  <c r="J26"/>
  <c r="J25"/>
  <c r="J24"/>
  <c r="J23"/>
  <c r="J22"/>
  <c r="J21"/>
  <c r="J20"/>
  <c r="J19"/>
  <c r="J18"/>
  <c r="J17"/>
  <c r="J16"/>
  <c r="J15"/>
  <c r="J14"/>
  <c r="L52"/>
  <c r="K52"/>
  <c r="I77"/>
  <c r="C77" s="1"/>
  <c r="H76"/>
  <c r="C76" s="1"/>
  <c r="G75"/>
  <c r="G10" s="1"/>
  <c r="D52"/>
  <c r="F52"/>
  <c r="G52"/>
  <c r="H52"/>
  <c r="I52"/>
  <c r="O52"/>
  <c r="P52"/>
  <c r="E45"/>
  <c r="C45" s="1"/>
  <c r="D49" i="16"/>
  <c r="E49"/>
  <c r="F49"/>
  <c r="G49"/>
  <c r="H49"/>
  <c r="I49"/>
  <c r="J49"/>
  <c r="K49"/>
  <c r="L49"/>
  <c r="M49"/>
  <c r="N49"/>
  <c r="O49"/>
  <c r="P49"/>
  <c r="Q49"/>
  <c r="R49"/>
  <c r="D10"/>
  <c r="D9" s="1"/>
  <c r="D4" s="1"/>
  <c r="E10"/>
  <c r="F10"/>
  <c r="F9" s="1"/>
  <c r="F4" s="1"/>
  <c r="G10"/>
  <c r="H10"/>
  <c r="H9" s="1"/>
  <c r="H4" s="1"/>
  <c r="I10"/>
  <c r="I9" s="1"/>
  <c r="I4" s="1"/>
  <c r="J10"/>
  <c r="J9" s="1"/>
  <c r="J4" s="1"/>
  <c r="K10"/>
  <c r="L10"/>
  <c r="L9" s="1"/>
  <c r="L4" s="1"/>
  <c r="M10"/>
  <c r="M9" s="1"/>
  <c r="M4" s="1"/>
  <c r="N10"/>
  <c r="N9" s="1"/>
  <c r="O10"/>
  <c r="P10"/>
  <c r="Q10"/>
  <c r="R10"/>
  <c r="C71"/>
  <c r="C76"/>
  <c r="C12"/>
  <c r="E15" i="14" s="1"/>
  <c r="C15" s="1"/>
  <c r="C13" i="16"/>
  <c r="E16" i="14" s="1"/>
  <c r="C16" s="1"/>
  <c r="C14" i="16"/>
  <c r="E17" i="14" s="1"/>
  <c r="C17" s="1"/>
  <c r="C15" i="16"/>
  <c r="E18" i="14" s="1"/>
  <c r="C18" s="1"/>
  <c r="C16" i="16"/>
  <c r="E19" i="14" s="1"/>
  <c r="C19" s="1"/>
  <c r="C17" i="16"/>
  <c r="E20" i="14" s="1"/>
  <c r="C20" s="1"/>
  <c r="C18" i="16"/>
  <c r="E21" i="14" s="1"/>
  <c r="C21" s="1"/>
  <c r="C19" i="16"/>
  <c r="E22" i="14" s="1"/>
  <c r="C22" s="1"/>
  <c r="C20" i="16"/>
  <c r="E23" i="14" s="1"/>
  <c r="C23" s="1"/>
  <c r="C21" i="16"/>
  <c r="E24" i="14" s="1"/>
  <c r="C24" s="1"/>
  <c r="C22" i="16"/>
  <c r="E25" i="14" s="1"/>
  <c r="C25" s="1"/>
  <c r="C23" i="16"/>
  <c r="E26" i="14" s="1"/>
  <c r="C26" s="1"/>
  <c r="C24" i="16"/>
  <c r="E27" i="14" s="1"/>
  <c r="C25" i="16"/>
  <c r="E28" i="14" s="1"/>
  <c r="C28" s="1"/>
  <c r="C26" i="16"/>
  <c r="E29" i="14" s="1"/>
  <c r="C29" s="1"/>
  <c r="C27" i="16"/>
  <c r="E30" i="14" s="1"/>
  <c r="C30" s="1"/>
  <c r="C28" i="16"/>
  <c r="E31" i="14" s="1"/>
  <c r="C31" s="1"/>
  <c r="C29" i="16"/>
  <c r="E32" i="14" s="1"/>
  <c r="C32" s="1"/>
  <c r="C30" i="16"/>
  <c r="E33" i="14" s="1"/>
  <c r="C33" s="1"/>
  <c r="C31" i="16"/>
  <c r="E34" i="14" s="1"/>
  <c r="C34" s="1"/>
  <c r="C32" i="16"/>
  <c r="E35" i="14" s="1"/>
  <c r="C35" s="1"/>
  <c r="C33" i="16"/>
  <c r="E36" i="14" s="1"/>
  <c r="C36" s="1"/>
  <c r="C34" i="16"/>
  <c r="E37" i="14" s="1"/>
  <c r="C37" s="1"/>
  <c r="C35" i="16"/>
  <c r="E38" i="14" s="1"/>
  <c r="C38" s="1"/>
  <c r="C36" i="16"/>
  <c r="E39" i="14" s="1"/>
  <c r="C39" s="1"/>
  <c r="C37" i="16"/>
  <c r="E40" i="14" s="1"/>
  <c r="C40" s="1"/>
  <c r="C38" i="16"/>
  <c r="E41" i="14" s="1"/>
  <c r="C41" s="1"/>
  <c r="C39" i="16"/>
  <c r="E42" i="14" s="1"/>
  <c r="C42" s="1"/>
  <c r="C40" i="16"/>
  <c r="E43" i="14" s="1"/>
  <c r="C43" s="1"/>
  <c r="C41" i="16"/>
  <c r="E44" i="14" s="1"/>
  <c r="C44" s="1"/>
  <c r="C42" i="16"/>
  <c r="C43"/>
  <c r="E46" i="14" s="1"/>
  <c r="C46" s="1"/>
  <c r="C50" i="16"/>
  <c r="E53" i="14" s="1"/>
  <c r="C53" s="1"/>
  <c r="C51" i="16"/>
  <c r="E54" i="14" s="1"/>
  <c r="C54" s="1"/>
  <c r="C52" i="16"/>
  <c r="E55" i="14" s="1"/>
  <c r="C55" s="1"/>
  <c r="C53" i="16"/>
  <c r="E56" i="14" s="1"/>
  <c r="C56" s="1"/>
  <c r="C54" i="16"/>
  <c r="E57" i="14" s="1"/>
  <c r="C57" s="1"/>
  <c r="C55" i="16"/>
  <c r="E58" i="14" s="1"/>
  <c r="C58" s="1"/>
  <c r="C56" i="16"/>
  <c r="E59" i="14" s="1"/>
  <c r="C59" s="1"/>
  <c r="C57" i="16"/>
  <c r="E60" i="14" s="1"/>
  <c r="C60" s="1"/>
  <c r="C58" i="16"/>
  <c r="E61" i="14" s="1"/>
  <c r="C61" s="1"/>
  <c r="C59" i="16"/>
  <c r="E62" i="14" s="1"/>
  <c r="C62" s="1"/>
  <c r="C60" i="16"/>
  <c r="E63" i="14" s="1"/>
  <c r="C63" s="1"/>
  <c r="C61" i="16"/>
  <c r="E64" i="14" s="1"/>
  <c r="C64" s="1"/>
  <c r="C62" i="16"/>
  <c r="E65" i="14" s="1"/>
  <c r="C65" s="1"/>
  <c r="C63" i="16"/>
  <c r="E66" i="14" s="1"/>
  <c r="C66" s="1"/>
  <c r="C64" i="16"/>
  <c r="E67" i="14" s="1"/>
  <c r="C67" s="1"/>
  <c r="C65" i="16"/>
  <c r="E68" i="14" s="1"/>
  <c r="C68" s="1"/>
  <c r="C66" i="16"/>
  <c r="E69" i="14" s="1"/>
  <c r="C69" s="1"/>
  <c r="C44" i="16"/>
  <c r="E47" i="14" s="1"/>
  <c r="C47" s="1"/>
  <c r="C45" i="16"/>
  <c r="E48" i="14" s="1"/>
  <c r="C48" s="1"/>
  <c r="C46" i="16"/>
  <c r="E49" i="14" s="1"/>
  <c r="C49" s="1"/>
  <c r="C47" i="16"/>
  <c r="E50" i="14" s="1"/>
  <c r="C50" s="1"/>
  <c r="C48" i="16"/>
  <c r="E51" i="14" s="1"/>
  <c r="C51" s="1"/>
  <c r="C67" i="16"/>
  <c r="E70" i="14" s="1"/>
  <c r="C70" s="1"/>
  <c r="C68" i="16"/>
  <c r="E71" i="14" s="1"/>
  <c r="C71" s="1"/>
  <c r="C69" i="16"/>
  <c r="E72" i="14" s="1"/>
  <c r="C72" s="1"/>
  <c r="C11" i="16"/>
  <c r="E14" i="14" s="1"/>
  <c r="C14" s="1"/>
  <c r="AQ246" i="33" l="1"/>
  <c r="AS12"/>
  <c r="AS10" s="1"/>
  <c r="AV122"/>
  <c r="AH12"/>
  <c r="AO122"/>
  <c r="AO12" s="1"/>
  <c r="AO10" s="1"/>
  <c r="AM122"/>
  <c r="AM12" s="1"/>
  <c r="AM10" s="1"/>
  <c r="AQ104"/>
  <c r="AQ330"/>
  <c r="AP277"/>
  <c r="AP122"/>
  <c r="AQ70"/>
  <c r="AP81"/>
  <c r="AP70"/>
  <c r="AP346"/>
  <c r="AP341" s="1"/>
  <c r="AP340" s="1"/>
  <c r="AH10"/>
  <c r="AP330"/>
  <c r="AQ52"/>
  <c r="AQ277"/>
  <c r="AQ122" s="1"/>
  <c r="AQ346"/>
  <c r="AQ341" s="1"/>
  <c r="AQ340" s="1"/>
  <c r="E9" i="16"/>
  <c r="P9"/>
  <c r="P4" s="1"/>
  <c r="O9"/>
  <c r="K9"/>
  <c r="K4" s="1"/>
  <c r="G9"/>
  <c r="G4" s="1"/>
  <c r="M12" i="14"/>
  <c r="M10" s="1"/>
  <c r="C73"/>
  <c r="C27"/>
  <c r="J13"/>
  <c r="J12" s="1"/>
  <c r="L10"/>
  <c r="J78"/>
  <c r="C75"/>
  <c r="I10"/>
  <c r="R9" i="16"/>
  <c r="R4" s="1"/>
  <c r="H10" i="14"/>
  <c r="Q9" i="16"/>
  <c r="Q4" s="1"/>
  <c r="E13" i="14"/>
  <c r="P12"/>
  <c r="J52"/>
  <c r="M52"/>
  <c r="M27"/>
  <c r="E52"/>
  <c r="C52" s="1"/>
  <c r="C49" i="16"/>
  <c r="C10"/>
  <c r="AQ13" i="33" l="1"/>
  <c r="AQ12" s="1"/>
  <c r="AP13"/>
  <c r="AP12" s="1"/>
  <c r="AP10" s="1"/>
  <c r="AQ10"/>
  <c r="J10" i="14"/>
  <c r="E12"/>
  <c r="C12" s="1"/>
  <c r="C13"/>
  <c r="C9" i="16"/>
  <c r="C4" s="1"/>
  <c r="C12" i="13" l="1"/>
  <c r="D8" i="2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G20" i="18"/>
  <c r="G19"/>
  <c r="G18"/>
  <c r="D18" s="1"/>
  <c r="M18" s="1"/>
  <c r="G17"/>
  <c r="D17" s="1"/>
  <c r="M17" s="1"/>
  <c r="G16"/>
  <c r="G15"/>
  <c r="G14"/>
  <c r="D14" s="1"/>
  <c r="M14" s="1"/>
  <c r="G13"/>
  <c r="D13" s="1"/>
  <c r="M13" s="1"/>
  <c r="G12"/>
  <c r="G11"/>
  <c r="D11" s="1"/>
  <c r="M11" s="1"/>
  <c r="G10"/>
  <c r="D10" s="1"/>
  <c r="M10" s="1"/>
  <c r="F9"/>
  <c r="H9"/>
  <c r="I9"/>
  <c r="L9"/>
  <c r="E10" i="12"/>
  <c r="G21"/>
  <c r="G20"/>
  <c r="G19"/>
  <c r="G11"/>
  <c r="C39"/>
  <c r="C38"/>
  <c r="C37"/>
  <c r="C35"/>
  <c r="C34"/>
  <c r="C31"/>
  <c r="C30"/>
  <c r="C28"/>
  <c r="C26"/>
  <c r="C25"/>
  <c r="C24"/>
  <c r="C20"/>
  <c r="C19"/>
  <c r="C18"/>
  <c r="C17"/>
  <c r="C16"/>
  <c r="E36"/>
  <c r="E33"/>
  <c r="E32" s="1"/>
  <c r="E29" s="1"/>
  <c r="E11"/>
  <c r="D36"/>
  <c r="D33"/>
  <c r="D11"/>
  <c r="D10" s="1"/>
  <c r="D11" i="14" s="1"/>
  <c r="D21" i="11"/>
  <c r="C21" s="1"/>
  <c r="C20" i="18" s="1"/>
  <c r="D19" i="11"/>
  <c r="C19" s="1"/>
  <c r="C18" i="18" s="1"/>
  <c r="D18" i="11"/>
  <c r="C18" s="1"/>
  <c r="C17" i="18" s="1"/>
  <c r="D15" i="11"/>
  <c r="C15" s="1"/>
  <c r="C14" i="18" s="1"/>
  <c r="D13" i="11"/>
  <c r="C13" s="1"/>
  <c r="C12" i="18" s="1"/>
  <c r="E10" i="11"/>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C11" i="18" s="1"/>
  <c r="D14" i="11"/>
  <c r="C14" s="1"/>
  <c r="C13" i="18" s="1"/>
  <c r="D16" i="11"/>
  <c r="C16" s="1"/>
  <c r="C15" i="18" s="1"/>
  <c r="D17" i="11"/>
  <c r="C17" s="1"/>
  <c r="C16" i="18" s="1"/>
  <c r="D20" i="11"/>
  <c r="C20" s="1"/>
  <c r="C19" i="18" s="1"/>
  <c r="D9" i="11"/>
  <c r="G8"/>
  <c r="V8"/>
  <c r="W8"/>
  <c r="Z8"/>
  <c r="AA8"/>
  <c r="C10" i="13" l="1"/>
  <c r="C21" i="9"/>
  <c r="C29" s="1"/>
  <c r="D15" i="20"/>
  <c r="N18" i="18"/>
  <c r="N17"/>
  <c r="N14"/>
  <c r="C36" i="12"/>
  <c r="C33"/>
  <c r="C11" i="14"/>
  <c r="N13" i="18"/>
  <c r="N11"/>
  <c r="D19"/>
  <c r="D12"/>
  <c r="M12" s="1"/>
  <c r="C8" i="21"/>
  <c r="D21" i="20"/>
  <c r="D13"/>
  <c r="E78" i="14"/>
  <c r="D17" i="20"/>
  <c r="R10"/>
  <c r="D18"/>
  <c r="C18" s="1"/>
  <c r="D19"/>
  <c r="D14"/>
  <c r="D20"/>
  <c r="D16"/>
  <c r="D12"/>
  <c r="C29" i="13"/>
  <c r="M10" i="20"/>
  <c r="L10"/>
  <c r="E21" i="12" s="1"/>
  <c r="C21" s="1"/>
  <c r="N10" i="18"/>
  <c r="K10" i="20"/>
  <c r="F10"/>
  <c r="J9" i="18"/>
  <c r="D78" i="14" s="1"/>
  <c r="D10" s="1"/>
  <c r="D16" i="18"/>
  <c r="D20"/>
  <c r="G9"/>
  <c r="D15"/>
  <c r="E9"/>
  <c r="D9" i="12"/>
  <c r="D32"/>
  <c r="D29" s="1"/>
  <c r="C11"/>
  <c r="C10" s="1"/>
  <c r="Q10" i="11"/>
  <c r="Q8" s="1"/>
  <c r="D10"/>
  <c r="D8" s="1"/>
  <c r="C9"/>
  <c r="C11"/>
  <c r="N15" i="18" l="1"/>
  <c r="M15"/>
  <c r="M19"/>
  <c r="N19" s="1"/>
  <c r="N16"/>
  <c r="M16"/>
  <c r="C17" i="20" s="1"/>
  <c r="M20" i="18"/>
  <c r="N20" s="1"/>
  <c r="E9" i="12"/>
  <c r="E8" s="1"/>
  <c r="C9"/>
  <c r="E23"/>
  <c r="C23" s="1"/>
  <c r="C19" i="20"/>
  <c r="C30" i="9"/>
  <c r="C15" i="20"/>
  <c r="C21"/>
  <c r="C16"/>
  <c r="C12"/>
  <c r="F29" i="13"/>
  <c r="I29"/>
  <c r="C32" i="12"/>
  <c r="C29" s="1"/>
  <c r="C8" s="1"/>
  <c r="C10" i="11"/>
  <c r="C8" s="1"/>
  <c r="C10" i="18"/>
  <c r="C9" s="1"/>
  <c r="C14" i="20"/>
  <c r="N12" i="18"/>
  <c r="C13" i="20"/>
  <c r="D29" i="13"/>
  <c r="C11"/>
  <c r="C9" s="1"/>
  <c r="C78" i="14"/>
  <c r="C10" s="1"/>
  <c r="E10" i="20"/>
  <c r="E10" i="14"/>
  <c r="D11" i="20"/>
  <c r="D10" s="1"/>
  <c r="D9" i="18"/>
  <c r="C27" i="9" s="1"/>
  <c r="D8" i="12"/>
  <c r="M9" i="18" l="1"/>
  <c r="N8" s="1"/>
  <c r="C20" i="20"/>
  <c r="P9" i="18"/>
  <c r="C5" i="14"/>
  <c r="C11" i="20"/>
  <c r="C12" i="9"/>
  <c r="C20"/>
  <c r="C18" s="1"/>
  <c r="C28"/>
  <c r="C35"/>
  <c r="C33" s="1"/>
  <c r="C10"/>
  <c r="C26" l="1"/>
  <c r="C24"/>
</calcChain>
</file>

<file path=xl/comments1.xml><?xml version="1.0" encoding="utf-8"?>
<comments xmlns="http://schemas.openxmlformats.org/spreadsheetml/2006/main">
  <authors>
    <author>tuyenttk</author>
  </authors>
  <commentList>
    <comment ref="C21"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<sst xmlns="http://schemas.openxmlformats.org/spreadsheetml/2006/main" count="3154" uniqueCount="1334">
  <si>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</si>
  <si>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</si>
  <si>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</si>
  <si>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</si>
  <si>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</si>
  <si>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</si>
  <si>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</si>
  <si>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</si>
  <si>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</si>
  <si>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</si>
  <si>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</si>
  <si>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</si>
  <si>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</si>
  <si>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</si>
  <si>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</si>
  <si>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</si>
  <si>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</si>
  <si>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</si>
  <si>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</si>
  <si>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</si>
  <si>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</si>
  <si>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</si>
  <si>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</si>
  <si>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</si>
  <si>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</si>
  <si>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</si>
  <si>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</si>
  <si>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</si>
  <si>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</si>
  <si>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</si>
  <si>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</si>
  <si>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</si>
  <si>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</si>
  <si>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</si>
  <si>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</si>
  <si>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</si>
  <si>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</si>
  <si>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</si>
  <si>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</si>
  <si>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</si>
  <si>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</si>
  <si>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</si>
  <si>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</si>
  <si>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</si>
  <si>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</si>
  <si>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</si>
  <si>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</si>
  <si>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</si>
  <si>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</si>
  <si>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</si>
  <si>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</si>
  <si>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</si>
  <si>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</si>
  <si>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</si>
  <si>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</si>
  <si>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</si>
  <si>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</si>
  <si>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</si>
  <si>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</si>
  <si>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</si>
  <si>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</si>
  <si>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</si>
  <si>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</si>
  <si>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</si>
  <si>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</si>
  <si>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</si>
  <si>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</si>
  <si>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</si>
  <si>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</si>
  <si>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</si>
  <si>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</si>
  <si>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</si>
  <si>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</si>
  <si>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</si>
  <si>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</si>
  <si>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</si>
  <si>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</si>
  <si>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</si>
  <si>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</si>
  <si>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</si>
  <si>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</si>
  <si>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</si>
  <si>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</si>
  <si>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</si>
  <si>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</si>
  <si>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</si>
  <si>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</si>
  <si>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</si>
  <si>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</si>
  <si>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</si>
  <si>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</si>
  <si>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</si>
  <si>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</si>
  <si>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</si>
  <si>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</si>
  <si>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</si>
  <si>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</si>
  <si>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</si>
  <si>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</si>
  <si>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</si>
  <si>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</si>
  <si>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</si>
  <si>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</si>
  <si>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</si>
  <si>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</si>
  <si>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</si>
  <si>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</si>
  <si>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</si>
  <si>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</si>
  <si>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</si>
  <si>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</si>
  <si>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</si>
  <si>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</si>
  <si>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</si>
  <si>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</si>
  <si>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</si>
  <si>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</si>
  <si>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</si>
  <si>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</si>
  <si>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</si>
  <si>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</si>
  <si>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</si>
  <si>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</si>
  <si>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</si>
  <si>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</si>
  <si>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</si>
  <si>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</si>
  <si>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</si>
  <si>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</si>
  <si>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</si>
  <si>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</si>
  <si>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</si>
  <si>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</si>
  <si>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</si>
  <si>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</si>
  <si>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</si>
  <si>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</si>
  <si>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</si>
  <si>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</si>
  <si>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</si>
  <si>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</si>
  <si>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</si>
  <si>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</si>
  <si>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</si>
  <si>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</si>
  <si>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</si>
  <si>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</si>
  <si>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</si>
  <si>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</si>
  <si>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</si>
  <si>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</si>
  <si>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</si>
  <si>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</si>
  <si>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</si>
  <si>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</si>
  <si>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</si>
  <si>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</si>
  <si>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</si>
  <si>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</si>
  <si>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</si>
  <si>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</si>
  <si>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</si>
  <si>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</si>
  <si>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</si>
  <si>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</si>
  <si>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</si>
  <si>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</si>
  <si>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</si>
  <si>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</si>
  <si>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</si>
  <si>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</si>
  <si>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</si>
  <si>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</si>
  <si>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</si>
  <si>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</si>
  <si>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</si>
  <si>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</si>
  <si>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</si>
  <si>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</si>
  <si>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</si>
  <si>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</si>
  <si>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</si>
  <si>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</si>
  <si>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</si>
  <si>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</si>
  <si>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</si>
  <si>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</si>
  <si>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</si>
  <si>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</si>
  <si>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</si>
  <si>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</si>
  <si>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</si>
  <si>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</si>
  <si>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</si>
  <si>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</si>
  <si>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</si>
  <si>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</si>
  <si>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</si>
  <si>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</si>
  <si>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</si>
  <si>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</si>
  <si>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</si>
  <si>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</si>
  <si>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</si>
  <si>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</si>
  <si>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</si>
  <si>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</si>
  <si>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</si>
  <si>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</si>
  <si>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</si>
  <si>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</si>
  <si>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</si>
  <si>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</si>
  <si>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</si>
  <si>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</si>
  <si>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</si>
  <si>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</si>
  <si>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</si>
  <si>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</si>
  <si>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</si>
  <si>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</si>
  <si>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</si>
  <si>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</si>
  <si>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</si>
  <si>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</si>
  <si>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</si>
  <si>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</si>
  <si>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</si>
  <si>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</si>
  <si>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</si>
  <si>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</si>
  <si>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</si>
  <si>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</si>
  <si>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</si>
  <si>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</si>
  <si>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</si>
  <si>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</si>
  <si>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</si>
  <si>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</si>
  <si>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</si>
  <si>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</si>
  <si>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</si>
  <si>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</si>
  <si>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</si>
  <si>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</si>
  <si>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</si>
  <si>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</si>
  <si>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</si>
  <si>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</si>
  <si>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</si>
  <si>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</si>
  <si>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</si>
  <si>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</si>
  <si>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</si>
  <si>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</si>
  <si>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</si>
  <si>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</si>
  <si>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</si>
  <si>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</si>
  <si>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</si>
  <si>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</si>
  <si>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</si>
  <si>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</si>
  <si>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</si>
  <si>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</si>
  <si>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</si>
  <si>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</si>
  <si>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</si>
  <si>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</si>
  <si>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</si>
  <si>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</si>
  <si>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</si>
  <si>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</si>
  <si>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</si>
  <si>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</si>
  <si>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</si>
  <si>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</si>
  <si>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</si>
  <si>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</si>
  <si>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</si>
  <si>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</si>
  <si>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</si>
  <si>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</si>
  <si>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</si>
  <si>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</si>
  <si>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</si>
  <si>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</si>
  <si>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</si>
  <si>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</si>
  <si>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</si>
  <si>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</si>
  <si>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</si>
  <si>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</si>
  <si>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</si>
  <si>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</si>
  <si>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</si>
  <si>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</si>
  <si>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</si>
  <si>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</si>
  <si>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</si>
  <si>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</si>
  <si>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</si>
  <si>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</si>
  <si>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</si>
  <si>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</si>
  <si>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</si>
  <si>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</si>
  <si>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</si>
  <si>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</si>
  <si>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</si>
  <si>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</si>
  <si>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</si>
  <si>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</si>
  <si>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</si>
  <si>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</si>
  <si>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</si>
  <si>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</si>
  <si>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</si>
  <si>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</si>
  <si>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</si>
  <si>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</si>
  <si>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</si>
  <si>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</si>
  <si>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</si>
  <si>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</si>
  <si>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</si>
  <si>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</si>
  <si>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</si>
  <si>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</si>
  <si>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</si>
  <si>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</si>
  <si>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</si>
  <si>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</si>
  <si>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</si>
  <si>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</si>
  <si>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</si>
  <si>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</si>
  <si>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</si>
  <si>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</si>
  <si>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</si>
  <si>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</si>
  <si>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</si>
  <si>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</si>
  <si>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</si>
  <si>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</si>
  <si>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</si>
  <si>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</si>
  <si>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</si>
  <si>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</si>
  <si>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</si>
  <si>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</si>
  <si>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</si>
  <si>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</si>
  <si>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</si>
  <si>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</si>
  <si>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</si>
  <si>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</si>
  <si>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</si>
  <si>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</si>
  <si>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</si>
  <si>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</si>
  <si>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</si>
  <si>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</si>
  <si>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</si>
  <si>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</si>
  <si>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</si>
  <si>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</si>
  <si>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</si>
  <si>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</si>
  <si>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</si>
  <si>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</si>
  <si>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</si>
  <si>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</si>
  <si>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</si>
  <si>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</si>
  <si>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</si>
  <si>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</si>
  <si>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</si>
  <si>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</si>
  <si>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</si>
  <si>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</si>
  <si>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</si>
  <si>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</si>
  <si>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</si>
  <si>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</si>
  <si>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</si>
  <si>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</si>
  <si>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</si>
  <si>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</si>
  <si>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</si>
  <si>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</si>
  <si>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</si>
  <si>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</si>
  <si>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</si>
  <si>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</si>
  <si>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</si>
  <si>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</si>
  <si>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</si>
  <si>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</si>
  <si>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</si>
  <si>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Bội thu NSĐP</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</si>
  <si>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</si>
  <si>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</si>
  <si>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</si>
  <si>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</si>
  <si>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</si>
  <si>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</si>
  <si>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</si>
  <si>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</si>
  <si>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</si>
  <si>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</si>
  <si>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</si>
  <si>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Văn phòng Hội đồng nhân dân </t>
  </si>
  <si>
    <t>Văn phòng Ủy ban nhân dân</t>
  </si>
  <si>
    <t xml:space="preserve">Sở Nông nghiệp và Phát triển nông thôn </t>
  </si>
  <si>
    <t xml:space="preserve">Sở Kế hoạch và Đầu tư </t>
  </si>
  <si>
    <t xml:space="preserve">Sở Tư pháp </t>
  </si>
  <si>
    <t xml:space="preserve">Sở Công thương </t>
  </si>
  <si>
    <t xml:space="preserve">Sở Khoa học và Công nghệ </t>
  </si>
  <si>
    <t xml:space="preserve">Sở Tài chính </t>
  </si>
  <si>
    <t xml:space="preserve">Sở Xây dựng </t>
  </si>
  <si>
    <t>Sở Giao thông Vận tải</t>
  </si>
  <si>
    <t>Sở Giáo dục - Đào tạo</t>
  </si>
  <si>
    <t>Sở Y tế Tiền Giang</t>
  </si>
  <si>
    <t xml:space="preserve">Sở Lao động Thương binh và Xã hội </t>
  </si>
  <si>
    <t xml:space="preserve">Sở Văn hóa Thể thao và Du lịch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</si>
  <si>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</si>
  <si>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</si>
  <si>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</si>
  <si>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</si>
  <si>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</si>
  <si>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</si>
  <si>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Ban Quản lý các khu công nghiệp</t>
  </si>
  <si>
    <t>Văn phòng Tỉnh uỷ</t>
  </si>
  <si>
    <t xml:space="preserve">Ủy ban Mặt trận Tổ quốc </t>
  </si>
  <si>
    <t>Tỉnh đoàn</t>
  </si>
  <si>
    <t xml:space="preserve">Hội Liên hiệp phụ nữ </t>
  </si>
  <si>
    <t xml:space="preserve">Hội Nông dân </t>
  </si>
  <si>
    <t xml:space="preserve">Hội Cựu chiến binh </t>
  </si>
  <si>
    <t>Trường Đại học Tiền Giang</t>
  </si>
  <si>
    <t xml:space="preserve">Trường Cao đẳng Y tế </t>
  </si>
  <si>
    <t>Trường Cao đẳng Nghề Tiền Giang</t>
  </si>
  <si>
    <t xml:space="preserve">Trường Chính trị </t>
  </si>
  <si>
    <t xml:space="preserve">Trung tâm Phát triễn quỹ đất và ĐTXD hạ tầng </t>
  </si>
  <si>
    <t>Trung tâm xúc tiến Đầu tư-TM-DL</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</si>
  <si>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</si>
  <si>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</si>
  <si>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</si>
  <si>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</si>
  <si>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</si>
  <si>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</si>
  <si>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</si>
  <si>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</si>
  <si>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</si>
  <si>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</si>
  <si>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</si>
  <si>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</si>
  <si>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</si>
  <si>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</si>
  <si>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</si>
  <si>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</si>
  <si>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</si>
  <si>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</si>
  <si>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</si>
  <si>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</si>
  <si>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</si>
  <si>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</si>
  <si>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</si>
  <si>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</si>
  <si>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</si>
  <si>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</si>
  <si>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</si>
  <si>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</si>
  <si>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</si>
  <si>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</si>
  <si>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Trong đó: Dự kiến</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</si>
  <si>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</si>
  <si>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</si>
  <si>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</si>
  <si>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</si>
  <si>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</si>
  <si>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</si>
  <si>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</si>
  <si>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</si>
  <si>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</si>
  <si>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</si>
  <si>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</si>
  <si>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</si>
  <si>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</si>
  <si>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</si>
  <si>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</si>
  <si>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</si>
  <si>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</si>
  <si>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</si>
  <si>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</si>
  <si>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</si>
  <si>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</si>
  <si>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</si>
  <si>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</si>
  <si>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</si>
  <si>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</si>
  <si>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</si>
  <si>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</si>
  <si>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</si>
  <si>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</si>
  <si>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</si>
  <si>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</si>
  <si>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</si>
  <si>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CÂN ĐỐI NGUỒN THU, CHI DỰ TOÁN NGÂN SÁCH CẤP TỈNH VÀ NGÂN SÁCH HUYỆN NĂM 2019</t>
  </si>
  <si>
    <t>DỰ TOÁN THU NGÂN SÁCH NHÀ NƯỚC TRÊN ĐỊA BÀN TỪNG HUYỆN THEO LĨNH VỰC NĂM 2019</t>
  </si>
  <si>
    <t>DỰ TOÁN CHI NGÂN SÁCH ĐỊA PHƯƠNG, CHI NGÂN SÁCH CẤP TỈNH VÀ CHI NGÂN SÁCH HUYỆN THEO CƠ CẤU CHI NĂM 2019</t>
  </si>
  <si>
    <t>DỰ TOÁN CHI NGÂN SÁCH CẤP TỈNH THEO LĨNH VỰC NĂM 2019</t>
  </si>
  <si>
    <t>DỰ TOÁN CHI THƯỜNG XUYÊN CỦA NGÂN SÁCH CẤP TỈNH CHO TỪNG CƠ QUAN, TỔ CHỨC THEO LĨNH VỰC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</si>
  <si>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</si>
  <si>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</si>
  <si>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</si>
  <si>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</si>
  <si>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</si>
  <si>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</si>
  <si>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</si>
  <si>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</si>
  <si>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</si>
  <si>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</si>
  <si>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</si>
  <si>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</si>
  <si>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</si>
  <si>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DỰ TOÁN CHI NGÂN SÁCH CẤP TỈNH CHO TỪNG CƠ QUAN, TỔ CHỨC NĂM 2019</t>
  </si>
  <si>
    <t>DỰ TOÁN THU, SỐ BỔ SUNG VÀ DỰ TOÁN CHI CÂN ĐỐI NGÂN SÁCH TỪNG HUYỆN NĂM 2019</t>
  </si>
  <si>
    <t>Biểu số 47/CK-NSNN</t>
  </si>
  <si>
    <t>Biểu số 50/CK-NSNN</t>
  </si>
  <si>
    <t>Biểu số 51/CK-NSNN</t>
  </si>
  <si>
    <t>Biểu số 55/CK-NSNN</t>
  </si>
  <si>
    <t>Biểu số 53/CK-NSNN</t>
  </si>
  <si>
    <t>CHI BỔ SUNG CÂN ĐỐI CHO NGÂN SÁCH HUYỆN</t>
  </si>
  <si>
    <t>CHI NGÂN SÁCH CẤP TỈNH THEO LĨNH VỰC</t>
  </si>
  <si>
    <t>(Kèm theo Quyết định số ………../QĐ-UBND ngày    /12/2018 của Ủy ban nhân dân tỉnh Tiền Giang)</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</si>
  <si>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</si>
  <si>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</si>
  <si>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</si>
  <si>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</si>
  <si>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CÂN ĐỐI NGÂN SÁCH ĐỊA PHƯƠNG NĂM 2019</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</si>
  <si>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</si>
  <si>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</si>
  <si>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</si>
  <si>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</si>
  <si>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</si>
  <si>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</si>
  <si>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</si>
  <si>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</si>
  <si>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</si>
  <si>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</si>
  <si>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BỘI THU NSĐP</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</si>
  <si>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</si>
  <si>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</si>
  <si>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</si>
  <si>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</si>
  <si>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</si>
  <si>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</si>
  <si>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</si>
  <si>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</si>
  <si>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</si>
  <si>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</si>
  <si>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</si>
  <si>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DỰ TOÁN THU NGÂN SÁCH NHÀ NƯỚC NĂM 2019</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</si>
  <si>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</si>
  <si>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</si>
  <si>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</si>
  <si>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</si>
  <si>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</si>
  <si>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</si>
  <si>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</si>
  <si>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</si>
  <si>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</si>
  <si>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</si>
  <si>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</si>
  <si>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</si>
  <si>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</si>
  <si>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</si>
  <si>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</si>
  <si>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</si>
  <si>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</si>
  <si>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</si>
  <si>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</si>
  <si>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</si>
  <si>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</si>
  <si>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</si>
  <si>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</si>
  <si>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</si>
  <si>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</si>
  <si>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</si>
  <si>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</si>
  <si>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</si>
  <si>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</si>
  <si>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</si>
  <si>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</si>
  <si>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</si>
  <si>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</si>
  <si>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</si>
  <si>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</si>
  <si>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</si>
  <si>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</si>
  <si>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</si>
  <si>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</si>
  <si>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</si>
  <si>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</si>
  <si>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</si>
  <si>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</si>
  <si>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</si>
  <si>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</si>
  <si>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</si>
  <si>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</si>
  <si>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</si>
  <si>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</si>
  <si>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</si>
  <si>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Biểu số 58/CK-NSNN</t>
  </si>
  <si>
    <t>DANH MỤC CÁC CHƯƠNG TRÌNH, DỰ ÁN SỬ DỤNG VỐN NSNN NĂM 2019</t>
  </si>
  <si>
    <t>Đơn vị tính: triệu đồng</t>
  </si>
  <si>
    <t>TT</t>
  </si>
  <si>
    <t>Chủ đầu tư</t>
  </si>
  <si>
    <t>Địa điểm XD</t>
  </si>
  <si>
    <t>Thời gian KC-HT</t>
  </si>
  <si>
    <t xml:space="preserve">Quyết định đầu tư </t>
  </si>
  <si>
    <t>Tổng mức đầu tư</t>
  </si>
  <si>
    <t>TMĐT*90%
(theo nguồn)</t>
  </si>
  <si>
    <t>Lũy kế vốn bố trí đến hết năm 2015</t>
  </si>
  <si>
    <t>Kế hoạch năm 2018</t>
  </si>
  <si>
    <r>
      <t xml:space="preserve">Kế hoạch đầu tư công trung hạn 2016-2020 
</t>
    </r>
    <r>
      <rPr>
        <i/>
        <sz val="12"/>
        <rFont val="Times New Roman"/>
        <family val="1"/>
      </rPr>
      <t>(Điều chỉnh, bổ sung)</t>
    </r>
  </si>
  <si>
    <t xml:space="preserve">KH 2016-2020 (không tính dự phòng </t>
  </si>
  <si>
    <t>Lũy kế bố trí giai đoạn 2016-2018</t>
  </si>
  <si>
    <t>Lũy kế bố trí vốn đến năm 2018</t>
  </si>
  <si>
    <t>Số vốn còn lại giai đoạn 2019-2020</t>
  </si>
  <si>
    <t>Số vốn còn lại giai đoạn 2019-2020 (bố trí)</t>
  </si>
  <si>
    <t>Lũy kế vốn bố trí đến hết năm 2018</t>
  </si>
  <si>
    <t xml:space="preserve">Kế hoạch năm 2019 </t>
  </si>
  <si>
    <t>Ghi chú</t>
  </si>
  <si>
    <t>Số Quyết định</t>
  </si>
  <si>
    <t>TMĐT 
(theo nguồn)</t>
  </si>
  <si>
    <t>Theo NQ 24</t>
  </si>
  <si>
    <t>Theo QĐ giao vốn của BKH</t>
  </si>
  <si>
    <t>Kế hoạch năm 2016</t>
  </si>
  <si>
    <t>Kế hoạch năm 2017</t>
  </si>
  <si>
    <t xml:space="preserve">Kế hoạch </t>
  </si>
  <si>
    <t>Giải gân đến 30/6/2018</t>
  </si>
  <si>
    <t>Tổng cộng</t>
  </si>
  <si>
    <t>NQ điều chỉnh</t>
  </si>
  <si>
    <t>bổ sung TT, KDư KH 2016</t>
  </si>
  <si>
    <t>bổ sung TT XSKT 2017</t>
  </si>
  <si>
    <t>Kết dư, tăng thu XSKT 2016, SDD, TĐU</t>
  </si>
  <si>
    <t>NSTW bổ sung năm 2017</t>
  </si>
  <si>
    <t>NSTW hoàn trả</t>
  </si>
  <si>
    <t>Vốn phân bổ từ NSĐP, NSTW, TPCP</t>
  </si>
  <si>
    <t>Vốn bổ sung từ nguồn tăng thu, kết dư NSĐP</t>
  </si>
  <si>
    <t>Vốn bổ sung từ nguồn dự phòng NSĐP</t>
  </si>
  <si>
    <t>Giải ngân</t>
  </si>
  <si>
    <t>Kế hoạch vốn</t>
  </si>
  <si>
    <t xml:space="preserve">VỐN ĐẦU TƯ TRONG CÂN ĐỐI NGÂN SÁCH ĐỊA PHƯƠNG </t>
  </si>
  <si>
    <t>A.1</t>
  </si>
  <si>
    <t xml:space="preserve">VỐN ĐẦU TƯ TRONG CÂN ĐỐI THEO TIÊU CHÍ VÀ NGUỒN THU SỬ DỤNG ĐẤT </t>
  </si>
  <si>
    <t xml:space="preserve">Vốn đầu tư phân cấp cho huyện, thành phố,  thị xã </t>
  </si>
  <si>
    <t>Các huyện</t>
  </si>
  <si>
    <t>Nông nghiệp</t>
  </si>
  <si>
    <t>Các công trình chuyển tiếp</t>
  </si>
  <si>
    <t>Kênh 14</t>
  </si>
  <si>
    <t>Ban QLDA Nông nghiệp</t>
  </si>
  <si>
    <t>H.GCT; TX.GC</t>
  </si>
  <si>
    <t xml:space="preserve">Kênh 16,354 km và 6 cống </t>
  </si>
  <si>
    <t>2015-2019</t>
  </si>
  <si>
    <t>2602/QĐ-UBND, 30/10/2013;
 993/QĐ-UBND, 22/1/2015</t>
  </si>
  <si>
    <t>Bờ kè sông Long Uông (đoạn từ Huyện ủy đến cầu nguyễn Văn Côn)</t>
  </si>
  <si>
    <t>H.GCĐ</t>
  </si>
  <si>
    <t>Bờ kè, sân đường</t>
  </si>
  <si>
    <t>2017-2019</t>
  </si>
  <si>
    <t>3230/QĐ-UBND, 31/10/2016</t>
  </si>
  <si>
    <r>
      <t>Nâng cấp nhà máy xử lý nước thải Cảng cá Mỹ Tho từ công suất 100m</t>
    </r>
    <r>
      <rPr>
        <vertAlign val="superscript"/>
        <sz val="12"/>
        <rFont val="Times New Roman"/>
        <family val="1"/>
      </rPr>
      <t>3</t>
    </r>
    <r>
      <rPr>
        <sz val="12"/>
        <rFont val="Times New Roman"/>
        <family val="1"/>
      </rPr>
      <t>/ngày/đêm lên 200m</t>
    </r>
    <r>
      <rPr>
        <vertAlign val="superscript"/>
        <sz val="12"/>
        <rFont val="Times New Roman"/>
        <family val="1"/>
      </rPr>
      <t>3</t>
    </r>
    <r>
      <rPr>
        <sz val="12"/>
        <rFont val="Times New Roman"/>
        <family val="1"/>
      </rPr>
      <t>/ngày/đêm</t>
    </r>
  </si>
  <si>
    <t>S.NN</t>
  </si>
  <si>
    <t>TP.MT</t>
  </si>
  <si>
    <t>2018-2019</t>
  </si>
  <si>
    <t>66/QĐ-SKH&amp;ĐT, 31/10/2017</t>
  </si>
  <si>
    <t xml:space="preserve">Đê Sông Tiền (Hòa Định - Xuân Đông) </t>
  </si>
  <si>
    <t>H.CG</t>
  </si>
  <si>
    <t>Đê ngăn triều cường</t>
  </si>
  <si>
    <t>2643/QĐ-UBND, 31/10/2017</t>
  </si>
  <si>
    <t>Các công trình khởi công mới năm 2019</t>
  </si>
  <si>
    <t>Các cống điều tiết bảo vệ vùng sản xuất Thanh Long thuộc hệ Bảo Định - Hạng mục cống Ông Đăng</t>
  </si>
  <si>
    <t>2019-2020</t>
  </si>
  <si>
    <r>
      <t>Nâng cấp láng nhựa mặt đê Bình Ninh huyện Chợ Gạo (đoạn từ cầu Hòa Định đến bến phà Bình Ninh)</t>
    </r>
    <r>
      <rPr>
        <sz val="13"/>
        <rFont val="Times New Roman"/>
        <family val="1"/>
      </rPr>
      <t>.</t>
    </r>
  </si>
  <si>
    <t>Chi cục Thủy lợi</t>
  </si>
  <si>
    <t>1961/QĐ-UBND, 17/7/2018</t>
  </si>
  <si>
    <t>Nâng cấp trải đá 0x4 đê Hòa Thạnh - Thuận Trị huyện Gò Công Tây</t>
  </si>
  <si>
    <t>H.GCT</t>
  </si>
  <si>
    <t>1983/QĐ-UBND, 23/7/2019</t>
  </si>
  <si>
    <t>Nâng cấp láng nhựa mặt đê Sông Tra huyện Gò Công Tây (đoạn từ bến đò Ninh Đồng đến cống Rạch Sâu).</t>
  </si>
  <si>
    <t>1984/QĐ-UBND, 23/7/2020</t>
  </si>
  <si>
    <t>Xử lý sạt lở đường cặp kênh Láng Biển, xã Tân Thành, huyện Gò Công Đông</t>
  </si>
  <si>
    <t>2493/QĐ-UBND, 31/10/2018</t>
  </si>
  <si>
    <t>Bờ kè cặp sông Vàm Giồng (đoạn đường Nguyễn Đăng Hưng)</t>
  </si>
  <si>
    <t>4889/QĐ-UBND,
31/10/2018</t>
  </si>
  <si>
    <t>Bờ kè đoạn sông từ cầu Trương Định - Cầu Kinh tỉnh</t>
  </si>
  <si>
    <t>TX.GC</t>
  </si>
  <si>
    <t>Tuyến đê Đông kênh Mương Lộ thuộc ô bao Rau Răm - Rạch Gầm (CT2) xã Mỹ Long</t>
  </si>
  <si>
    <t>H.CL</t>
  </si>
  <si>
    <t>3992/QĐ-UBND, 31/10/2018</t>
  </si>
  <si>
    <t>Tuyến đê Đông sông Bà Trà thuộc ô bao Bà Trà - Mỹ Long (CL12) xã Mỹ Long</t>
  </si>
  <si>
    <t>3993/QĐ-UBND, 31/10/2018</t>
  </si>
  <si>
    <t>Khôi phục cây vú sữa Lò Rèn trên địa bàn tỉnh Tiền Giang</t>
  </si>
  <si>
    <t>H.CT</t>
  </si>
  <si>
    <t>79/QĐ-SKH&amp;ĐT, 31/10/2018</t>
  </si>
  <si>
    <t xml:space="preserve">Các Dự án phục vụ đề án phát triển cây Thanh Long </t>
  </si>
  <si>
    <t xml:space="preserve">H.CG </t>
  </si>
  <si>
    <t>Các công trình nông nghiệp - thủy lợi khác</t>
  </si>
  <si>
    <t>S.NN và các huyện</t>
  </si>
  <si>
    <t>các huyện</t>
  </si>
  <si>
    <t>Giao thông</t>
  </si>
  <si>
    <t>Đường huyện 60</t>
  </si>
  <si>
    <t>Ban QLDA Giao thông</t>
  </si>
  <si>
    <t>TX.CL-HCL</t>
  </si>
  <si>
    <t>2017-2021</t>
  </si>
  <si>
    <t>3204/QĐ-UBND, 31/10/2016</t>
  </si>
  <si>
    <t xml:space="preserve"> Đường tỉnh 872B (Đoạn Quốc lộ 50 đến Đường tỉnh 877)</t>
  </si>
  <si>
    <t>Dài 5,807 m, 03 cầu HL93 và 19 cống</t>
  </si>
  <si>
    <t>2017-2020</t>
  </si>
  <si>
    <t>3201/QĐ-UBND, 31/10/2016</t>
  </si>
  <si>
    <t>Tuyến tránh đường tỉnh 868 (đoạn từ QL 1 đến cao tốc)</t>
  </si>
  <si>
    <t>6km</t>
  </si>
  <si>
    <t>3206/QĐ-UBND, 31/10/2016</t>
  </si>
  <si>
    <t>Đường tỉnh 877B (đoạn qua trung tâm huyện Tân Phú Đông)</t>
  </si>
  <si>
    <t>H.TPĐ</t>
  </si>
  <si>
    <t>2018-2020</t>
  </si>
  <si>
    <t>3165/QĐ-UBND, 30/10/2017</t>
  </si>
  <si>
    <t>Nâng cấp, mở rộng Đường tỉnh 867 (đoạn từ cầu Kênh 500 đến cầu Tràm Mù)</t>
  </si>
  <si>
    <t>H.TP</t>
  </si>
  <si>
    <t>3166/QĐ-UBND, 30/10/2017</t>
  </si>
  <si>
    <t>Mở rộng Đường tỉnh 877B (đoạn từ nghĩa trang Bình Ninh đến Đường tỉnh 877B)</t>
  </si>
  <si>
    <t>3164/QĐ-UBND, 30/10/2017</t>
  </si>
  <si>
    <t>Hai cầu trên Đường tỉnh 866 (cầu Lớn, cầu Cổ Chi và hệ thống thoát nước)</t>
  </si>
  <si>
    <t>H.CT, H.TP</t>
  </si>
  <si>
    <t>3171/QĐ-UBND, 30/10/2017</t>
  </si>
  <si>
    <t>Đường Kênh ngang (ĐH.27E) huyện Chợ Gạo</t>
  </si>
  <si>
    <t>2637/QĐ-UBND, 31/10/2017</t>
  </si>
  <si>
    <t>Cầu kênh Xáng trên Đường huyện 35</t>
  </si>
  <si>
    <t>2019-2022</t>
  </si>
  <si>
    <t>Các Cầu yếu trên các tuyến đường tỉnh và các công trình giao thông cấp thiết khác</t>
  </si>
  <si>
    <t>S.GT, các huyện</t>
  </si>
  <si>
    <t xml:space="preserve">Đường Nguyễn Thái Học nối dài thị trấn Cái Bè đến xã Hòa Khánh </t>
  </si>
  <si>
    <t>H.CB</t>
  </si>
  <si>
    <t>2019-2021</t>
  </si>
  <si>
    <t>5921/QĐ-UBND, 31/10/2018</t>
  </si>
  <si>
    <t>Đảm bảo An toàn giao thông</t>
  </si>
  <si>
    <t>S.GT</t>
  </si>
  <si>
    <t>Khoa học - Công nghệ</t>
  </si>
  <si>
    <t>Ứng dụng công nghệ thông tin trong hoạt động của các cơ quan Đảng tỉnh Tiền Giang giai đoạn 2015-2020</t>
  </si>
  <si>
    <t>VP.TU</t>
  </si>
  <si>
    <t>toàn tỉnh</t>
  </si>
  <si>
    <t>Đầu tư trang thiết bị và phần mềm ứng dụng</t>
  </si>
  <si>
    <t>2016-2018</t>
  </si>
  <si>
    <t>2857/QĐ-UBND, 27/10/2015</t>
  </si>
  <si>
    <t>Trung tâm Nghiên cứu ứng dụng và Dịch vụ khoa học công nghệ tỉnh Tiền Giang</t>
  </si>
  <si>
    <t>S.KHCN</t>
  </si>
  <si>
    <t>2017-2018</t>
  </si>
  <si>
    <t>3202/QĐ-UBND, 31/10/2016</t>
  </si>
  <si>
    <t>Dự án số hóa tài liệu lưu trữ lịch sử tỉnh Tiền Giang (giai đoạn 1)</t>
  </si>
  <si>
    <t>S.NV</t>
  </si>
  <si>
    <t>3260/QĐ-UBND, 31/10/2016</t>
  </si>
  <si>
    <t>Nâng cao năng lực của Trung tâm kỹ thuật và công nghệ sinh học 
(giai đoạn 2)</t>
  </si>
  <si>
    <t>3184/QĐ-UBND, 30/10/2017</t>
  </si>
  <si>
    <t>Nâng cấp mạng Lan - Wan các cơ quan nhà nước trên địa bàn tỉnh</t>
  </si>
  <si>
    <t>STTTT</t>
  </si>
  <si>
    <t>3185/QĐ-UBND, 31/10/2017</t>
  </si>
  <si>
    <t>Tin học hóa quản lý công tác khen thưởng trên địa bàn tỉnh Tiền Giang</t>
  </si>
  <si>
    <t>3184/QĐ-UBND, 31/10/2017</t>
  </si>
  <si>
    <t>Nâng cấp hệ thống mạng, máy chủ, hệ thống bảo mật và Backup dữ liệu</t>
  </si>
  <si>
    <t>S.TNMT</t>
  </si>
  <si>
    <t>3182/QĐ-UBND, 31/10/2017</t>
  </si>
  <si>
    <t>Nâng cấp hạ tầng công nghệ thông tin cho Tòa soạn Báo Ấp Bắc</t>
  </si>
  <si>
    <t>Báo Ấp Bắc</t>
  </si>
  <si>
    <t>3183/QĐ-UBND, 31/10/2017</t>
  </si>
  <si>
    <t>CĐT đề nghị 2,8 tỷ</t>
  </si>
  <si>
    <t>Xây dựng hệ thống thông tin dùng chung các ngành</t>
  </si>
  <si>
    <t>Dự án số hóa tài liệu lưu trữ lịch sử tỉnh Tiền Giang (giai đoạn 2)</t>
  </si>
  <si>
    <t>Các dự án Khoa học công nghệ khác</t>
  </si>
  <si>
    <t>3.1</t>
  </si>
  <si>
    <t>Đầu tư nâng cấp đồng bộ hạ tầng kỹ thuật và ứng dụng công nghệ thông tin ngành nông nghiệp</t>
  </si>
  <si>
    <t>SNN</t>
  </si>
  <si>
    <t>3.2</t>
  </si>
  <si>
    <t>Xây dựng cổng thông tin hộ kinh doanh và hợp tác xã trên địa bàn tỉnh Tiền Giang</t>
  </si>
  <si>
    <t>S.KHĐT</t>
  </si>
  <si>
    <t>80/QĐ-SKH&amp;ĐT, 31/10/2018</t>
  </si>
  <si>
    <t>CT mới</t>
  </si>
  <si>
    <t>3.3</t>
  </si>
  <si>
    <t>Các dự án cấp thiết khác</t>
  </si>
  <si>
    <t>Các Sở, ban, ngành</t>
  </si>
  <si>
    <t>Quản lý Nhà nước</t>
  </si>
  <si>
    <t>Kho lưu trữ chuyên dụng Chi cục Văn thư - Lưu trữ tỉnh Tiền Giang</t>
  </si>
  <si>
    <t>2638/QĐ-UBND, 25/10/2008; 
2531/QĐ-UBND, 28/10/2013</t>
  </si>
  <si>
    <t>Trạm xử lý nước thải khu trung tâm hành chính huyện Tân Phú Đông</t>
  </si>
  <si>
    <t>1883/QĐ-UBND, 31/10/2017</t>
  </si>
  <si>
    <t xml:space="preserve">Trung tâm hành chính công tỉnh Tiền Giang </t>
  </si>
  <si>
    <t>BQL DA DD&amp;CN</t>
  </si>
  <si>
    <t>Hội trường - Nhà khách Thị ủy, Ủy ban nhân dân thị xã Gò Công</t>
  </si>
  <si>
    <t xml:space="preserve">Hỗ trợ đầu tư Trụ sở UBND và Trụ sở an ninh - quốc phòng các xã  </t>
  </si>
  <si>
    <t>Sửa chữa trụ sở các cơ quan</t>
  </si>
  <si>
    <t>Các ngành</t>
  </si>
  <si>
    <t>Các công trình khác</t>
  </si>
  <si>
    <t>Các sở ngành và các huyện</t>
  </si>
  <si>
    <t>Quốc phòng - An ninh</t>
  </si>
  <si>
    <t>Đại đội Trinh sát - Bộ CHQS tỉnh Tiền Giang</t>
  </si>
  <si>
    <t>BCH.QS</t>
  </si>
  <si>
    <t>25000m2</t>
  </si>
  <si>
    <t>2636/QĐ-UBND, 29/10/2014</t>
  </si>
  <si>
    <t>Nhà chờ thăm chiến sỹ mới hằng năm/Trung đoàn 924</t>
  </si>
  <si>
    <t>600m2</t>
  </si>
  <si>
    <t>109/QĐ-SKH&amp;ĐT, 31/10/2017</t>
  </si>
  <si>
    <t>Cải tạo nâng cấp hệ thống thoát nước tổng thể, phòng học, sân đường - Trung tâm giáo dục quốc phòng an ninh/Trường Quân sự tỉnh</t>
  </si>
  <si>
    <t>1500md</t>
  </si>
  <si>
    <t>118/QĐ-SKH&amp;ĐT, 31/10/2017</t>
  </si>
  <si>
    <t>Trận địa pháo 85mm</t>
  </si>
  <si>
    <t>3268/QĐ-UBND, 31/10/2016</t>
  </si>
  <si>
    <t>Trụ sở làm việc và nhà ở cho dân quân xã, phường, thị trấn năm 2018-2020</t>
  </si>
  <si>
    <t xml:space="preserve">Các huyện </t>
  </si>
  <si>
    <t>5.1</t>
  </si>
  <si>
    <t>Trụ sở làm việc và nhà ở cho dân quân xã, phường, thị trấn năm 2018-2020 (phía Tây)</t>
  </si>
  <si>
    <t>110/QĐ-SKH&amp;ĐT, 31/10/2017</t>
  </si>
  <si>
    <t>5.2</t>
  </si>
  <si>
    <t>Trụ sở làm việc và nhà ở cho dân quân xã, phường, thị trấn năm 2018-2020 (phía Đông)</t>
  </si>
  <si>
    <t>112/QĐ-SKH&amp;ĐT, 31/10/2017</t>
  </si>
  <si>
    <t>5.3</t>
  </si>
  <si>
    <t>Trụ sở làm việc và nhà ở cho dân quân xã, phường, thị trấn năm 2019</t>
  </si>
  <si>
    <t xml:space="preserve">Trụ sở làm việc công an xã, phường, thị trấn </t>
  </si>
  <si>
    <t>CA</t>
  </si>
  <si>
    <t>6.1</t>
  </si>
  <si>
    <t>Trụ sở làm việc công an xã, phường, thị trấn năm 2018</t>
  </si>
  <si>
    <t>144/QĐ-SKH&amp;ĐT, 31/10/2016</t>
  </si>
  <si>
    <t>6.2</t>
  </si>
  <si>
    <t>Trụ sở làm việc công an xã, phường, thị trấn năm 2019-2020</t>
  </si>
  <si>
    <t>Cải tạo, nâng cấp Trạm kiểm soát Biên phòng Cửa Tiểu</t>
  </si>
  <si>
    <t>BCH.BP</t>
  </si>
  <si>
    <t>81/QĐ-SKH&amp;ĐT, 31/10/2018</t>
  </si>
  <si>
    <t>Cải tạo, sửa chữa doanh trại Đồn biên phòng Phú Tân</t>
  </si>
  <si>
    <t>89/QĐ-SKH&amp;ĐT, 31/10/2018</t>
  </si>
  <si>
    <t>Nhà kho vũ khí - Ban Chỉ huy Quân sự huyện Gò Công Tây</t>
  </si>
  <si>
    <t>85/QĐ-SKH&amp;ĐT, 31/10/2018</t>
  </si>
  <si>
    <t>(Thay thế Trạm dân Quân y không hiệu quả)</t>
  </si>
  <si>
    <t>Sửa chữa nâng cấp Đại đội Thông tin - Bộ CHQS tỉnh TG</t>
  </si>
  <si>
    <t>400m2, 200 hầm</t>
  </si>
  <si>
    <t>97/QĐ-SKH&amp;ĐT, 31/10/2018</t>
  </si>
  <si>
    <t>Cải tạo sửa chữa nâng cấp Nhà ăn - Bộ CHQS tỉnh TG</t>
  </si>
  <si>
    <t>250m2</t>
  </si>
  <si>
    <t>88/QĐ-SKH&amp;ĐT, 31/10/2018</t>
  </si>
  <si>
    <t>Xây dựng nhà kho vật chất cứu hộ cứu nạn và vật chất phòng chống biểu tình bạo loạn lật đổ A2</t>
  </si>
  <si>
    <t>200m2</t>
  </si>
  <si>
    <t>93/QĐ-SKH&amp;ĐT, 31/10/2018</t>
  </si>
  <si>
    <t>Lắp đặt hệ thống camera giám sát an ninh trật tự, trật tự an toàn giao thông trên địa bàn tỉnh</t>
  </si>
  <si>
    <t>Toàn tỉnh</t>
  </si>
  <si>
    <t>Công trình quốc phòng, an ninh khác</t>
  </si>
  <si>
    <t>BCH.QS, BCH.BP, CA và các huyện</t>
  </si>
  <si>
    <t>Công trình khác</t>
  </si>
  <si>
    <t>Quy hoạch, Chuẩn bị đầu tư</t>
  </si>
  <si>
    <r>
      <t xml:space="preserve">Trích chuyển vào Quỹ phát triển đất của tỉnh  </t>
    </r>
    <r>
      <rPr>
        <i/>
        <sz val="12"/>
        <rFont val="Times New Roman"/>
        <family val="1"/>
      </rPr>
      <t>(từ 10 - 15% dự toán nguồn thu tiền sử dụng đất cấp tỉnh)</t>
    </r>
    <r>
      <rPr>
        <sz val="12"/>
        <rFont val="Times New Roman"/>
        <family val="1"/>
      </rPr>
      <t xml:space="preserve"> </t>
    </r>
  </si>
  <si>
    <t xml:space="preserve">Nâng cấp, bổ sung thiết bị phát thanh - truyền hình theo lộ trình số hóa </t>
  </si>
  <si>
    <t>Đài PTTH</t>
  </si>
  <si>
    <t>Đối ứng các dự án ODA</t>
  </si>
  <si>
    <t>4.1</t>
  </si>
  <si>
    <t>Tiểu dự án Kiểm soát và giảm rủi ro do lũ vùng Ba Rài -Phú An (ADB-GMS1)</t>
  </si>
  <si>
    <t>XD 27 cống  ngăn lũ, triều cường, tiêu úng</t>
  </si>
  <si>
    <t>2014-2019</t>
  </si>
  <si>
    <t>2345/QĐ-UBND, 02/10/2013; 
4285/QĐ-UBND, 27/12/2016</t>
  </si>
  <si>
    <t>Hoàn ứng ngân sách 4,50 tỷ đồng</t>
  </si>
  <si>
    <t>4.2</t>
  </si>
  <si>
    <t>Dự án chuyển đổi nông nghiệp bền vững (WB-VnSAT)</t>
  </si>
  <si>
    <t>H.CB, H.CL, TX.CL</t>
  </si>
  <si>
    <t>200.000-300.000 ha, 150.000-200.000 hộ dân</t>
  </si>
  <si>
    <t>2016-2020</t>
  </si>
  <si>
    <t>625/QĐ-TTg, 13/5/2015;
 1992/QĐ-BNN-HTQT, 29/5/2015</t>
  </si>
  <si>
    <t>4.3</t>
  </si>
  <si>
    <t>Nâng cấp đô thị vùng đồng bằng sông Cửu Long - Tiểu dự án thành phố Mỹ Tho.</t>
  </si>
  <si>
    <t>17 khu lia, 3 nhà văn hóa, 6 trường học, kè, đường, VSMT cấp thoát nước</t>
  </si>
  <si>
    <t>2012-2017</t>
  </si>
  <si>
    <t>318/QĐ-UBND 10/02/2012; 
1454/QĐ-UBND 20/06/2012</t>
  </si>
  <si>
    <t>4.4</t>
  </si>
  <si>
    <t>Dự án tăng cường quản lý đất đai và cơ sở dự liệu đất đai (VILG)</t>
  </si>
  <si>
    <t>1236/QĐ-BTNMT, 30/5/2016</t>
  </si>
  <si>
    <t>Đối ứng các dự án, các chương trình mục tiêu</t>
  </si>
  <si>
    <t xml:space="preserve"> Đường tỉnh 878 </t>
  </si>
  <si>
    <t>Chiều dài toàn tuyến 13,48 km.</t>
  </si>
  <si>
    <t>1970/QĐ-UBND, 14/8/2014</t>
  </si>
  <si>
    <t>Trụ sở làm việc Huyện ủy - UBND huyện Tân Phú Đông</t>
  </si>
  <si>
    <t>8.500 m2</t>
  </si>
  <si>
    <t>2014-2017</t>
  </si>
  <si>
    <t>2575/QĐ-UBND, 30/10/2013</t>
  </si>
  <si>
    <t>Hạ tầng kỹ thuật - Khu trung tâm hành chính huyện Cai Lậy (giai đoạn 1)</t>
  </si>
  <si>
    <t>DT sử dụng đất 22 ha</t>
  </si>
  <si>
    <t>2707/QĐ-UBND, 31/10/2014</t>
  </si>
  <si>
    <t>5.4</t>
  </si>
  <si>
    <t>Khu neo đậu tránh trú bão cho tàu cá cửa sông Soài Rạp kết hợp bến cá Vàm Láng</t>
  </si>
  <si>
    <t>350 tàu</t>
  </si>
  <si>
    <t>2656/QĐ-UBND, 29/10/2014</t>
  </si>
  <si>
    <t>5.5</t>
  </si>
  <si>
    <t>Đường vào trung tâm hành chính huyện Tân Phú Đông (giai đoạn 2)</t>
  </si>
  <si>
    <t>Dài 2,654 m, 02 cầu HL93 và 02 cống hộp</t>
  </si>
  <si>
    <t>2018-2022</t>
  </si>
  <si>
    <t>2679/QĐ-UBND, 14/6/2016</t>
  </si>
  <si>
    <t>5.6</t>
  </si>
  <si>
    <t>Hạ tầng phát triển và bảo vệ vùng cây ăn trái Thuộc Nhiêu - Mỹ Long</t>
  </si>
  <si>
    <t>H.CT, H..CL</t>
  </si>
  <si>
    <t>2018-2021</t>
  </si>
  <si>
    <t>3153/QĐ-UBND, 30/10/2017</t>
  </si>
  <si>
    <t xml:space="preserve">Thanh toán tạm ứng, khối lượng hoàn thành, quyết toán vốn đầu tư, đối ứng các dự án ODA, NGO, NSTW, Chương trình mục tiêu quốc gia và công trình cấp thiết khác </t>
  </si>
  <si>
    <t>Các Sở, ngành và các huyện</t>
  </si>
  <si>
    <t>A.2</t>
  </si>
  <si>
    <t>VỐN XỔ SỐ KIẾN THIẾT</t>
  </si>
  <si>
    <t>Giáo dục - Đào tạo- Dạy nghề</t>
  </si>
  <si>
    <t>Công trình trường học (ĐH, THCS, TH)</t>
  </si>
  <si>
    <t>Trường Đại học Tiền Giang 
(Hạ tầng kỹ thuật giai đoạn 1, Trung tâm Thư viện và công trình khác)</t>
  </si>
  <si>
    <t xml:space="preserve">10.000 SV </t>
  </si>
  <si>
    <t>2667/QĐ-UBND, 29/10/2014; 
 3203/QĐ-UBND, 31/3/2016</t>
  </si>
  <si>
    <t>Trường Tiểu học Bình Đức</t>
  </si>
  <si>
    <t>2016-2019</t>
  </si>
  <si>
    <t>2653/QĐ-UBND, 29/10/2014</t>
  </si>
  <si>
    <t>Trường THCS Lê Ngọc Hân - thành phố Mỹ Tho</t>
  </si>
  <si>
    <t>2708/QĐ-UBND, 31/10/2014</t>
  </si>
  <si>
    <t>Trường THPT Tân Hiệp - huyện Châu Thành</t>
  </si>
  <si>
    <t>2659/QĐ-UBND 29/10/2014</t>
  </si>
  <si>
    <t xml:space="preserve">Trường THPT Nguyễn Văn Thìn - huyện Gò Công Tây </t>
  </si>
  <si>
    <t>3888/QĐ-UBND, 31/12/2015</t>
  </si>
  <si>
    <t>Trường THPT Lê Thanh Hiền - huyện Cái Bè</t>
  </si>
  <si>
    <t>3889/QĐ-UBND, 31/12/2015</t>
  </si>
  <si>
    <t>Trường THCS Phan Văn Ba</t>
  </si>
  <si>
    <t>3887/QĐ-UBND, 31/12/2015</t>
  </si>
  <si>
    <t>Khối thực hành phục vụ giảng dạy các nghề trọng điểm - Trường Cao đẳng nghề Tiền Giang</t>
  </si>
  <si>
    <t>Trường CĐ nghề</t>
  </si>
  <si>
    <t>Trường THPT Cái Bè - huyện Cái Bè</t>
  </si>
  <si>
    <t xml:space="preserve">Cải tạo PH, Nhà đa năng, hồ bơi </t>
  </si>
  <si>
    <t>3218/QĐ-UBND, 31/10/2016</t>
  </si>
  <si>
    <t>Trường THPT Đốc Binh Kiều - huyện Cai Lậy</t>
  </si>
  <si>
    <t xml:space="preserve">12 phòng; Hồ bơi; Nhà ĐN </t>
  </si>
  <si>
    <t>3216/QĐ-UBND, 31/10/2016</t>
  </si>
  <si>
    <t>Nâng cấp, mở rộng Trường THPT Dưỡng Điềm - huyện Châu Thành</t>
  </si>
  <si>
    <t>3256/QĐ-UBND, 31/10/2016</t>
  </si>
  <si>
    <t>Trung tâm bồi dưỡng chính trị huyện Tân Phước</t>
  </si>
  <si>
    <t>3278/QĐ-UBND, 31/10/2016</t>
  </si>
  <si>
    <t>Trường Tiểu học Thới Sơn</t>
  </si>
  <si>
    <t>2017 - 2019</t>
  </si>
  <si>
    <t>3212/QĐ-UBND, 31/10/2016</t>
  </si>
  <si>
    <t>Trường THCS Đạo Thạnh</t>
  </si>
  <si>
    <t>3200/QĐ-UBND, 31/10/2016</t>
  </si>
  <si>
    <t>Trường Tiểu học Phan Văn Kiêu</t>
  </si>
  <si>
    <t>TX.CL</t>
  </si>
  <si>
    <t>3199/QĐ-UBND, 31/10/2016</t>
  </si>
  <si>
    <t>Dự án hồ bơi các trường THPT huyện</t>
  </si>
  <si>
    <t>8 trường</t>
  </si>
  <si>
    <t>3160/QĐ-UBND, 30/10/2017</t>
  </si>
  <si>
    <t>Trung tâm Bồi dưỡng chính trị thành phố Mỹ Tho</t>
  </si>
  <si>
    <t xml:space="preserve"> 3161/QĐ-UBND, 30/10/2017</t>
  </si>
  <si>
    <t>Trung tâm bồi dưỡng Chính Trị huyện Cai Lậy</t>
  </si>
  <si>
    <t>3154/QĐ-UBND, 31/10/2017</t>
  </si>
  <si>
    <t>Trường THCS Hòa Hưng - huyện Cái Bè</t>
  </si>
  <si>
    <t>3170/QĐ-UBND, 31/10/2017</t>
  </si>
  <si>
    <t>Trường THCS Phường 3 - thị xã Gò Công</t>
  </si>
  <si>
    <t>3159/QĐ-UBND, 30/10/2017</t>
  </si>
  <si>
    <t>Nhà tập đa năng Trường năng khiếu thể dục thể thao tỉnh Tiền Giang</t>
  </si>
  <si>
    <t>S.VH</t>
  </si>
  <si>
    <t>90/QĐ-SKH&amp;ĐT, 31/10/2017</t>
  </si>
  <si>
    <t>Trường TH Bình Khương</t>
  </si>
  <si>
    <t>2592/QĐ-UBND, 31/10/2017</t>
  </si>
  <si>
    <t>Trường THCS Bình Phục Nhứt</t>
  </si>
  <si>
    <t>2596/QĐ-UBND, 31/10/2017</t>
  </si>
  <si>
    <t>Trường THCS Tịnh Hà - huyện Chợ Gạo</t>
  </si>
  <si>
    <t>3155/QĐ-UBND, 30/10/2017</t>
  </si>
  <si>
    <t xml:space="preserve">Trường TH Hội Xuân (ấp Xuân Kiểng)    </t>
  </si>
  <si>
    <t>6646/QĐ-UBND, 31/10/2017</t>
  </si>
  <si>
    <t>Trường TH Phú An I (Giai đoạn 2)</t>
  </si>
  <si>
    <t>6642/QĐ-UBND, 31/10/2017</t>
  </si>
  <si>
    <t>Trường Tiểu học Thân Cửu Nghĩa B (giai đoạn 2).</t>
  </si>
  <si>
    <t>6546/QĐ-UBND, 31/10/2017</t>
  </si>
  <si>
    <t>Trường Tiểu học Long An (giai đoạn 2).</t>
  </si>
  <si>
    <t>6545/QĐ-UBND, 31/10/2017</t>
  </si>
  <si>
    <t>Trường Tiểu học Thạnh Tân</t>
  </si>
  <si>
    <t>2326/QĐ-UBND, 31/10/2017</t>
  </si>
  <si>
    <t>Trường Tiểu học Tân Lập 1</t>
  </si>
  <si>
    <t>1711/QĐ-UBND, 07/9/2017</t>
  </si>
  <si>
    <t>Trường Tiểu học Tân Lập 2</t>
  </si>
  <si>
    <t>2328/QĐ-UBND, 31/10/2017</t>
  </si>
  <si>
    <t>Xây dựng khối hành chánh - lớp học -Trường tiểu học Lê Quý Đôn - thành phố Mỹ Tho</t>
  </si>
  <si>
    <t>6370/QĐ-UBND,  31/10/2017</t>
  </si>
  <si>
    <t>Trường Tiểu học Tân Phước 1</t>
  </si>
  <si>
    <t>2604/QĐ-UBND, 31/10/2017</t>
  </si>
  <si>
    <t>còn thiếu 1,2 tỷ</t>
  </si>
  <si>
    <t>Trường Tiểu học Nhị Quý</t>
  </si>
  <si>
    <t>6238/QĐ-UBND, 30/10/2017</t>
  </si>
  <si>
    <t xml:space="preserve">Trường THCS Phường 2 - thành phố Mỹ Tho (giai đoạn 2), hạng mục Xây dựng mới Khối hành chánh - phòng học, nhà đa năng và trạm hạ thế </t>
  </si>
  <si>
    <t>6377/QĐ-UBND,  31/10/2017</t>
  </si>
  <si>
    <t>Trường THCS Mỹ Hạnh Đông</t>
  </si>
  <si>
    <t>6185/QĐ-UBND, 30/10/2017</t>
  </si>
  <si>
    <t xml:space="preserve">Trường THPT Tân Phú Đông </t>
  </si>
  <si>
    <t>S.GDĐT</t>
  </si>
  <si>
    <t>2551/QĐ-UBND, 20/10/2014</t>
  </si>
  <si>
    <t xml:space="preserve">Trường THPT Tân Thới </t>
  </si>
  <si>
    <t>2601/QĐ-UBND, 30/10/2013</t>
  </si>
  <si>
    <t>Trường mẫu giáo, mầm non các huyện</t>
  </si>
  <si>
    <t>Chi tiết theo Biểu số II</t>
  </si>
  <si>
    <t>Thanh toán khối lượng hoàn thành, đối ứng các dự án ODA và các công trình giáo dục cấp thiết khác</t>
  </si>
  <si>
    <t>40.1</t>
  </si>
  <si>
    <t xml:space="preserve">Trại thực nghiệm Ngành khoa học cây trồng - Trường Đại học Tiền Giang </t>
  </si>
  <si>
    <t>Tr.ĐH</t>
  </si>
  <si>
    <t>40.2</t>
  </si>
  <si>
    <t xml:space="preserve">Hàng rào tạm khu chăn nuôi Thân Cửu Nghĩa - Trường Đại học Tiền Giang </t>
  </si>
  <si>
    <t>119/QĐ-SKH&amp;ĐT 31/10/2017</t>
  </si>
  <si>
    <t>40.3</t>
  </si>
  <si>
    <t>Các công trình cấp thiết khác</t>
  </si>
  <si>
    <t>*</t>
  </si>
  <si>
    <t xml:space="preserve">Trường THCS Phú Cường </t>
  </si>
  <si>
    <t>3984/QĐ-UBND, 31/10/2018</t>
  </si>
  <si>
    <t>Trường Tiểu học B Hòa Hưng (Khối hành chính, 04 phòng học bộ môn và các công trình phụ trợ)</t>
  </si>
  <si>
    <t>5919/QĐ-UBND, 31/10/2018</t>
  </si>
  <si>
    <t xml:space="preserve">Trường THCS Mỹ Lợi A </t>
  </si>
  <si>
    <t>Trường Tiểu học Tân Phong 2 (xây mới 15 phòng)</t>
  </si>
  <si>
    <t>3877/QĐ-UBND, 26/10/2018</t>
  </si>
  <si>
    <t>Trường Tiểu học Mỹ Phước</t>
  </si>
  <si>
    <t>2268/QĐ-UBND, 31/10/2018</t>
  </si>
  <si>
    <t>Trường Tiểu học Tân Hương A (giai đoạn 2)</t>
  </si>
  <si>
    <t>5599/QĐ-UBND, 31/10/2018</t>
  </si>
  <si>
    <t>Trường Tiểu học Hòa Tịnh</t>
  </si>
  <si>
    <t>2188/QĐ-UBND, 31/10/2018</t>
  </si>
  <si>
    <t>Trường Tiểu học Long Thạnh xã Quơn Long</t>
  </si>
  <si>
    <t>2278/QĐ-UBND, 31/10/2018</t>
  </si>
  <si>
    <t>Trường Tiểu học Long Vĩnh</t>
  </si>
  <si>
    <t>4877/QĐ-UBND,
31/10/2018</t>
  </si>
  <si>
    <t>Trường Tiểu học Võ Thị Lớ</t>
  </si>
  <si>
    <t>2510/QĐ-UBND, 31/10/2018</t>
  </si>
  <si>
    <t>Trường THCS Nhị Quý</t>
  </si>
  <si>
    <t>Trường THCS Phú Phong (giai đoạn 2)</t>
  </si>
  <si>
    <t>5600/QĐ-UBND, 31/10/2018</t>
  </si>
  <si>
    <t>Trường Trung học cơ sở Võ Văn Chỉnh</t>
  </si>
  <si>
    <t>2511/QĐ-UBND, 31/10/2018</t>
  </si>
  <si>
    <t>Trường Tiểu học Hậu Thành</t>
  </si>
  <si>
    <t>Trường Tiểu học Thạnh Lộc 1</t>
  </si>
  <si>
    <t>3985/QĐ-UBND, 31/10/2018</t>
  </si>
  <si>
    <t>Trường Tiểu học Song Bình</t>
  </si>
  <si>
    <t>Trường Tiểu học Đồng Thạnh</t>
  </si>
  <si>
    <t>4875/QĐ-UBND,
31/10/2018</t>
  </si>
  <si>
    <t>Trường Tiểu học Phước Trung 2</t>
  </si>
  <si>
    <t>2509/QĐ-UBND, 31/10/2018</t>
  </si>
  <si>
    <t>Trường Tiểu học Gia Thuận 1</t>
  </si>
  <si>
    <t>2508/QĐ-UBND, 31/10/2018</t>
  </si>
  <si>
    <t>Trường Tiểu học Kiểng Phước 2</t>
  </si>
  <si>
    <t xml:space="preserve">Trường Tiểu học Bình Xuân 2 </t>
  </si>
  <si>
    <t>697/QĐ-UBND, 31/10/2018</t>
  </si>
  <si>
    <t>Trường Trung học cơ sở Long Hưng 
(Khối phòng bộ và các hạng mục phụ)</t>
  </si>
  <si>
    <t>5601/QĐ-UBND, 31/10/2018</t>
  </si>
  <si>
    <t xml:space="preserve">Trường THCS Bình Đông </t>
  </si>
  <si>
    <t>698/QĐ-UBND, 31/10/2018</t>
  </si>
  <si>
    <t>Trường THCS Tân Bình</t>
  </si>
  <si>
    <t>4855/QĐ-UBND, 29/10/2018</t>
  </si>
  <si>
    <t>Sửa chữa Trường Tiểu học Long Hưng</t>
  </si>
  <si>
    <t>5624/QĐ-UBND, 31/10/2018</t>
  </si>
  <si>
    <t>Nâng cấp, cải tạo Trường Tiểu học Hòa Định</t>
  </si>
  <si>
    <t>2290/QĐ-UBND, 31/10/2018</t>
  </si>
  <si>
    <t xml:space="preserve">Trường Tiểu học Tân Hiệp </t>
  </si>
  <si>
    <t>5602/QĐ-UBND, 31/10/2018</t>
  </si>
  <si>
    <t>Trường THPT Thủ Khoa Huân</t>
  </si>
  <si>
    <t>84/QĐ-SKH&amp;ĐT, 31/10/2018</t>
  </si>
  <si>
    <t>Trường THPT Gò Công Đông</t>
  </si>
  <si>
    <t>90/QĐ-SKH&amp;ĐT, 31/10/2018</t>
  </si>
  <si>
    <t>Trường THPT Nguyễn Văn Côn</t>
  </si>
  <si>
    <t>98/QĐ-SKH&amp;ĐT, 31/10/2018</t>
  </si>
  <si>
    <t>Sửa chữa, nâng cấp các trường học và trạm y tế cấp thiết khác</t>
  </si>
  <si>
    <t xml:space="preserve">S.GD, S.YT và các huyện </t>
  </si>
  <si>
    <t>Y tế</t>
  </si>
  <si>
    <t>Cải tạo, nâng cấp Bệnh viện Đa khoa tỉnh</t>
  </si>
  <si>
    <t>S.YT</t>
  </si>
  <si>
    <t>Cải tạo 3.758 m2, TTB  BV hiện hữu</t>
  </si>
  <si>
    <t>3205/QĐ-UBND, 31/10/2016</t>
  </si>
  <si>
    <t>Xây dựng mở rộng Bệnh viện y học cổ truyền tỉnh Tiền Giang</t>
  </si>
  <si>
    <t xml:space="preserve">150 giường, 4.422 m2 </t>
  </si>
  <si>
    <t>2580/QĐ-UBND, 30/10/2013</t>
  </si>
  <si>
    <t>Cải tạo, nâng cấp Bệnh viện Tâm thần tỉnh Tiền Giang</t>
  </si>
  <si>
    <t>250 giường</t>
  </si>
  <si>
    <t>3430/QĐ-UBND, 31/10/2011</t>
  </si>
  <si>
    <t>Trung tâm y tế huyện Cai Lậy</t>
  </si>
  <si>
    <t>3210/QĐ-UBND, 31/10/2016</t>
  </si>
  <si>
    <t>Nâng cấp, mở rộng Trung tâm y tế thị xã Gò Công</t>
  </si>
  <si>
    <t xml:space="preserve">Đầu tư hệ thống xử lý chất thải y tế (giai đoạn 2) </t>
  </si>
  <si>
    <t>3158/QĐ-UBND, 31/10/2017</t>
  </si>
  <si>
    <t>Trạm y tế xã, phường, thị trấn</t>
  </si>
  <si>
    <t>Chi tiết theo Biểu số III</t>
  </si>
  <si>
    <t>Thanh toán khối lượng hoàn thành, đối ứng các dự án ODA y tế và các công trình y tế cấp thiết khác</t>
  </si>
  <si>
    <t xml:space="preserve">Trung tâm y tế huyện Cai Lậy (giai đoạn 2) </t>
  </si>
  <si>
    <t>Trung tâm Y tế dự phòng tỉnh</t>
  </si>
  <si>
    <t>Sửa chữa, nâng cấp, mở rộng các Bệnh viện khu vực và Trung tâm Y tế huyện</t>
  </si>
  <si>
    <t>BQL DA DD&amp;CN, SYT và các huyện</t>
  </si>
  <si>
    <t>Bệnh viện đa khoa  tỉnh Tiền Giang</t>
  </si>
  <si>
    <t>682/QĐ-UBND, 15/3/2018</t>
  </si>
  <si>
    <t xml:space="preserve">Trung tâm Y học gia đình </t>
  </si>
  <si>
    <t>Trường CĐ y tế</t>
  </si>
  <si>
    <t>83/QĐ-SKH&amp;ĐT, 31/10/2018</t>
  </si>
  <si>
    <t>Vốn hỗ trợ đầu tư xây dựng cơ sở hạ tầng các xã nông thôn mới, các xã bãi ngang, ven biển và các phường, thị trấn</t>
  </si>
  <si>
    <t>Chi hỗ trợ các xã xây dựng nông thôn mới năm 2019 (23 xã) (23*10 tỷ đồng)</t>
  </si>
  <si>
    <t>Thưởng công trình phúc lợi cho các xã đạt chuẩn năm 2018 (23 xã)</t>
  </si>
  <si>
    <t>Chi hỗ trợ phường, Thị trấn 350 triệu đồng/đơn vị (29 đơn vị)</t>
  </si>
  <si>
    <t>Khuyến khích doanh nghiệp đầu tư vào nông nghiệp nông thôn</t>
  </si>
  <si>
    <t xml:space="preserve">Hỗ trợ các xã dự kiến ra mắt nông thôn mới năm 2020 </t>
  </si>
  <si>
    <t xml:space="preserve">Vốn đầu tư các dự án trọng điểm </t>
  </si>
  <si>
    <t xml:space="preserve"> Hạ tầng kỹ thuật- Quảng trường Trung tâm tỉnh</t>
  </si>
  <si>
    <t>43,9 ha</t>
  </si>
  <si>
    <t>2014-2018</t>
  </si>
  <si>
    <t>2604/QĐ-UBND, 30/10/2013</t>
  </si>
  <si>
    <t xml:space="preserve">Tiểu dự án Bồi thường, hỗ trợ, tái định cư phục vụ các dự án đầu tư xây dựng Quảng trường trung tâm tỉnh Tiền Giang (giai đoạn 1) </t>
  </si>
  <si>
    <t>TTPTQĐ</t>
  </si>
  <si>
    <t>BTGPMB 330.865 m2, 606 hộ</t>
  </si>
  <si>
    <t>2013-2016</t>
  </si>
  <si>
    <t xml:space="preserve">2601/QĐ-UBND, 24/10/2012 </t>
  </si>
  <si>
    <t xml:space="preserve"> Quảng trường (Sân lễ) - Quảng trường Trung tâm tỉnh Tiền Giang</t>
  </si>
  <si>
    <t>Sân BT; HTCTN, cỏ trang trí…</t>
  </si>
  <si>
    <t>2015-2018</t>
  </si>
  <si>
    <t>2645/QĐ-UBND, 29/10/2014</t>
  </si>
  <si>
    <t>Công viên trái cây</t>
  </si>
  <si>
    <t>2017-2022</t>
  </si>
  <si>
    <t>3225/QĐ-UBND, 31/10/2016</t>
  </si>
  <si>
    <t>Công nghiêp</t>
  </si>
  <si>
    <t xml:space="preserve">Thảm bêtông nhựa nóng đường nội bộ số 3, 4 và bãi đậu xe Cụm công nghiệp Trung An </t>
  </si>
  <si>
    <t>Cty.PTHT</t>
  </si>
  <si>
    <t>108/QĐ-SKH&amp;ĐT, 31/10/2017</t>
  </si>
  <si>
    <t>Khu tái định cư Tân Hương giai đoạn 2</t>
  </si>
  <si>
    <t>96/QĐ-SKH&amp;ĐT, 31/10/2017</t>
  </si>
  <si>
    <t>Hỗ trợ cải tạo, nâng cấp phát triển hệ thống chợ trên địa bàn tỉnh</t>
  </si>
  <si>
    <t>1</t>
  </si>
  <si>
    <t>Bến Chợ huyện Chợ Gạo</t>
  </si>
  <si>
    <t>XD mới bờ kè, văn phòng</t>
  </si>
  <si>
    <t>3215/QĐ-UBND, 31/10/2016</t>
  </si>
  <si>
    <t>2</t>
  </si>
  <si>
    <t>Bến bãi Chợ Phú Phong (giai đoạn 2)</t>
  </si>
  <si>
    <t>3273/QĐ-UBND, 31/10/2016</t>
  </si>
  <si>
    <t>3</t>
  </si>
  <si>
    <t>Chợ Bắc Đông, xã Thạnh Mỹ, huyện Tân Phước</t>
  </si>
  <si>
    <t>2357/QĐ-UBND, 31/10/2017</t>
  </si>
  <si>
    <t>4</t>
  </si>
  <si>
    <t>Chợ Xã Lới, xã Tân Trung, thị xã Gò Công</t>
  </si>
  <si>
    <t>2512/QĐ-UBND, 30/10/2017</t>
  </si>
  <si>
    <t>5</t>
  </si>
  <si>
    <t>Chợ Thuộc Nhiêu, xã Dưỡng Điềm, huyện Châu Thành</t>
  </si>
  <si>
    <t>6544/QĐ-UBND, 31/10/2017</t>
  </si>
  <si>
    <t>6</t>
  </si>
  <si>
    <t>Chợ Cầu Xéo, xã Hậu Thành, huyện Cái Bè</t>
  </si>
  <si>
    <t>8896/QĐ-UBND, 31/10/2017</t>
  </si>
  <si>
    <t>7</t>
  </si>
  <si>
    <t>Chợ Tân Tây, xã Tân Tây, huyện Gò Công Đông</t>
  </si>
  <si>
    <t>2613/QĐ-UBND, 30/10/2017</t>
  </si>
  <si>
    <t>Chợ Hưng Thạnh</t>
  </si>
  <si>
    <t>2270/QĐ-UBND, 31/10/2018</t>
  </si>
  <si>
    <t xml:space="preserve">Chợ Tân Thới </t>
  </si>
  <si>
    <t>2329/QĐ-UBND, 31/10/2018</t>
  </si>
  <si>
    <t>Chợ  khác</t>
  </si>
  <si>
    <t>Văn hóa -Xã hội</t>
  </si>
  <si>
    <t xml:space="preserve">Nhà thiếu nhi tỉnh Tiền Giang  </t>
  </si>
  <si>
    <t>Công viên 27/8</t>
  </si>
  <si>
    <t>3162/QĐ-UBND, 30/10/2017</t>
  </si>
  <si>
    <t>Trạm xử lý nước thải tập trung 600m3/ngày đêm Khu tái định cư Đạo Thạnh</t>
  </si>
  <si>
    <t>TT.PTQĐ</t>
  </si>
  <si>
    <t>Cơ sở Cai nghiện ma túy</t>
  </si>
  <si>
    <t>S.LĐ</t>
  </si>
  <si>
    <t>2578/QĐ-UBND, 19/9/2018</t>
  </si>
  <si>
    <t>Hoàn ứng ngân sách 3,0 tỷ đồng</t>
  </si>
  <si>
    <t>Mở rộng đền thờ Anh hùng dân tộc Trương Định (khu vực II)</t>
  </si>
  <si>
    <t>2502/QĐ-UBND, 31/10/2018</t>
  </si>
  <si>
    <t>Khu di tích Lăng Hoàng Gia</t>
  </si>
  <si>
    <t>700/QĐ-UBND, 31/10/2018</t>
  </si>
  <si>
    <t xml:space="preserve">Trung tâm văn hóa huyện Chợ Gạo </t>
  </si>
  <si>
    <t>2242/QĐ-UBND, 31/10/2018</t>
  </si>
  <si>
    <t xml:space="preserve">Hồ bơi </t>
  </si>
  <si>
    <t>2236/QĐ-UBND, 31/10/2018</t>
  </si>
  <si>
    <t>Hội trường đa năng, công trình phụ trợ, mua ô tô chuyên dùng</t>
  </si>
  <si>
    <t>2491/QĐ-UBND, 31/10/2018</t>
  </si>
  <si>
    <t>Nhà tập luyện thể thao, các phòng chức năng</t>
  </si>
  <si>
    <t>Sân vận động</t>
  </si>
  <si>
    <t xml:space="preserve">Sửa chữa nâng cấp nghĩa trang liệt sĩ tỉnh Tiến Giang </t>
  </si>
  <si>
    <t>82/QĐ-SKH&amp;ĐT, 31/12/2018</t>
  </si>
  <si>
    <t>Nhà tưởng niệm đồng chí Phan Văn Khỏe</t>
  </si>
  <si>
    <t>Đường huyện 07 - huyện Gò Công Đông</t>
  </si>
  <si>
    <t>3 năm</t>
  </si>
  <si>
    <t>2015-2017</t>
  </si>
  <si>
    <t>2633/QĐ-UBND, 29/10/2014</t>
  </si>
  <si>
    <t>Đường liên huyện (Đường huyện 36 Châu Thành nối Đường huyện 51 thị xã Cai Lậy) - đoạn qua địa phận huyện Châu Thành</t>
  </si>
  <si>
    <t>3292/QĐ-UBND, 31/10/2016</t>
  </si>
  <si>
    <t xml:space="preserve">Cầu Nguyễn Trọng Dân </t>
  </si>
  <si>
    <t>3214/QĐ-UBND, 31/10/2016</t>
  </si>
  <si>
    <t>Đường Trần Văn Ưng (nối dài)</t>
  </si>
  <si>
    <t>3220/QĐ-UBND, 31/10/2016</t>
  </si>
  <si>
    <t xml:space="preserve">Đường Bình Phú - Bình Thạnh (ĐH.65) </t>
  </si>
  <si>
    <t>3207/QĐ-UBND, 31/10/2016</t>
  </si>
  <si>
    <t>Đường Tây Mỹ Long - Bà Kỳ</t>
  </si>
  <si>
    <t>Đầu tư nâng cấp</t>
  </si>
  <si>
    <t>2664/QĐ-UBND, 29/10/2014</t>
  </si>
  <si>
    <t>Đường Huyện 90E</t>
  </si>
  <si>
    <t>2017 - 2018</t>
  </si>
  <si>
    <t>3209/QĐ-UBND, 31/10/2016</t>
  </si>
  <si>
    <t>Đường vào trường mẫu giáo ấp 10 xã Mỹ Thành Nam</t>
  </si>
  <si>
    <t>3313/QĐ-UBND, 31/10/2016</t>
  </si>
  <si>
    <t>Đường Lộ Đình xã Thạnh Trị - huyện Gò Công Tây</t>
  </si>
  <si>
    <t>2665/QĐ-UBND,
29/10/2014</t>
  </si>
  <si>
    <t>Đường Đông kênh Năng (từ kênh Nguyễn Văn Tiếp đến ĐT866B)</t>
  </si>
  <si>
    <t>2355/QĐ-UBND, 31/10/2017</t>
  </si>
  <si>
    <t>Đường liên xã mở rộng (Đường huyện 57 nối vào đường lộ Dây Thép)</t>
  </si>
  <si>
    <t>3156/QĐ-UBND, 30/10/2017</t>
  </si>
  <si>
    <t>Đường huyện 28B</t>
  </si>
  <si>
    <t>Chiều dài 6599m, tải trọng 10 tấn/trục xe</t>
  </si>
  <si>
    <t>2550/QĐ-UBND, 31/10/2017</t>
  </si>
  <si>
    <t>Đường lộ Dây Thép (ĐT 880B)</t>
  </si>
  <si>
    <t>H.CT, TX.CL</t>
  </si>
  <si>
    <t>3152/QĐ-UBND, 30/10/2017</t>
  </si>
  <si>
    <t>Đường nối từ Đường tỉnh 871 vào Đường Bắc kênh Cần Lộc (giai đoạn 2)</t>
  </si>
  <si>
    <t>2611/QĐ-UBND, 30/10/2017</t>
  </si>
  <si>
    <t>Cầu Vĩ - Km0+719 (Đường tỉnh 879)</t>
  </si>
  <si>
    <t>3167/QĐ-UBND, 30/10/2017</t>
  </si>
  <si>
    <t>Cống Chùa 1, Cống Mương Lộ và Cống Rạch Sơn trên ĐT 864</t>
  </si>
  <si>
    <t>Đường nội bộ khu vực Huyện ủy, Ủy ban nhân dân huyện Tân Phú Đông</t>
  </si>
  <si>
    <t>3153/QĐ-UBND, 31/10/2017</t>
  </si>
  <si>
    <t>Nâng cấp mở rộng đường Rạch Gầm từ Nam Kỳ Khởi Nghĩa đến Lê Lợi</t>
  </si>
  <si>
    <t>SGT</t>
  </si>
  <si>
    <t>Hai tuyến đường đấu nối giữa đường Lê Thị Hồng Gấm và Đường dọc sông Tiền</t>
  </si>
  <si>
    <t xml:space="preserve">Đường liên xã Nhị Bình - Bình Trưng </t>
  </si>
  <si>
    <t>6547/QĐ-UBND, 31/10/2017</t>
  </si>
  <si>
    <t>Tuyến tránh thị trấn Tân Tây</t>
  </si>
  <si>
    <t>2610/QĐ-UBND, 30/10/2017</t>
  </si>
  <si>
    <t>Đường từ cầu 26/3 đến bến đò Tân Phong - Ngũ Hiệp, huyện Cai Lây</t>
  </si>
  <si>
    <t>3163/QĐ-UBND, 30/10/2017</t>
  </si>
  <si>
    <t>Đường Đìa Lá - xã Trung An</t>
  </si>
  <si>
    <t>6384/QĐ-UBND, 31/10/2017</t>
  </si>
  <si>
    <t>Vướng GPMB, dể lại 2,5 tỷ</t>
  </si>
  <si>
    <t>Đường dọc sông Tiền nối dài Đường tỉnh 864 (phần nhựa mặt đường)</t>
  </si>
  <si>
    <t>3157/QĐ-UBND, 31/10/2017</t>
  </si>
  <si>
    <t>Đường tránh thị trấn Vĩnh Bình - huyện Gò Công Tây (giai đoạn 1)</t>
  </si>
  <si>
    <t>Chiều dài 3.496 m</t>
  </si>
  <si>
    <t>2020-2024</t>
  </si>
  <si>
    <t>Đường Kênh Kháng Chiến (Đường huyện 38B)</t>
  </si>
  <si>
    <t>5622/QĐ-UBND, 31/10/2018</t>
  </si>
  <si>
    <t>Đường số 9 theo quy hoạch phân khu Phường 5, Phường 6</t>
  </si>
  <si>
    <t>Nối 01 nhịp cầu dẫn phía bờ Gò Công Tây của bến phà Tân Long</t>
  </si>
  <si>
    <t>Đường Mỹ Trang- thị xã Cai Lậy (từ trường THCS Võ Việt Tân - ĐH 53)</t>
  </si>
  <si>
    <t>Đường Tây kênh Năng (từ Kênh 2 đến Kênh 1)</t>
  </si>
  <si>
    <t>2271/QĐ-UBND, 31/10/2018</t>
  </si>
  <si>
    <t xml:space="preserve">Cầu Kênh Kháng Chiến - xã Mỹ Thành Nam </t>
  </si>
  <si>
    <t>3975/QĐ-UBND, 30/10/2018</t>
  </si>
  <si>
    <t>Cầu vào Cơ sở cai nghiện ma túy tỉnh</t>
  </si>
  <si>
    <t>Nâng cấp, mở rộng Đường vào Cơ sở cai nghiện ma túy tỉnh Tiền Giang</t>
  </si>
  <si>
    <t>5623/QĐ-UBND, 31/10/2018</t>
  </si>
  <si>
    <t>Nâng cấp Đường huyện  05B</t>
  </si>
  <si>
    <t>2496/QĐ-UBND, 31/10/2018</t>
  </si>
  <si>
    <t xml:space="preserve">Nâng cấp Đường huyện 02 </t>
  </si>
  <si>
    <t>Nâng cấp Đường huyện 08</t>
  </si>
  <si>
    <t>2497/QĐ-UBND, 31/10/2018</t>
  </si>
  <si>
    <t>Nâng cấp Đường huyện 08B</t>
  </si>
  <si>
    <t>2498/QĐ-UBND, 31/10/2018</t>
  </si>
  <si>
    <t>Nâng cấp Đường huyện 09</t>
  </si>
  <si>
    <t>2499/QĐ-UBND, 31/10/2018</t>
  </si>
  <si>
    <t>Nâng cấp Đường huyện 10</t>
  </si>
  <si>
    <t xml:space="preserve">Tuyến Đường huyện 24 </t>
  </si>
  <si>
    <t>2230/QĐ-UBND, 31/10/2018</t>
  </si>
  <si>
    <t>Nâng cấp, mở rộng dường đê Bình Ninh</t>
  </si>
  <si>
    <t xml:space="preserve">Đường vào Trường cấp 3 Cái Bè (đường Nguyễn Văn Tốt) </t>
  </si>
  <si>
    <t>Đường huyện 13 huyện Gò Công Tây</t>
  </si>
  <si>
    <t>Mở rộng đường trung tâm xã Tân Thạnh huyện Tân Phú Đông (ĐH83C)</t>
  </si>
  <si>
    <t xml:space="preserve">Sửa chữa các công trình giao thông </t>
  </si>
  <si>
    <t>SGT, các huyện</t>
  </si>
  <si>
    <t>IX</t>
  </si>
  <si>
    <t>Du lịch</t>
  </si>
  <si>
    <t>Chỉnh trang cơ sở hạ tầng du lịch xã Thới Sơn thành phố Mỹ Tho</t>
  </si>
  <si>
    <t>6336/QĐ-UBND, 31/10/2017</t>
  </si>
  <si>
    <t>Dự án hỗ trợ phát triển hạ tầng du lịch khác</t>
  </si>
  <si>
    <t>S.VHTTDL và các huyện</t>
  </si>
  <si>
    <t>X</t>
  </si>
  <si>
    <t>Di dời trụ điện trung hạ thế đường giao thông nông thôn</t>
  </si>
  <si>
    <t>5922/QĐ-UBND, 31/10/2018</t>
  </si>
  <si>
    <t xml:space="preserve">Thanh toán tạm ứng, khối lượng hoàn thành, quyết toán vốn đầu tư, đối ứng các dự án ODA, NGO, NSTW và công trình cấp thiết khác </t>
  </si>
  <si>
    <t xml:space="preserve">VỐN NGÂN SÁCH TRUNG ƯƠNG </t>
  </si>
  <si>
    <t>B.1</t>
  </si>
  <si>
    <t xml:space="preserve">VỐN TRONG NƯỚC </t>
  </si>
  <si>
    <r>
      <t xml:space="preserve">VỐN NGÂN SÁCH TRUNG ƯƠNG HỖ TRỢ ĐẦU TƯ CÁC CHƯƠNG TRÌNH MỤC TIÊU QUỐC GIA 
</t>
    </r>
    <r>
      <rPr>
        <sz val="12"/>
        <rFont val="Times New Roman"/>
        <family val="1"/>
      </rPr>
      <t>(Phần vốn dành cho đầu tư phát triển)</t>
    </r>
  </si>
  <si>
    <t>Chương trình mục tiêu quốc gia giảm nghèo bền vững</t>
  </si>
  <si>
    <t>TX.GC, H.GCĐ, H.TPĐ</t>
  </si>
  <si>
    <t>Chương trình mục tiêu quốc gia xây dựng nông thôn mới</t>
  </si>
  <si>
    <r>
      <t xml:space="preserve">VỐN NGÂN SÁCH TRUNG ƯƠNG HỖ TRỢ ĐẦU TƯ CÁC CHƯƠNG TRÌNH MỤC TIÊU </t>
    </r>
    <r>
      <rPr>
        <sz val="12"/>
        <rFont val="Times New Roman"/>
        <family val="1"/>
      </rPr>
      <t>(Nguồn vốn trong nước)</t>
    </r>
  </si>
  <si>
    <t>(1)</t>
  </si>
  <si>
    <t>Chương trình phát triển KTXH các vùng</t>
  </si>
  <si>
    <t xml:space="preserve">Các dự án chuyển tiếp </t>
  </si>
  <si>
    <t>H.GCT&amp;TX.GC</t>
  </si>
  <si>
    <t>Chiều dài 5,807 m, 03 cầu HL93 và 19 cống ngang</t>
  </si>
  <si>
    <t>Chiều dài 2,654 m, 02 cầu HL93 và 02 cống hộp</t>
  </si>
  <si>
    <t>(2)</t>
  </si>
  <si>
    <t>Chương trình mục tiêu Hỗ trợ đối ứng ODA cho các địa phương</t>
  </si>
  <si>
    <t>(3)</t>
  </si>
  <si>
    <t>Chương trình mục tiêu phát triển kinh tế thủy sản bền vững</t>
  </si>
  <si>
    <t>(4)</t>
  </si>
  <si>
    <t>CTMT tái cơ cấu KTNN và phòng chống GNTT, ổn định ĐS dân cư</t>
  </si>
  <si>
    <t>Nâng cấp đê biển Gò Công</t>
  </si>
  <si>
    <t>Đê biển: 27,3km và các cống</t>
  </si>
  <si>
    <t>2010-2017</t>
  </si>
  <si>
    <t>2158/QĐ-UBND, 19/8/2011</t>
  </si>
  <si>
    <t>Hạ tầng phát triển và bảo vệ vùng cây ăn trái Thuộc Nhiêu – Mỹ Long</t>
  </si>
  <si>
    <t>H.CT, H.CL</t>
  </si>
  <si>
    <t>(5)</t>
  </si>
  <si>
    <t>Chương trình mục tiêu Phát triển hệ thống trợ giúp xã hội</t>
  </si>
  <si>
    <t>Nâng cấp Trung tâm Chữa bệnh - Giáo dục - Lao động xã hội Tiền Giang</t>
  </si>
  <si>
    <t>Nâng cấp, cải tạo</t>
  </si>
  <si>
    <t>(6)</t>
  </si>
  <si>
    <t>Chương trình mục tiêu Đầu tư phát triển hệ thống y tế địa phương</t>
  </si>
  <si>
    <t>SYT</t>
  </si>
  <si>
    <t>Cải tạo 3.758 m2, trang thiết bị  BV hiện hữu</t>
  </si>
  <si>
    <t>(7)</t>
  </si>
  <si>
    <t xml:space="preserve">Chương trình mục tiêu phát triển hạ tầng du lịch </t>
  </si>
  <si>
    <t xml:space="preserve">Đầu tư cơ sở hạ tầng phát triển du lịch huyện Cái Bè </t>
  </si>
  <si>
    <t>kè 563m, đường 9 km</t>
  </si>
  <si>
    <t>911/QĐ-UBND, 31/3/2016</t>
  </si>
  <si>
    <t>B.2</t>
  </si>
  <si>
    <t>VỐN NGÂN SÁCH TRUNG ƯƠNG HỖ TRỢ ĐẦU TƯ CÁC CHƯƠNG TRÌNH MỤC TIÊU (Nguồn vốn nước ngoài - ODA)</t>
  </si>
  <si>
    <t>Nâng cấp đô thị vùng đồng bằng sông Cửu Long – Tiểu dự án thành phố Mỹ Tho</t>
  </si>
  <si>
    <t>2012-2019</t>
  </si>
  <si>
    <t>318/QĐ-UBND 10/02/2012;
1454/QĐ-UBND 20/06/2012</t>
  </si>
  <si>
    <t>Dự án tăng cường quản lý đất đai và cơ sở dữ liệu đất đai (VILG)</t>
  </si>
  <si>
    <t>B.3</t>
  </si>
  <si>
    <t>Vốn trái phiếu Chính phủ</t>
  </si>
  <si>
    <t>Bệnh viện đa khoa tỉnh Tiền Giang</t>
  </si>
  <si>
    <t>Kiên cố hóa trường lớp học mẫu giáo, tiểu học</t>
  </si>
  <si>
    <t>2854/QĐ-UBND, 29/9/2017;
 2855/QĐ-UBND, 29/9/2017;
 2856/QĐ-UBND, 29/9/2017</t>
  </si>
  <si>
    <t>Các dự án kiên cố hóa trường lớp học mẫu giáo, tiểu học huyện Tân Phú Đông</t>
  </si>
  <si>
    <t>Các dự án kiên cố hóa trường lớp học mẫu giáo tiểu học thị xã Gò Công</t>
  </si>
  <si>
    <t>Các dự án kiên cố hóa trường lớp học mẫu giáo tiểu học huyện Gò Công Đông</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</si>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</sst>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62">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2"/>
      <name val="Times New Roman"/>
      <family val="1"/>
    </font>
    <font>
      <b/>
      <sz val="14"/>
      <name val="Times New Roman"/>
      <family val="1"/>
    </font>
    <font>
      <i/>
      <sz val="12"/>
      <name val="Times New Roman"/>
      <family val="1"/>
    </font>
    <font>
      <b/>
      <sz val="9"/>
      <color indexed="81"/>
      <name val="Tahoma"/>
      <family val="2"/>
    </font>
    <font>
      <sz val="9"/>
      <color indexed="81"/>
      <name val="Tahoma"/>
      <family val="2"/>
    </font>
    <font>
      <sz val="10"/>
      <name val="Arial"/>
      <family val="2"/>
    </font>
    <font>
      <sz val="12"/>
      <name val="Times New Roman"/>
      <family val="1"/>
    </font>
    <font>
      <sz val="16"/>
      <name val="Times New Roman"/>
      <family val="1"/>
    </font>
    <font>
      <sz val="17"/>
      <name val="Times New Roman"/>
      <family val="1"/>
    </font>
    <font>
      <b/>
      <sz val="11"/>
      <name val="Times New Roman"/>
      <family val="1"/>
    </font>
    <font>
      <sz val="11"/>
      <color indexed="8"/>
      <name val="Calibri"/>
      <family val="2"/>
    </font>
    <font>
      <vertAlign val="superscript"/>
      <sz val="12"/>
      <name val="Times New Roman"/>
      <family val="1"/>
    </font>
    <font>
      <sz val="13"/>
      <name val="Times New Roman"/>
      <family val="1"/>
    </font>
    <font>
      <sz val="14"/>
      <name val="Times New Roman"/>
      <family val="1"/>
    </font>
    <font>
      <b/>
      <sz val="13"/>
      <name val="Times New Roman"/>
      <family val="1"/>
    </font>
    <font>
      <b/>
      <sz val="12"/>
      <name val="Times New Roman"/>
      <family val="1"/>
      <charset val="163"/>
    </font>
    <font>
      <b/>
      <i/>
      <sz val="14"/>
      <color theme="1"/>
      <name val="Times New Roman"/>
      <family val="1"/>
    </font>
    <font>
      <i/>
      <sz val="14"/>
      <name val="Times New Roman"/>
      <family val="1"/>
    </font>
    <font>
      <i/>
      <sz val="14"/>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8">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0">
    <xf numFmtId="0" fontId="0" fillId="0" borderId="0"/>
    <xf numFmtId="0" fontId="21" fillId="0" borderId="0"/>
    <xf numFmtId="43" fontId="33" fillId="0" borderId="0" applyFont="0" applyFill="0" applyBorder="0" applyAlignment="0" applyProtection="0"/>
    <xf numFmtId="9" fontId="33" fillId="0" borderId="0" applyFont="0" applyFill="0" applyBorder="0" applyAlignment="0" applyProtection="0"/>
    <xf numFmtId="0" fontId="48" fillId="0" borderId="0"/>
    <xf numFmtId="0" fontId="21" fillId="0" borderId="0"/>
    <xf numFmtId="0" fontId="53" fillId="0" borderId="0"/>
    <xf numFmtId="0" fontId="53" fillId="0" borderId="0"/>
    <xf numFmtId="0" fontId="21" fillId="0" borderId="0"/>
    <xf numFmtId="0" fontId="48" fillId="0" borderId="0"/>
    <xf numFmtId="0" fontId="21" fillId="0" borderId="0"/>
    <xf numFmtId="0" fontId="48" fillId="0" borderId="0"/>
    <xf numFmtId="0" fontId="53" fillId="0" borderId="0"/>
    <xf numFmtId="0" fontId="53" fillId="0" borderId="0"/>
    <xf numFmtId="0" fontId="53" fillId="0" borderId="0" applyFont="0" applyFill="0" applyBorder="0" applyAlignment="0" applyProtection="0"/>
    <xf numFmtId="43" fontId="56" fillId="0" borderId="0" applyFont="0" applyFill="0" applyBorder="0" applyAlignment="0" applyProtection="0"/>
    <xf numFmtId="43" fontId="49" fillId="0" borderId="0" applyFont="0" applyFill="0" applyBorder="0" applyAlignment="0" applyProtection="0"/>
    <xf numFmtId="0" fontId="53" fillId="0" borderId="0"/>
    <xf numFmtId="0" fontId="53" fillId="0" borderId="0"/>
    <xf numFmtId="0" fontId="49" fillId="0" borderId="0"/>
    <xf numFmtId="0" fontId="33" fillId="0" borderId="0"/>
    <xf numFmtId="0" fontId="53" fillId="0" borderId="0"/>
    <xf numFmtId="0" fontId="53" fillId="0" borderId="0"/>
    <xf numFmtId="0" fontId="49" fillId="0" borderId="0"/>
    <xf numFmtId="9" fontId="53" fillId="0" borderId="0" applyFont="0" applyFill="0" applyBorder="0" applyAlignment="0" applyProtection="0"/>
    <xf numFmtId="0" fontId="56" fillId="0" borderId="0"/>
    <xf numFmtId="0" fontId="48" fillId="0" borderId="0"/>
    <xf numFmtId="0" fontId="53" fillId="0" borderId="0"/>
    <xf numFmtId="0" fontId="56" fillId="0" borderId="0"/>
    <xf numFmtId="0" fontId="53" fillId="0" borderId="0"/>
  </cellStyleXfs>
  <cellXfs count="611">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17" fillId="0" borderId="6" xfId="0" applyNumberFormat="1" applyFont="1" applyBorder="1" applyAlignment="1">
      <alignment horizontal="center" wrapText="1"/>
    </xf>
    <xf numFmtId="3" fontId="10" fillId="0" borderId="6"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2" fillId="0" borderId="6" xfId="0" applyNumberFormat="1" applyFont="1" applyFill="1" applyBorder="1" applyAlignment="1">
      <alignment vertical="center" wrapText="1"/>
    </xf>
    <xf numFmtId="3" fontId="17" fillId="0" borderId="6" xfId="0" applyNumberFormat="1" applyFont="1" applyBorder="1" applyAlignment="1">
      <alignment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4" fillId="0" borderId="0" xfId="0" applyFont="1" applyAlignment="1">
      <alignment vertical="center" wrapText="1"/>
    </xf>
    <xf numFmtId="1" fontId="49" fillId="3" borderId="0" xfId="4" applyNumberFormat="1" applyFont="1" applyFill="1" applyAlignment="1">
      <alignment horizontal="center" vertical="center" wrapText="1"/>
    </xf>
    <xf numFmtId="1" fontId="49" fillId="3" borderId="0" xfId="4" applyNumberFormat="1" applyFont="1" applyFill="1" applyAlignment="1">
      <alignment horizontal="right" vertical="center" wrapText="1"/>
    </xf>
    <xf numFmtId="3" fontId="49" fillId="3" borderId="0" xfId="4" applyNumberFormat="1" applyFont="1" applyFill="1" applyAlignment="1">
      <alignment horizontal="right" vertical="center" wrapText="1"/>
    </xf>
    <xf numFmtId="1" fontId="49" fillId="3" borderId="0" xfId="4" applyNumberFormat="1" applyFont="1" applyFill="1" applyAlignment="1">
      <alignment horizontal="center" vertical="center"/>
    </xf>
    <xf numFmtId="1" fontId="49" fillId="3" borderId="0" xfId="4" applyNumberFormat="1" applyFont="1" applyFill="1" applyAlignment="1">
      <alignment vertical="center" wrapText="1"/>
    </xf>
    <xf numFmtId="1" fontId="51" fillId="3" borderId="0" xfId="4" applyNumberFormat="1" applyFont="1" applyFill="1" applyAlignment="1">
      <alignment vertical="center" wrapText="1"/>
    </xf>
    <xf numFmtId="1" fontId="50" fillId="3" borderId="0" xfId="4" applyNumberFormat="1" applyFont="1" applyFill="1" applyAlignment="1">
      <alignment vertical="top" wrapText="1"/>
    </xf>
    <xf numFmtId="1" fontId="49" fillId="3" borderId="18" xfId="4" applyNumberFormat="1" applyFont="1" applyFill="1" applyBorder="1" applyAlignment="1">
      <alignment vertical="center" wrapText="1"/>
    </xf>
    <xf numFmtId="1" fontId="49" fillId="3" borderId="18" xfId="4" applyNumberFormat="1" applyFont="1" applyFill="1" applyBorder="1" applyAlignment="1">
      <alignment horizontal="center" vertical="center" wrapText="1"/>
    </xf>
    <xf numFmtId="3" fontId="43" fillId="3" borderId="19" xfId="4" applyNumberFormat="1" applyFont="1" applyFill="1" applyBorder="1" applyAlignment="1">
      <alignment vertical="center" wrapText="1"/>
    </xf>
    <xf numFmtId="3" fontId="49" fillId="3" borderId="0" xfId="4" applyNumberFormat="1" applyFont="1" applyFill="1" applyBorder="1" applyAlignment="1">
      <alignment horizontal="center" vertical="center" wrapText="1"/>
    </xf>
    <xf numFmtId="3" fontId="52" fillId="3" borderId="19" xfId="4" quotePrefix="1"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30" fillId="3" borderId="0" xfId="4" applyNumberFormat="1" applyFont="1" applyFill="1" applyBorder="1" applyAlignment="1">
      <alignment vertical="center" wrapText="1"/>
    </xf>
    <xf numFmtId="0" fontId="43" fillId="3" borderId="19" xfId="6" applyFont="1" applyFill="1" applyBorder="1" applyAlignment="1">
      <alignment horizontal="center" vertical="center" wrapText="1"/>
    </xf>
    <xf numFmtId="49" fontId="43" fillId="3" borderId="19" xfId="7" applyNumberFormat="1" applyFont="1" applyFill="1" applyBorder="1" applyAlignment="1">
      <alignment horizontal="center" vertical="center" wrapText="1"/>
    </xf>
    <xf numFmtId="0" fontId="43" fillId="3" borderId="19" xfId="8" applyFont="1" applyFill="1" applyBorder="1" applyAlignment="1">
      <alignment horizontal="center" vertical="center" wrapText="1"/>
    </xf>
    <xf numFmtId="3" fontId="43" fillId="3" borderId="19" xfId="9" applyNumberFormat="1" applyFont="1" applyFill="1" applyBorder="1" applyAlignment="1">
      <alignment horizontal="center" vertical="center" wrapText="1"/>
    </xf>
    <xf numFmtId="3" fontId="43" fillId="3" borderId="19" xfId="9" quotePrefix="1" applyNumberFormat="1" applyFont="1" applyFill="1" applyBorder="1" applyAlignment="1">
      <alignment horizontal="center" vertical="center" wrapText="1"/>
    </xf>
    <xf numFmtId="41" fontId="43" fillId="3" borderId="19" xfId="4" applyNumberFormat="1" applyFont="1" applyFill="1" applyBorder="1" applyAlignment="1">
      <alignment horizontal="right" vertical="center"/>
    </xf>
    <xf numFmtId="1" fontId="43" fillId="3" borderId="0" xfId="4" applyNumberFormat="1" applyFont="1" applyFill="1" applyAlignment="1">
      <alignment vertical="center" wrapText="1"/>
    </xf>
    <xf numFmtId="0" fontId="43" fillId="3" borderId="21" xfId="6" applyFont="1" applyFill="1" applyBorder="1" applyAlignment="1">
      <alignment horizontal="center" vertical="center" wrapText="1"/>
    </xf>
    <xf numFmtId="49" fontId="43" fillId="3" borderId="21" xfId="7" applyNumberFormat="1" applyFont="1" applyFill="1" applyBorder="1" applyAlignment="1">
      <alignment horizontal="center" vertical="center" wrapText="1"/>
    </xf>
    <xf numFmtId="0" fontId="43" fillId="3" borderId="21" xfId="8" applyFont="1" applyFill="1" applyBorder="1" applyAlignment="1">
      <alignment horizontal="center" vertical="center" wrapText="1"/>
    </xf>
    <xf numFmtId="3" fontId="43" fillId="3" borderId="21" xfId="9" applyNumberFormat="1" applyFont="1" applyFill="1" applyBorder="1" applyAlignment="1">
      <alignment horizontal="center" vertical="center" wrapText="1"/>
    </xf>
    <xf numFmtId="3" fontId="43" fillId="3" borderId="21" xfId="9" quotePrefix="1" applyNumberFormat="1" applyFont="1" applyFill="1" applyBorder="1" applyAlignment="1">
      <alignment horizontal="center" vertical="center" wrapText="1"/>
    </xf>
    <xf numFmtId="41" fontId="43" fillId="3" borderId="21" xfId="4" applyNumberFormat="1" applyFont="1" applyFill="1" applyBorder="1" applyAlignment="1">
      <alignment horizontal="right" vertical="center"/>
    </xf>
    <xf numFmtId="0" fontId="43" fillId="3" borderId="33" xfId="8" applyFont="1" applyFill="1" applyBorder="1" applyAlignment="1">
      <alignment horizontal="center" vertical="center" wrapText="1"/>
    </xf>
    <xf numFmtId="0" fontId="43" fillId="3" borderId="33" xfId="10" applyFont="1" applyFill="1" applyBorder="1" applyAlignment="1">
      <alignment horizontal="left" vertical="center" wrapText="1"/>
    </xf>
    <xf numFmtId="0" fontId="43" fillId="3" borderId="33" xfId="10" applyFont="1" applyFill="1" applyBorder="1" applyAlignment="1">
      <alignment horizontal="center" vertical="center" wrapText="1"/>
    </xf>
    <xf numFmtId="1" fontId="43" fillId="3" borderId="33" xfId="4" applyNumberFormat="1" applyFont="1" applyFill="1" applyBorder="1" applyAlignment="1">
      <alignment horizontal="center" vertical="center" wrapText="1"/>
    </xf>
    <xf numFmtId="0" fontId="43" fillId="3" borderId="33" xfId="11" applyFont="1" applyFill="1" applyBorder="1" applyAlignment="1">
      <alignment horizontal="center" vertical="center" wrapText="1"/>
    </xf>
    <xf numFmtId="3" fontId="43" fillId="3" borderId="33" xfId="10" applyNumberFormat="1" applyFont="1" applyFill="1" applyBorder="1" applyAlignment="1">
      <alignment horizontal="center" vertical="center" wrapText="1"/>
    </xf>
    <xf numFmtId="41" fontId="43" fillId="3" borderId="33" xfId="4" applyNumberFormat="1" applyFont="1" applyFill="1" applyBorder="1" applyAlignment="1">
      <alignment horizontal="right" vertical="center"/>
    </xf>
    <xf numFmtId="0" fontId="43" fillId="3" borderId="13" xfId="8" applyFont="1" applyFill="1" applyBorder="1" applyAlignment="1">
      <alignment horizontal="center" vertical="center" wrapText="1"/>
    </xf>
    <xf numFmtId="0" fontId="43" fillId="3" borderId="13" xfId="10" applyFont="1" applyFill="1" applyBorder="1" applyAlignment="1">
      <alignment horizontal="left" vertical="center" wrapText="1"/>
    </xf>
    <xf numFmtId="0" fontId="43" fillId="3" borderId="13" xfId="10" applyFont="1" applyFill="1" applyBorder="1" applyAlignment="1">
      <alignment horizontal="center" vertical="center" wrapText="1"/>
    </xf>
    <xf numFmtId="1" fontId="43" fillId="3" borderId="13" xfId="4" applyNumberFormat="1" applyFont="1" applyFill="1" applyBorder="1" applyAlignment="1">
      <alignment horizontal="center" vertical="center" wrapText="1"/>
    </xf>
    <xf numFmtId="0" fontId="43" fillId="3" borderId="13" xfId="11" applyFont="1" applyFill="1" applyBorder="1" applyAlignment="1">
      <alignment horizontal="center" vertical="center" wrapText="1"/>
    </xf>
    <xf numFmtId="3" fontId="43" fillId="3" borderId="13" xfId="10" applyNumberFormat="1" applyFont="1" applyFill="1" applyBorder="1" applyAlignment="1">
      <alignment horizontal="center" vertical="center" wrapText="1"/>
    </xf>
    <xf numFmtId="41" fontId="43" fillId="3" borderId="13" xfId="4" applyNumberFormat="1" applyFont="1" applyFill="1" applyBorder="1" applyAlignment="1">
      <alignment horizontal="right" vertical="center"/>
    </xf>
    <xf numFmtId="0" fontId="43" fillId="3" borderId="13" xfId="12" applyFont="1" applyFill="1" applyBorder="1" applyAlignment="1">
      <alignment horizontal="left" vertical="center" wrapText="1"/>
    </xf>
    <xf numFmtId="49" fontId="43" fillId="3" borderId="13" xfId="8" applyNumberFormat="1" applyFont="1" applyFill="1" applyBorder="1" applyAlignment="1">
      <alignment horizontal="center" vertical="center" wrapText="1"/>
    </xf>
    <xf numFmtId="1" fontId="43" fillId="3" borderId="13" xfId="4" applyNumberFormat="1" applyFont="1" applyFill="1" applyBorder="1" applyAlignment="1">
      <alignment vertical="center" wrapText="1"/>
    </xf>
    <xf numFmtId="164" fontId="43" fillId="3" borderId="13" xfId="6" applyNumberFormat="1" applyFont="1" applyFill="1" applyBorder="1" applyAlignment="1">
      <alignment horizontal="center" vertical="center" wrapText="1"/>
    </xf>
    <xf numFmtId="0" fontId="43" fillId="3" borderId="13" xfId="6" applyFont="1" applyFill="1" applyBorder="1" applyAlignment="1">
      <alignment horizontal="center" vertical="center" wrapText="1"/>
    </xf>
    <xf numFmtId="0" fontId="43" fillId="3" borderId="13" xfId="6" quotePrefix="1" applyFont="1" applyFill="1" applyBorder="1" applyAlignment="1">
      <alignment horizontal="left" vertical="center" wrapText="1"/>
    </xf>
    <xf numFmtId="49" fontId="43" fillId="3" borderId="13" xfId="7" applyNumberFormat="1" applyFont="1" applyFill="1" applyBorder="1" applyAlignment="1">
      <alignment horizontal="center" vertical="center" wrapText="1"/>
    </xf>
    <xf numFmtId="3" fontId="43" fillId="3" borderId="13" xfId="9" applyNumberFormat="1" applyFont="1" applyFill="1" applyBorder="1" applyAlignment="1">
      <alignment horizontal="center" vertical="center" wrapText="1"/>
    </xf>
    <xf numFmtId="3" fontId="43" fillId="3" borderId="13" xfId="9" quotePrefix="1"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xf>
    <xf numFmtId="3" fontId="43" fillId="3" borderId="13" xfId="4" applyNumberFormat="1" applyFont="1" applyFill="1" applyBorder="1" applyAlignment="1">
      <alignment horizontal="center" vertical="center" wrapText="1"/>
    </xf>
    <xf numFmtId="0" fontId="43" fillId="3" borderId="13" xfId="6" applyFont="1" applyFill="1" applyBorder="1" applyAlignment="1">
      <alignment horizontal="left" vertical="center" wrapText="1"/>
    </xf>
    <xf numFmtId="0" fontId="49" fillId="3" borderId="13" xfId="8" applyFont="1" applyFill="1" applyBorder="1" applyAlignment="1">
      <alignment horizontal="center" vertical="center" wrapText="1"/>
    </xf>
    <xf numFmtId="49" fontId="49" fillId="3" borderId="13" xfId="8" applyNumberFormat="1" applyFont="1" applyFill="1" applyBorder="1" applyAlignment="1">
      <alignment vertical="center" wrapText="1"/>
    </xf>
    <xf numFmtId="1"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center" vertical="center" wrapText="1"/>
    </xf>
    <xf numFmtId="0" fontId="49" fillId="3" borderId="13" xfId="11" applyFont="1" applyFill="1" applyBorder="1" applyAlignment="1">
      <alignment horizontal="center" vertical="center" wrapText="1"/>
    </xf>
    <xf numFmtId="0" fontId="49" fillId="3" borderId="13" xfId="13" applyFont="1" applyFill="1" applyBorder="1" applyAlignment="1">
      <alignment horizontal="center" vertical="center" wrapText="1"/>
    </xf>
    <xf numFmtId="3" fontId="49" fillId="3" borderId="13" xfId="4" applyNumberFormat="1" applyFont="1" applyFill="1" applyBorder="1" applyAlignment="1">
      <alignment horizontal="center" vertical="center" wrapText="1"/>
    </xf>
    <xf numFmtId="1" fontId="49" fillId="3" borderId="13" xfId="4" applyNumberFormat="1" applyFont="1" applyFill="1" applyBorder="1" applyAlignment="1">
      <alignment vertical="center" wrapText="1"/>
    </xf>
    <xf numFmtId="0" fontId="49" fillId="3" borderId="13" xfId="0" applyFont="1" applyFill="1" applyBorder="1" applyAlignment="1">
      <alignment horizontal="left" vertical="center" wrapText="1"/>
    </xf>
    <xf numFmtId="3" fontId="49" fillId="3" borderId="13" xfId="11" applyNumberFormat="1" applyFont="1" applyFill="1" applyBorder="1" applyAlignment="1">
      <alignment horizontal="center" vertical="center" wrapText="1"/>
    </xf>
    <xf numFmtId="164" fontId="49" fillId="3" borderId="13" xfId="9" applyNumberFormat="1" applyFont="1" applyFill="1" applyBorder="1" applyAlignment="1">
      <alignment horizontal="right" vertical="center" wrapText="1"/>
    </xf>
    <xf numFmtId="164" fontId="49" fillId="3" borderId="13" xfId="14" applyNumberFormat="1" applyFont="1" applyFill="1" applyBorder="1" applyAlignment="1">
      <alignment horizontal="left" vertical="center" wrapText="1"/>
    </xf>
    <xf numFmtId="164"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left" vertical="center" wrapText="1"/>
    </xf>
    <xf numFmtId="0" fontId="49" fillId="3" borderId="13" xfId="8" applyNumberFormat="1" applyFont="1" applyFill="1" applyBorder="1" applyAlignment="1">
      <alignment horizontal="center" vertical="center" wrapText="1"/>
    </xf>
    <xf numFmtId="164" fontId="49" fillId="3" borderId="13" xfId="4" quotePrefix="1" applyNumberFormat="1" applyFont="1" applyFill="1" applyBorder="1" applyAlignment="1">
      <alignment horizontal="center" vertical="center" wrapText="1"/>
    </xf>
    <xf numFmtId="1" fontId="49" fillId="3" borderId="13" xfId="4" quotePrefix="1" applyNumberFormat="1" applyFont="1" applyFill="1" applyBorder="1" applyAlignment="1">
      <alignment vertical="center" wrapText="1"/>
    </xf>
    <xf numFmtId="1" fontId="43" fillId="3" borderId="13" xfId="4" applyNumberFormat="1" applyFont="1" applyFill="1" applyBorder="1" applyAlignment="1">
      <alignment horizontal="center" vertical="center"/>
    </xf>
    <xf numFmtId="164" fontId="49" fillId="3" borderId="13" xfId="15" applyNumberFormat="1" applyFont="1" applyFill="1" applyBorder="1" applyAlignment="1">
      <alignment horizontal="center" vertical="center" wrapText="1"/>
    </xf>
    <xf numFmtId="0" fontId="49" fillId="3" borderId="13" xfId="0" applyFont="1" applyFill="1" applyBorder="1" applyAlignment="1">
      <alignment vertical="center" wrapText="1"/>
    </xf>
    <xf numFmtId="3" fontId="49" fillId="3" borderId="13" xfId="6" applyNumberFormat="1" applyFont="1" applyFill="1" applyBorder="1" applyAlignment="1">
      <alignment horizontal="center" vertical="center" wrapText="1"/>
    </xf>
    <xf numFmtId="1" fontId="49" fillId="3" borderId="13" xfId="4" quotePrefix="1" applyNumberFormat="1" applyFont="1" applyFill="1" applyBorder="1" applyAlignment="1">
      <alignment horizontal="center" vertical="center" wrapText="1"/>
    </xf>
    <xf numFmtId="3" fontId="49" fillId="3" borderId="13" xfId="9" quotePrefix="1" applyNumberFormat="1" applyFont="1" applyFill="1" applyBorder="1" applyAlignment="1">
      <alignment horizontal="center" vertical="center" wrapText="1"/>
    </xf>
    <xf numFmtId="1" fontId="49" fillId="3" borderId="13" xfId="8"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wrapText="1"/>
    </xf>
    <xf numFmtId="0" fontId="45" fillId="3" borderId="13" xfId="8" applyFont="1" applyFill="1" applyBorder="1" applyAlignment="1">
      <alignment horizontal="center" vertical="center" wrapText="1"/>
    </xf>
    <xf numFmtId="1" fontId="45" fillId="3" borderId="13" xfId="4" quotePrefix="1" applyNumberFormat="1" applyFont="1" applyFill="1" applyBorder="1" applyAlignment="1">
      <alignment vertical="center" wrapText="1"/>
    </xf>
    <xf numFmtId="1" fontId="45" fillId="3" borderId="13" xfId="4" applyNumberFormat="1" applyFont="1" applyFill="1" applyBorder="1" applyAlignment="1">
      <alignment horizontal="center" vertical="center" wrapText="1"/>
    </xf>
    <xf numFmtId="0" fontId="45" fillId="3" borderId="13" xfId="8" applyNumberFormat="1" applyFont="1" applyFill="1" applyBorder="1" applyAlignment="1">
      <alignment horizontal="center" vertical="center" wrapText="1"/>
    </xf>
    <xf numFmtId="41" fontId="45" fillId="3" borderId="13" xfId="4" applyNumberFormat="1" applyFont="1" applyFill="1" applyBorder="1" applyAlignment="1">
      <alignment horizontal="right" vertical="center"/>
    </xf>
    <xf numFmtId="164" fontId="45" fillId="3" borderId="13" xfId="4" quotePrefix="1" applyNumberFormat="1" applyFont="1" applyFill="1" applyBorder="1" applyAlignment="1">
      <alignment horizontal="center" vertical="center" wrapText="1"/>
    </xf>
    <xf numFmtId="1" fontId="45" fillId="3" borderId="0" xfId="4" applyNumberFormat="1" applyFont="1" applyFill="1" applyAlignment="1">
      <alignment vertical="center" wrapText="1"/>
    </xf>
    <xf numFmtId="41" fontId="45" fillId="3" borderId="13" xfId="4" quotePrefix="1" applyNumberFormat="1" applyFont="1" applyFill="1" applyBorder="1" applyAlignment="1">
      <alignment horizontal="right" vertical="center" wrapText="1"/>
    </xf>
    <xf numFmtId="164" fontId="45" fillId="3" borderId="13" xfId="4" applyNumberFormat="1" applyFont="1" applyFill="1" applyBorder="1" applyAlignment="1">
      <alignment horizontal="center" vertical="center" wrapText="1"/>
    </xf>
    <xf numFmtId="1" fontId="43" fillId="3" borderId="0" xfId="4" applyNumberFormat="1" applyFont="1" applyFill="1" applyAlignment="1">
      <alignment vertical="center"/>
    </xf>
    <xf numFmtId="0" fontId="49" fillId="3" borderId="13" xfId="10" applyFont="1" applyFill="1" applyBorder="1" applyAlignment="1">
      <alignment horizontal="left" vertical="center" wrapText="1"/>
    </xf>
    <xf numFmtId="3" fontId="43" fillId="3" borderId="13" xfId="11" applyNumberFormat="1" applyFont="1" applyFill="1" applyBorder="1" applyAlignment="1">
      <alignment horizontal="center" vertical="center" wrapText="1"/>
    </xf>
    <xf numFmtId="0" fontId="43" fillId="3" borderId="13" xfId="6" applyFont="1" applyFill="1" applyBorder="1" applyAlignment="1">
      <alignment horizontal="right" vertical="center" wrapText="1"/>
    </xf>
    <xf numFmtId="1" fontId="43" fillId="3" borderId="13" xfId="4" applyNumberFormat="1" applyFont="1" applyFill="1" applyBorder="1" applyAlignment="1">
      <alignment horizontal="right" vertical="center" wrapText="1"/>
    </xf>
    <xf numFmtId="0" fontId="43" fillId="3" borderId="13" xfId="11" applyFont="1" applyFill="1" applyBorder="1" applyAlignment="1">
      <alignment horizontal="right" vertical="center" wrapText="1"/>
    </xf>
    <xf numFmtId="3" fontId="43" fillId="3" borderId="13" xfId="10" applyNumberFormat="1" applyFont="1" applyFill="1" applyBorder="1" applyAlignment="1">
      <alignment horizontal="right" vertical="center" wrapText="1"/>
    </xf>
    <xf numFmtId="1" fontId="43" fillId="3" borderId="0" xfId="4" applyNumberFormat="1" applyFont="1" applyFill="1" applyAlignment="1">
      <alignment horizontal="right" vertical="center" wrapText="1"/>
    </xf>
    <xf numFmtId="9" fontId="43" fillId="3" borderId="0" xfId="3" applyFont="1" applyFill="1" applyAlignment="1">
      <alignment vertical="center" wrapText="1"/>
    </xf>
    <xf numFmtId="1" fontId="49" fillId="3" borderId="13" xfId="9" applyNumberFormat="1" applyFont="1" applyFill="1" applyBorder="1" applyAlignment="1">
      <alignment horizontal="center" vertical="center" wrapText="1"/>
    </xf>
    <xf numFmtId="41" fontId="49" fillId="3" borderId="13" xfId="6" applyNumberFormat="1" applyFont="1" applyFill="1" applyBorder="1" applyAlignment="1">
      <alignment horizontal="right" vertical="center" wrapText="1"/>
    </xf>
    <xf numFmtId="41" fontId="49" fillId="3" borderId="13" xfId="16" applyNumberFormat="1" applyFont="1" applyFill="1" applyBorder="1" applyAlignment="1">
      <alignment horizontal="right" vertical="center"/>
    </xf>
    <xf numFmtId="0" fontId="49" fillId="3" borderId="13" xfId="17" applyFont="1" applyFill="1" applyBorder="1" applyAlignment="1">
      <alignment horizontal="left" vertical="center" wrapText="1"/>
    </xf>
    <xf numFmtId="164" fontId="49" fillId="3" borderId="13" xfId="6" applyNumberFormat="1" applyFont="1" applyFill="1" applyBorder="1" applyAlignment="1">
      <alignment horizontal="right" vertical="center" wrapText="1"/>
    </xf>
    <xf numFmtId="0" fontId="49" fillId="3" borderId="13" xfId="18" applyFont="1" applyFill="1" applyBorder="1" applyAlignment="1">
      <alignment horizontal="center" vertical="center" wrapText="1"/>
    </xf>
    <xf numFmtId="1" fontId="43" fillId="3" borderId="13" xfId="4" quotePrefix="1" applyNumberFormat="1" applyFont="1" applyFill="1" applyBorder="1" applyAlignment="1">
      <alignment vertical="center" wrapText="1"/>
    </xf>
    <xf numFmtId="0" fontId="43" fillId="3" borderId="13" xfId="8" applyNumberFormat="1" applyFont="1" applyFill="1" applyBorder="1" applyAlignment="1">
      <alignment horizontal="center" vertical="center" wrapText="1"/>
    </xf>
    <xf numFmtId="164" fontId="43" fillId="3" borderId="13" xfId="4" quotePrefix="1" applyNumberFormat="1" applyFont="1" applyFill="1" applyBorder="1" applyAlignment="1">
      <alignment horizontal="center" vertical="center" wrapText="1"/>
    </xf>
    <xf numFmtId="164" fontId="43" fillId="3" borderId="13" xfId="4" applyNumberFormat="1" applyFont="1" applyFill="1" applyBorder="1" applyAlignment="1">
      <alignment horizontal="center" vertical="center" wrapText="1"/>
    </xf>
    <xf numFmtId="0" fontId="55" fillId="3" borderId="13" xfId="0" applyFont="1" applyFill="1" applyBorder="1" applyAlignment="1">
      <alignment horizontal="left" vertical="center" wrapText="1"/>
    </xf>
    <xf numFmtId="0" fontId="55" fillId="3" borderId="13" xfId="0" applyFont="1" applyFill="1" applyBorder="1" applyAlignment="1">
      <alignment horizontal="center" vertical="center" wrapText="1"/>
    </xf>
    <xf numFmtId="3" fontId="49" fillId="3" borderId="13" xfId="4" applyNumberFormat="1" applyFont="1" applyFill="1" applyBorder="1" applyAlignment="1">
      <alignment horizontal="right" vertical="center"/>
    </xf>
    <xf numFmtId="3" fontId="55" fillId="3" borderId="13" xfId="0" applyNumberFormat="1" applyFont="1" applyFill="1" applyBorder="1" applyAlignment="1">
      <alignment vertical="center" wrapText="1"/>
    </xf>
    <xf numFmtId="0" fontId="55" fillId="3" borderId="13" xfId="1" applyFont="1" applyFill="1" applyBorder="1" applyAlignment="1">
      <alignment horizontal="left" vertical="center" wrapText="1"/>
    </xf>
    <xf numFmtId="164" fontId="49" fillId="3" borderId="13" xfId="4" applyNumberFormat="1" applyFont="1" applyFill="1" applyBorder="1" applyAlignment="1">
      <alignment horizontal="right" vertical="center"/>
    </xf>
    <xf numFmtId="164" fontId="55" fillId="3" borderId="13" xfId="2" applyNumberFormat="1" applyFont="1" applyFill="1" applyBorder="1" applyAlignment="1">
      <alignment vertical="center"/>
    </xf>
    <xf numFmtId="3" fontId="55" fillId="3" borderId="13" xfId="0" applyNumberFormat="1" applyFont="1" applyFill="1" applyBorder="1" applyAlignment="1">
      <alignment vertical="center"/>
    </xf>
    <xf numFmtId="0" fontId="55" fillId="3" borderId="13" xfId="19" applyFont="1" applyFill="1" applyBorder="1" applyAlignment="1">
      <alignment horizontal="left" vertical="center"/>
    </xf>
    <xf numFmtId="164" fontId="55" fillId="3" borderId="13" xfId="16" applyNumberFormat="1" applyFont="1" applyFill="1" applyBorder="1" applyAlignment="1">
      <alignment vertical="center"/>
    </xf>
    <xf numFmtId="164" fontId="49" fillId="3" borderId="0" xfId="4" quotePrefix="1" applyNumberFormat="1" applyFont="1" applyFill="1" applyBorder="1" applyAlignment="1">
      <alignment horizontal="center" vertical="center" wrapText="1"/>
    </xf>
    <xf numFmtId="0" fontId="55" fillId="3" borderId="13" xfId="0" applyFont="1" applyFill="1" applyBorder="1" applyAlignment="1">
      <alignment horizontal="left" vertical="center"/>
    </xf>
    <xf numFmtId="0" fontId="55" fillId="3" borderId="13" xfId="0" applyFont="1" applyFill="1" applyBorder="1" applyAlignment="1">
      <alignment vertical="center" wrapText="1"/>
    </xf>
    <xf numFmtId="3" fontId="55" fillId="3" borderId="13" xfId="16" applyNumberFormat="1" applyFont="1" applyFill="1" applyBorder="1" applyAlignment="1">
      <alignment vertical="center"/>
    </xf>
    <xf numFmtId="0" fontId="55" fillId="3" borderId="13" xfId="20" applyFont="1" applyFill="1" applyBorder="1" applyAlignment="1">
      <alignment vertical="center" wrapText="1"/>
    </xf>
    <xf numFmtId="3" fontId="55" fillId="3" borderId="13" xfId="20" applyNumberFormat="1" applyFont="1" applyFill="1" applyBorder="1" applyAlignment="1">
      <alignment vertical="center" wrapText="1"/>
    </xf>
    <xf numFmtId="49" fontId="43" fillId="3" borderId="13" xfId="8" applyNumberFormat="1" applyFont="1" applyFill="1" applyBorder="1" applyAlignment="1">
      <alignment vertical="center" wrapText="1"/>
    </xf>
    <xf numFmtId="164" fontId="43" fillId="3" borderId="13" xfId="6" applyNumberFormat="1" applyFont="1" applyFill="1" applyBorder="1" applyAlignment="1">
      <alignment horizontal="right" vertical="center" wrapText="1"/>
    </xf>
    <xf numFmtId="0" fontId="49" fillId="3" borderId="13" xfId="6" applyFont="1" applyFill="1" applyBorder="1" applyAlignment="1">
      <alignment horizontal="left" vertical="center" wrapText="1"/>
    </xf>
    <xf numFmtId="0" fontId="49" fillId="3" borderId="13" xfId="6" applyFont="1" applyFill="1" applyBorder="1" applyAlignment="1">
      <alignment horizontal="center" vertical="center" wrapText="1"/>
    </xf>
    <xf numFmtId="0" fontId="57" fillId="3" borderId="13" xfId="0" applyFont="1" applyFill="1" applyBorder="1" applyAlignment="1">
      <alignment horizontal="center" vertical="center" wrapText="1"/>
    </xf>
    <xf numFmtId="3" fontId="57" fillId="3" borderId="13" xfId="0" applyNumberFormat="1" applyFont="1" applyFill="1" applyBorder="1" applyAlignment="1">
      <alignment vertical="center"/>
    </xf>
    <xf numFmtId="164" fontId="58" fillId="3" borderId="13" xfId="4" quotePrefix="1" applyNumberFormat="1" applyFont="1" applyFill="1" applyBorder="1" applyAlignment="1">
      <alignment horizontal="center" vertical="center" wrapText="1"/>
    </xf>
    <xf numFmtId="3" fontId="49" fillId="3" borderId="13" xfId="9" applyNumberFormat="1" applyFont="1" applyFill="1" applyBorder="1" applyAlignment="1">
      <alignment horizontal="left" vertical="center" wrapText="1"/>
    </xf>
    <xf numFmtId="3" fontId="56" fillId="3" borderId="13" xfId="4" quotePrefix="1" applyNumberFormat="1" applyFont="1" applyFill="1" applyBorder="1" applyAlignment="1">
      <alignment horizontal="center" vertical="center" wrapText="1"/>
    </xf>
    <xf numFmtId="0" fontId="49" fillId="3" borderId="13" xfId="21" applyFont="1" applyFill="1" applyBorder="1" applyAlignment="1">
      <alignment vertical="center" wrapText="1"/>
    </xf>
    <xf numFmtId="0" fontId="49" fillId="3" borderId="13" xfId="21" applyFont="1" applyFill="1" applyBorder="1" applyAlignment="1">
      <alignment horizontal="center" vertical="center" wrapText="1"/>
    </xf>
    <xf numFmtId="0" fontId="43" fillId="3" borderId="13" xfId="22" applyFont="1" applyFill="1" applyBorder="1" applyAlignment="1">
      <alignment horizontal="left" vertical="center" wrapText="1"/>
    </xf>
    <xf numFmtId="164" fontId="43" fillId="3" borderId="13" xfId="22" applyNumberFormat="1" applyFont="1" applyFill="1" applyBorder="1" applyAlignment="1">
      <alignment horizontal="center" vertical="center" wrapText="1"/>
    </xf>
    <xf numFmtId="0" fontId="49" fillId="3" borderId="13" xfId="22" applyFont="1" applyFill="1" applyBorder="1" applyAlignment="1">
      <alignment horizontal="left" vertical="center" wrapText="1"/>
    </xf>
    <xf numFmtId="164" fontId="49" fillId="3" borderId="13" xfId="22" applyNumberFormat="1" applyFont="1" applyFill="1" applyBorder="1" applyAlignment="1">
      <alignment horizontal="center" vertical="center" wrapText="1"/>
    </xf>
    <xf numFmtId="0" fontId="49" fillId="3" borderId="13" xfId="23" applyFont="1" applyFill="1" applyBorder="1" applyAlignment="1">
      <alignment horizontal="center" vertical="center" wrapText="1"/>
    </xf>
    <xf numFmtId="3" fontId="49" fillId="3" borderId="13" xfId="9" applyNumberFormat="1" applyFont="1" applyFill="1" applyBorder="1" applyAlignment="1">
      <alignment horizontal="center" vertical="center" wrapText="1"/>
    </xf>
    <xf numFmtId="1" fontId="49" fillId="0" borderId="13" xfId="4" applyNumberFormat="1" applyFont="1" applyFill="1" applyBorder="1" applyAlignment="1">
      <alignment vertical="center" wrapText="1"/>
    </xf>
    <xf numFmtId="164" fontId="49" fillId="3" borderId="13" xfId="15" quotePrefix="1" applyNumberFormat="1" applyFont="1" applyFill="1" applyBorder="1" applyAlignment="1">
      <alignment horizontal="center" vertical="center" wrapText="1"/>
    </xf>
    <xf numFmtId="3" fontId="49" fillId="3" borderId="13" xfId="0" applyNumberFormat="1" applyFont="1" applyFill="1" applyBorder="1" applyAlignment="1">
      <alignment horizontal="left" vertical="center" wrapText="1"/>
    </xf>
    <xf numFmtId="3" fontId="49" fillId="3" borderId="13" xfId="0" applyNumberFormat="1" applyFont="1" applyFill="1" applyBorder="1" applyAlignment="1">
      <alignment vertical="center"/>
    </xf>
    <xf numFmtId="1" fontId="49" fillId="3" borderId="34" xfId="4" applyNumberFormat="1" applyFont="1" applyFill="1" applyBorder="1" applyAlignment="1">
      <alignment horizontal="center" vertical="center" wrapText="1"/>
    </xf>
    <xf numFmtId="1" fontId="49" fillId="3" borderId="13" xfId="4" applyNumberFormat="1" applyFont="1" applyFill="1" applyBorder="1" applyAlignment="1">
      <alignment horizontal="center" vertical="center"/>
    </xf>
    <xf numFmtId="0" fontId="45" fillId="3" borderId="13" xfId="6" applyFont="1" applyFill="1" applyBorder="1" applyAlignment="1">
      <alignment horizontal="center" vertical="center" wrapText="1"/>
    </xf>
    <xf numFmtId="1" fontId="45" fillId="3" borderId="13" xfId="4" applyNumberFormat="1" applyFont="1" applyFill="1" applyBorder="1" applyAlignment="1">
      <alignment horizontal="right" vertical="center" wrapText="1"/>
    </xf>
    <xf numFmtId="0" fontId="45" fillId="3" borderId="13" xfId="11" applyFont="1" applyFill="1" applyBorder="1" applyAlignment="1">
      <alignment horizontal="right" vertical="center" wrapText="1"/>
    </xf>
    <xf numFmtId="3" fontId="45" fillId="3" borderId="13" xfId="10" applyNumberFormat="1" applyFont="1" applyFill="1" applyBorder="1" applyAlignment="1">
      <alignment horizontal="right" vertical="center" wrapText="1"/>
    </xf>
    <xf numFmtId="49" fontId="43" fillId="3" borderId="13" xfId="4" applyNumberFormat="1" applyFont="1" applyFill="1" applyBorder="1" applyAlignment="1">
      <alignment horizontal="center" vertical="center"/>
    </xf>
    <xf numFmtId="1" fontId="43" fillId="3" borderId="13" xfId="4" quotePrefix="1" applyNumberFormat="1" applyFont="1" applyFill="1" applyBorder="1" applyAlignment="1">
      <alignment horizontal="center" vertical="center" wrapText="1"/>
    </xf>
    <xf numFmtId="49" fontId="49" fillId="3" borderId="13" xfId="4" applyNumberFormat="1" applyFont="1" applyFill="1" applyBorder="1" applyAlignment="1">
      <alignment horizontal="center" vertical="center"/>
    </xf>
    <xf numFmtId="49" fontId="43" fillId="3" borderId="13" xfId="23" applyNumberFormat="1" applyFont="1" applyFill="1" applyBorder="1" applyAlignment="1">
      <alignment vertical="center" wrapText="1"/>
    </xf>
    <xf numFmtId="49" fontId="43" fillId="3" borderId="13" xfId="23" applyNumberFormat="1" applyFont="1" applyFill="1" applyBorder="1" applyAlignment="1">
      <alignment horizontal="center" vertical="center" wrapText="1"/>
    </xf>
    <xf numFmtId="3" fontId="43" fillId="3" borderId="13" xfId="4" quotePrefix="1" applyNumberFormat="1" applyFont="1" applyFill="1" applyBorder="1" applyAlignment="1">
      <alignment horizontal="center" vertical="center" wrapText="1"/>
    </xf>
    <xf numFmtId="3" fontId="43" fillId="3" borderId="13" xfId="24" applyNumberFormat="1" applyFont="1" applyFill="1" applyBorder="1" applyAlignment="1">
      <alignment horizontal="center" vertical="center"/>
    </xf>
    <xf numFmtId="3" fontId="43" fillId="3" borderId="0" xfId="4" applyNumberFormat="1" applyFont="1" applyFill="1" applyBorder="1" applyAlignment="1">
      <alignment vertical="center" wrapText="1"/>
    </xf>
    <xf numFmtId="0" fontId="49" fillId="3" borderId="13" xfId="0" applyFont="1" applyFill="1" applyBorder="1" applyAlignment="1">
      <alignment horizontal="justify" vertical="center" wrapText="1"/>
    </xf>
    <xf numFmtId="49" fontId="49" fillId="3" borderId="13" xfId="23" applyNumberFormat="1" applyFont="1" applyFill="1" applyBorder="1" applyAlignment="1">
      <alignment horizontal="center" vertical="center" wrapText="1"/>
    </xf>
    <xf numFmtId="3" fontId="49" fillId="3" borderId="13" xfId="4" quotePrefix="1" applyNumberFormat="1" applyFont="1" applyFill="1" applyBorder="1" applyAlignment="1">
      <alignment horizontal="center" vertical="center" wrapText="1"/>
    </xf>
    <xf numFmtId="164" fontId="30" fillId="3" borderId="13" xfId="0" applyNumberFormat="1" applyFont="1" applyFill="1" applyBorder="1" applyAlignment="1">
      <alignment horizontal="center" vertical="center" wrapText="1"/>
    </xf>
    <xf numFmtId="3" fontId="49" fillId="3" borderId="0" xfId="4" applyNumberFormat="1" applyFont="1" applyFill="1" applyBorder="1" applyAlignment="1">
      <alignment vertical="center" wrapText="1"/>
    </xf>
    <xf numFmtId="49" fontId="30" fillId="3" borderId="13" xfId="8" applyNumberFormat="1" applyFont="1" applyFill="1" applyBorder="1" applyAlignment="1">
      <alignment vertical="center" wrapText="1"/>
    </xf>
    <xf numFmtId="49" fontId="30" fillId="3" borderId="13" xfId="8" applyNumberFormat="1" applyFont="1" applyFill="1" applyBorder="1" applyAlignment="1">
      <alignment horizontal="center" vertical="center" wrapText="1"/>
    </xf>
    <xf numFmtId="0" fontId="30" fillId="3" borderId="13" xfId="11" applyFont="1" applyFill="1" applyBorder="1" applyAlignment="1">
      <alignment horizontal="center" vertical="center" wrapText="1"/>
    </xf>
    <xf numFmtId="0" fontId="30" fillId="3" borderId="13" xfId="8" applyFont="1" applyFill="1" applyBorder="1" applyAlignment="1">
      <alignment horizontal="center" vertical="center" wrapText="1"/>
    </xf>
    <xf numFmtId="3" fontId="30" fillId="3" borderId="13" xfId="11" applyNumberFormat="1" applyFont="1" applyFill="1" applyBorder="1" applyAlignment="1">
      <alignment horizontal="center" vertical="center" wrapText="1"/>
    </xf>
    <xf numFmtId="0" fontId="49" fillId="3" borderId="13" xfId="25" applyFont="1" applyFill="1" applyBorder="1" applyAlignment="1">
      <alignment horizontal="center" vertical="center" wrapText="1"/>
    </xf>
    <xf numFmtId="0" fontId="43" fillId="3" borderId="13" xfId="8" quotePrefix="1" applyFont="1" applyFill="1" applyBorder="1" applyAlignment="1">
      <alignment horizontal="center" vertical="center" wrapText="1"/>
    </xf>
    <xf numFmtId="0" fontId="49" fillId="3" borderId="13" xfId="26" applyFont="1" applyFill="1" applyBorder="1" applyAlignment="1">
      <alignment horizontal="center" vertical="center"/>
    </xf>
    <xf numFmtId="0" fontId="30" fillId="3" borderId="13" xfId="27" quotePrefix="1" applyFont="1" applyFill="1" applyBorder="1" applyAlignment="1">
      <alignment horizontal="left" vertical="center" wrapText="1"/>
    </xf>
    <xf numFmtId="164" fontId="49" fillId="3" borderId="13" xfId="4" applyNumberFormat="1" applyFont="1" applyFill="1" applyBorder="1" applyAlignment="1">
      <alignment vertical="center" wrapText="1"/>
    </xf>
    <xf numFmtId="3" fontId="49" fillId="3" borderId="13" xfId="6" applyNumberFormat="1" applyFont="1" applyFill="1" applyBorder="1" applyAlignment="1">
      <alignment horizontal="right" vertical="center" wrapText="1"/>
    </xf>
    <xf numFmtId="0" fontId="49" fillId="3" borderId="13" xfId="28" applyFont="1" applyFill="1" applyBorder="1" applyAlignment="1">
      <alignment vertical="center" wrapText="1"/>
    </xf>
    <xf numFmtId="3" fontId="49" fillId="3" borderId="13" xfId="4" applyNumberFormat="1" applyFont="1" applyFill="1" applyBorder="1" applyAlignment="1">
      <alignment horizontal="right" vertical="center" wrapText="1"/>
    </xf>
    <xf numFmtId="49" fontId="43" fillId="3" borderId="13" xfId="25" quotePrefix="1" applyNumberFormat="1" applyFont="1" applyFill="1" applyBorder="1" applyAlignment="1">
      <alignment vertical="center" wrapText="1"/>
    </xf>
    <xf numFmtId="164" fontId="43" fillId="3" borderId="13" xfId="4" applyNumberFormat="1" applyFont="1" applyFill="1" applyBorder="1" applyAlignment="1">
      <alignment horizontal="right" vertical="center" wrapText="1"/>
    </xf>
    <xf numFmtId="49" fontId="49" fillId="3" borderId="13" xfId="23" applyNumberFormat="1" applyFont="1" applyFill="1" applyBorder="1" applyAlignment="1">
      <alignment vertical="center" wrapText="1"/>
    </xf>
    <xf numFmtId="164" fontId="49" fillId="3" borderId="13" xfId="4" quotePrefix="1" applyNumberFormat="1" applyFont="1" applyFill="1" applyBorder="1" applyAlignment="1">
      <alignment horizontal="right" vertical="center" wrapText="1"/>
    </xf>
    <xf numFmtId="164" fontId="49" fillId="3" borderId="13" xfId="4" applyNumberFormat="1" applyFont="1" applyFill="1" applyBorder="1" applyAlignment="1">
      <alignment horizontal="right" vertical="center" wrapText="1"/>
    </xf>
    <xf numFmtId="3" fontId="49" fillId="3" borderId="13" xfId="29" applyNumberFormat="1" applyFont="1" applyFill="1" applyBorder="1" applyAlignment="1">
      <alignment horizontal="center" vertical="center"/>
    </xf>
    <xf numFmtId="0" fontId="49" fillId="3" borderId="13" xfId="29" applyFont="1" applyFill="1" applyBorder="1" applyAlignment="1">
      <alignment horizontal="left" vertical="center" wrapText="1"/>
    </xf>
    <xf numFmtId="164" fontId="49" fillId="3" borderId="13" xfId="2" applyNumberFormat="1" applyFont="1" applyFill="1" applyBorder="1" applyAlignment="1">
      <alignment horizontal="right" vertical="center"/>
    </xf>
    <xf numFmtId="3" fontId="49" fillId="3" borderId="35" xfId="29" applyNumberFormat="1" applyFont="1" applyFill="1" applyBorder="1" applyAlignment="1">
      <alignment horizontal="center" vertical="center"/>
    </xf>
    <xf numFmtId="0" fontId="49" fillId="3" borderId="35" xfId="29" applyFont="1" applyFill="1" applyBorder="1" applyAlignment="1">
      <alignment horizontal="left" vertical="center" wrapText="1"/>
    </xf>
    <xf numFmtId="3" fontId="49" fillId="3" borderId="35" xfId="4" applyNumberFormat="1" applyFont="1" applyFill="1" applyBorder="1" applyAlignment="1">
      <alignment horizontal="center" vertical="center" wrapText="1"/>
    </xf>
    <xf numFmtId="3" fontId="49" fillId="3" borderId="35" xfId="4" quotePrefix="1" applyNumberFormat="1" applyFont="1" applyFill="1" applyBorder="1" applyAlignment="1">
      <alignment horizontal="center" vertical="center" wrapText="1"/>
    </xf>
    <xf numFmtId="164" fontId="49" fillId="3" borderId="35" xfId="4" quotePrefix="1" applyNumberFormat="1" applyFont="1" applyFill="1" applyBorder="1" applyAlignment="1">
      <alignment horizontal="right" vertical="center" wrapText="1"/>
    </xf>
    <xf numFmtId="164" fontId="49" fillId="3" borderId="35" xfId="4" applyNumberFormat="1" applyFont="1" applyFill="1" applyBorder="1" applyAlignment="1">
      <alignment horizontal="right" vertical="center" wrapText="1"/>
    </xf>
    <xf numFmtId="41" fontId="49" fillId="3" borderId="35" xfId="4" applyNumberFormat="1" applyFont="1" applyFill="1" applyBorder="1" applyAlignment="1">
      <alignment horizontal="right" vertical="center"/>
    </xf>
    <xf numFmtId="41" fontId="43" fillId="3" borderId="35" xfId="4" applyNumberFormat="1" applyFont="1" applyFill="1" applyBorder="1" applyAlignment="1">
      <alignment horizontal="right" vertical="center"/>
    </xf>
    <xf numFmtId="164" fontId="49" fillId="3" borderId="35" xfId="4" quotePrefix="1" applyNumberFormat="1" applyFont="1" applyFill="1" applyBorder="1" applyAlignment="1">
      <alignment horizontal="center" vertical="center" wrapText="1"/>
    </xf>
    <xf numFmtId="3" fontId="49" fillId="3" borderId="19" xfId="4" applyNumberFormat="1" applyFont="1" applyFill="1" applyBorder="1" applyAlignment="1">
      <alignment horizontal="center" vertical="center" wrapText="1"/>
    </xf>
    <xf numFmtId="49" fontId="49" fillId="3" borderId="19" xfId="23" applyNumberFormat="1" applyFont="1" applyFill="1" applyBorder="1" applyAlignment="1">
      <alignment vertical="center" wrapText="1"/>
    </xf>
    <xf numFmtId="49" fontId="49" fillId="3" borderId="19" xfId="23" applyNumberFormat="1" applyFont="1" applyFill="1" applyBorder="1" applyAlignment="1">
      <alignment horizontal="center" vertical="center" wrapText="1"/>
    </xf>
    <xf numFmtId="3" fontId="49" fillId="3" borderId="19" xfId="4" quotePrefix="1" applyNumberFormat="1" applyFont="1" applyFill="1" applyBorder="1" applyAlignment="1">
      <alignment horizontal="center" vertical="center" wrapText="1"/>
    </xf>
    <xf numFmtId="164" fontId="49" fillId="3" borderId="19" xfId="4" quotePrefix="1" applyNumberFormat="1" applyFont="1" applyFill="1" applyBorder="1" applyAlignment="1">
      <alignment horizontal="right" vertical="center" wrapText="1"/>
    </xf>
    <xf numFmtId="164" fontId="49" fillId="3" borderId="19" xfId="4" applyNumberFormat="1" applyFont="1" applyFill="1" applyBorder="1" applyAlignment="1">
      <alignment horizontal="right" vertical="center" wrapText="1"/>
    </xf>
    <xf numFmtId="41" fontId="49" fillId="3" borderId="19" xfId="4" applyNumberFormat="1" applyFont="1" applyFill="1" applyBorder="1" applyAlignment="1">
      <alignment horizontal="right" vertical="center"/>
    </xf>
    <xf numFmtId="164" fontId="49" fillId="3" borderId="19" xfId="4" quotePrefix="1" applyNumberFormat="1" applyFont="1" applyFill="1" applyBorder="1" applyAlignment="1">
      <alignment horizontal="center" vertical="center" wrapText="1"/>
    </xf>
    <xf numFmtId="3" fontId="49" fillId="3" borderId="0" xfId="4" applyNumberFormat="1" applyFont="1" applyFill="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9" fillId="0" borderId="5" xfId="0" applyNumberFormat="1" applyFont="1" applyFill="1" applyBorder="1" applyAlignment="1">
      <alignment horizontal="center" wrapText="1"/>
    </xf>
    <xf numFmtId="3" fontId="59" fillId="0" borderId="5" xfId="0" applyNumberFormat="1" applyFont="1" applyFill="1" applyBorder="1" applyAlignment="1">
      <alignment wrapText="1"/>
    </xf>
    <xf numFmtId="3" fontId="59"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4" fillId="0" borderId="0" xfId="0" applyFont="1" applyAlignment="1">
      <alignment horizontal="right" vertical="center" wrapText="1"/>
    </xf>
    <xf numFmtId="0" fontId="60" fillId="0" borderId="0" xfId="0" applyFont="1" applyAlignment="1">
      <alignment vertical="center" wrapText="1"/>
    </xf>
    <xf numFmtId="0" fontId="60"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61"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61" fillId="0" borderId="5" xfId="0" applyNumberFormat="1" applyFont="1" applyFill="1" applyBorder="1" applyAlignment="1">
      <alignment horizontal="center" wrapText="1"/>
    </xf>
    <xf numFmtId="3" fontId="61" fillId="0" borderId="5" xfId="0" applyNumberFormat="1" applyFont="1" applyFill="1" applyBorder="1" applyAlignment="1">
      <alignment wrapText="1"/>
    </xf>
    <xf numFmtId="3" fontId="61" fillId="0" borderId="5" xfId="0" applyNumberFormat="1" applyFont="1" applyFill="1" applyBorder="1" applyAlignment="1">
      <alignment horizontal="right" wrapText="1"/>
    </xf>
    <xf numFmtId="0" fontId="61"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wrapText="1"/>
    </xf>
    <xf numFmtId="3" fontId="39" fillId="0" borderId="3" xfId="0" applyNumberFormat="1" applyFont="1" applyBorder="1" applyAlignment="1">
      <alignment horizontal="center"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3" fillId="0" borderId="0" xfId="0" applyNumberFormat="1" applyFont="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4"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6" fillId="0" borderId="0" xfId="0" applyNumberFormat="1" applyFont="1" applyBorder="1" applyAlignment="1">
      <alignment horizontal="lef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36" xfId="0" applyNumberFormat="1" applyFont="1" applyBorder="1" applyAlignment="1">
      <alignment horizontal="center" vertical="center" wrapText="1"/>
    </xf>
    <xf numFmtId="3" fontId="4" fillId="0" borderId="37"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29" fillId="0" borderId="0" xfId="0" applyNumberFormat="1" applyFont="1" applyBorder="1" applyAlignment="1">
      <alignment horizontal="left"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xf numFmtId="1" fontId="44" fillId="3" borderId="0" xfId="4" applyNumberFormat="1" applyFont="1" applyFill="1" applyAlignment="1">
      <alignment horizontal="left" vertical="center" wrapText="1"/>
    </xf>
    <xf numFmtId="1" fontId="44" fillId="3" borderId="0" xfId="4" applyNumberFormat="1" applyFont="1" applyFill="1" applyBorder="1" applyAlignment="1">
      <alignment horizontal="center" vertical="top" wrapText="1"/>
    </xf>
    <xf numFmtId="0" fontId="45" fillId="3" borderId="0" xfId="5" applyFont="1" applyFill="1" applyAlignment="1">
      <alignment horizontal="center" vertical="top" wrapText="1"/>
    </xf>
    <xf numFmtId="1" fontId="45" fillId="3" borderId="18" xfId="4" applyNumberFormat="1" applyFont="1" applyFill="1" applyBorder="1" applyAlignment="1">
      <alignment horizontal="right" vertical="center" wrapText="1"/>
    </xf>
    <xf numFmtId="3" fontId="43" fillId="3" borderId="19" xfId="4" applyNumberFormat="1" applyFont="1" applyFill="1" applyBorder="1" applyAlignment="1">
      <alignment horizontal="center" vertical="center" wrapText="1"/>
    </xf>
    <xf numFmtId="3" fontId="43" fillId="3" borderId="21" xfId="4" applyNumberFormat="1" applyFont="1" applyFill="1" applyBorder="1" applyAlignment="1">
      <alignment horizontal="center" vertical="center" wrapText="1"/>
    </xf>
    <xf numFmtId="3" fontId="43" fillId="3" borderId="27" xfId="4"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43" fillId="3" borderId="22" xfId="4" applyNumberFormat="1" applyFont="1" applyFill="1" applyBorder="1" applyAlignment="1">
      <alignment horizontal="center" vertical="center" wrapText="1"/>
    </xf>
    <xf numFmtId="3" fontId="43" fillId="3" borderId="23" xfId="4" applyNumberFormat="1" applyFont="1" applyFill="1" applyBorder="1" applyAlignment="1">
      <alignment horizontal="center" vertical="center" wrapText="1"/>
    </xf>
    <xf numFmtId="3" fontId="43" fillId="3" borderId="24" xfId="4" applyNumberFormat="1" applyFont="1" applyFill="1" applyBorder="1" applyAlignment="1">
      <alignment horizontal="center" vertical="center" wrapText="1"/>
    </xf>
    <xf numFmtId="3" fontId="52" fillId="3" borderId="21" xfId="4" quotePrefix="1" applyNumberFormat="1" applyFont="1" applyFill="1" applyBorder="1" applyAlignment="1">
      <alignment horizontal="center" vertical="center" wrapText="1"/>
    </xf>
    <xf numFmtId="3" fontId="52" fillId="3" borderId="27" xfId="4" quotePrefix="1" applyNumberFormat="1" applyFont="1" applyFill="1" applyBorder="1" applyAlignment="1">
      <alignment horizontal="center" vertical="center" wrapText="1"/>
    </xf>
    <xf numFmtId="3" fontId="52" fillId="3" borderId="32" xfId="4" quotePrefix="1" applyNumberFormat="1" applyFont="1" applyFill="1" applyBorder="1" applyAlignment="1">
      <alignment horizontal="center" vertical="center" wrapText="1"/>
    </xf>
    <xf numFmtId="3" fontId="43" fillId="3" borderId="25" xfId="4" applyNumberFormat="1" applyFont="1" applyFill="1" applyBorder="1" applyAlignment="1">
      <alignment horizontal="center" vertical="center" wrapText="1"/>
    </xf>
    <xf numFmtId="3" fontId="43" fillId="3" borderId="26" xfId="4" applyNumberFormat="1" applyFont="1" applyFill="1" applyBorder="1" applyAlignment="1">
      <alignment horizontal="center" vertical="center" wrapText="1"/>
    </xf>
    <xf numFmtId="3" fontId="43" fillId="3" borderId="28" xfId="4" applyNumberFormat="1" applyFont="1" applyFill="1" applyBorder="1" applyAlignment="1">
      <alignment horizontal="center" vertical="center" wrapText="1"/>
    </xf>
    <xf numFmtId="3" fontId="43" fillId="3" borderId="29" xfId="4" applyNumberFormat="1" applyFont="1" applyFill="1" applyBorder="1" applyAlignment="1">
      <alignment horizontal="center" vertical="center" wrapText="1"/>
    </xf>
    <xf numFmtId="3" fontId="43" fillId="3" borderId="30" xfId="4" applyNumberFormat="1" applyFont="1" applyFill="1" applyBorder="1" applyAlignment="1">
      <alignment horizontal="center" vertical="center" wrapText="1"/>
    </xf>
    <xf numFmtId="3" fontId="43" fillId="3" borderId="31" xfId="4" applyNumberFormat="1" applyFont="1" applyFill="1" applyBorder="1" applyAlignment="1">
      <alignment horizontal="center" vertical="center" wrapText="1"/>
    </xf>
    <xf numFmtId="41" fontId="43" fillId="3" borderId="22" xfId="4" applyNumberFormat="1" applyFont="1" applyFill="1" applyBorder="1" applyAlignment="1">
      <alignment horizontal="center" vertical="center" wrapText="1"/>
    </xf>
    <xf numFmtId="41" fontId="43" fillId="3" borderId="24" xfId="4" applyNumberFormat="1" applyFont="1" applyFill="1" applyBorder="1" applyAlignment="1">
      <alignment horizontal="center" vertical="center" wrapText="1"/>
    </xf>
    <xf numFmtId="3" fontId="43" fillId="3" borderId="0" xfId="4" applyNumberFormat="1" applyFont="1" applyFill="1" applyAlignment="1">
      <alignment horizontal="center" vertical="center" wrapText="1"/>
    </xf>
  </cellXfs>
  <cellStyles count="30">
    <cellStyle name="Comma" xfId="2" builtinId="3"/>
    <cellStyle name="Comma 10 10 2" xfId="14"/>
    <cellStyle name="Comma 17 2" xfId="15"/>
    <cellStyle name="Comma 18" xfId="16"/>
    <cellStyle name="Normal" xfId="0" builtinId="0"/>
    <cellStyle name="Normal 10" xfId="5"/>
    <cellStyle name="Normal 10 3" xfId="25"/>
    <cellStyle name="Normal 14 2 2" xfId="6"/>
    <cellStyle name="Normal 14_KẾ HOẠCH VỐN NSNN NĂM 2014-CT CHUYEN TIEP VA MOI - LAN I -18-11-2013 2 2" xfId="7"/>
    <cellStyle name="Normal 14_KẾ HOẠCH VỐN NSNN NĂM 2014-CT CHUYEN TIEP-16-11-2013-CT - theo NQ 2 2 2" xfId="27"/>
    <cellStyle name="Normal 14_KẾ HOẠCH VỐN NSNN NĂM 2014-CT CHUYEN TIEP-16-11-2013-CT - theo NQ 2 3" xfId="12"/>
    <cellStyle name="Normal 14_KẾ HOẠCH VỐN NSNN NĂM 2014-CT CHUYEN TIEP-16-11-2013-CT - theo NQ 3_TONG HOP KH XDCB 2016- CAC PHUONG AN LAN II-20-11-2015-CT (version 1) 2 2" xfId="18"/>
    <cellStyle name="Normal 14_KẾ HOẠCH VỐN NSNN NĂM 2014-CT CHUYEN TIEP-16-11-2013-CT - theo NQ 3_TONG HOP KH XDCB 2016- CAC PHUONG AN LAN II-20-11-2015-CT (version 1) 2 2 2 2" xfId="22"/>
    <cellStyle name="Normal 14_KẾ HOẠCH VỐN NSNN NĂM 2014-CT CHUYEN TIEP-16-11-2013-CT - theo NQ 3_TONG HOP KH XDCB 2016- CAC PHUONG AN LAN II-20-11-2015-CT (version 1) 2 2_Copy of Copy of Baocaotrinhduyetduan-2016-khoicongmoi-cap nhat 30-03-2017 2" xfId="17"/>
    <cellStyle name="Normal 15" xfId="11"/>
    <cellStyle name="Normal 17" xfId="19"/>
    <cellStyle name="Normal 2" xfId="28"/>
    <cellStyle name="Normal 2 2" xfId="29"/>
    <cellStyle name="Normal 3_TIỀN GIANG - BIỂU TỔNG HỢP KẾ HOẠCH 2016-2020 (16 BIỂU - DC LAN II) - 11-6-2015" xfId="26"/>
    <cellStyle name="Normal 5 2" xfId="20"/>
    <cellStyle name="Normal_Bieu mau (CV )" xfId="4"/>
    <cellStyle name="Normal_Bieu mau (CV ) 2 3" xfId="9"/>
    <cellStyle name="Normal_DU THAO NGHỊ QUYẾT XDCB NĂM 2014 6-12-2013 2_TONG HOP KH XDCB 2016- CAC CONG TRINH CHUYEN TIEP - CHINH THUC 2 2" xfId="13"/>
    <cellStyle name="Normal_DU THAO NGHỊ QUYẾT XDCB NĂM 2014 6-12-2013 2_TONG HOP KH XDCB 2016- CAC PHUONG AN LAN II-20-11-2015-CT (version 1) 2 2 2" xfId="21"/>
    <cellStyle name="Normal_Sheet1" xfId="1"/>
    <cellStyle name="Normal_Sheet1 2 2" xfId="8"/>
    <cellStyle name="Normal_Sheet1 3 2" xfId="10"/>
    <cellStyle name="Normal_Sheet1 4" xfId="23"/>
    <cellStyle name="Percent" xfId="3" builtinId="5"/>
    <cellStyle name="Percent 2 2 2 2"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20KHAI%20DU%20TOAN%20NS&#272;P%202019%20(46,48,4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19/TRINH%20HDND/DU%20TOAN%202019/UBND%20TRINH%20HDND/PHAN%20BO%20DU%20TOAN%202019/PHAN%20BO%20NS&#272;P%202019%20(kem%20nghi%20quy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19/TRINH%20HDND/CONG%20KHAI%20DAT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NG\Downloads\Khuy&#234;n%20-%203-12-K&#7870;%20HO&#7840;CH%20N&#258;M%202019%20(Nam)%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12 2017"/>
      <sheetName val="13"/>
      <sheetName val="14"/>
      <sheetName val="46"/>
      <sheetName val="48"/>
      <sheetName val="49"/>
      <sheetName val="04"/>
    </sheetNames>
    <sheetDataSet>
      <sheetData sheetId="0"/>
      <sheetData sheetId="1"/>
      <sheetData sheetId="2"/>
      <sheetData sheetId="3"/>
      <sheetData sheetId="4">
        <row r="10">
          <cell r="D10">
            <v>7785475.2000000002</v>
          </cell>
        </row>
      </sheetData>
      <sheetData sheetId="5">
        <row r="10">
          <cell r="C10">
            <v>8930637</v>
          </cell>
        </row>
        <row r="25">
          <cell r="C25">
            <v>2702028</v>
          </cell>
        </row>
        <row r="26">
          <cell r="C26">
            <v>31133</v>
          </cell>
        </row>
        <row r="27">
          <cell r="C27">
            <v>0</v>
          </cell>
        </row>
        <row r="28">
          <cell r="C28">
            <v>1000</v>
          </cell>
        </row>
        <row r="29">
          <cell r="C29">
            <v>179870</v>
          </cell>
        </row>
        <row r="30">
          <cell r="C30">
            <v>241534</v>
          </cell>
        </row>
        <row r="37">
          <cell r="C37">
            <v>35100</v>
          </cell>
        </row>
      </sheetData>
      <sheetData sheetId="6">
        <row r="24">
          <cell r="D24">
            <v>8000</v>
          </cell>
        </row>
        <row r="25">
          <cell r="D25">
            <v>37500</v>
          </cell>
        </row>
        <row r="31">
          <cell r="D31">
            <v>8000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I10">
            <v>0</v>
          </cell>
          <cell r="J10">
            <v>25024</v>
          </cell>
          <cell r="L10">
            <v>32037</v>
          </cell>
        </row>
        <row r="11">
          <cell r="I11">
            <v>10858</v>
          </cell>
          <cell r="J11">
            <v>25545</v>
          </cell>
          <cell r="L11">
            <v>34016</v>
          </cell>
        </row>
        <row r="12">
          <cell r="I12">
            <v>13866</v>
          </cell>
          <cell r="J12">
            <v>33582</v>
          </cell>
          <cell r="L12">
            <v>36831</v>
          </cell>
        </row>
        <row r="13">
          <cell r="I13">
            <v>20618</v>
          </cell>
          <cell r="J13">
            <v>49374</v>
          </cell>
          <cell r="L13">
            <v>33055</v>
          </cell>
        </row>
        <row r="14">
          <cell r="I14">
            <v>20448</v>
          </cell>
          <cell r="J14">
            <v>40440</v>
          </cell>
          <cell r="L14">
            <v>41556</v>
          </cell>
        </row>
        <row r="15">
          <cell r="I15">
            <v>22962</v>
          </cell>
          <cell r="J15">
            <v>64476</v>
          </cell>
          <cell r="L15">
            <v>44157</v>
          </cell>
        </row>
        <row r="16">
          <cell r="I16">
            <v>22077</v>
          </cell>
          <cell r="J16">
            <v>71965</v>
          </cell>
          <cell r="L16">
            <v>18160</v>
          </cell>
        </row>
        <row r="17">
          <cell r="I17">
            <v>14719</v>
          </cell>
          <cell r="J17">
            <v>35413</v>
          </cell>
          <cell r="L17">
            <v>18836</v>
          </cell>
        </row>
        <row r="18">
          <cell r="I18">
            <v>18697</v>
          </cell>
          <cell r="J18">
            <v>38816</v>
          </cell>
          <cell r="L18">
            <v>36324</v>
          </cell>
        </row>
        <row r="19">
          <cell r="I19">
            <v>12887</v>
          </cell>
          <cell r="J19">
            <v>22211</v>
          </cell>
          <cell r="L19">
            <v>28924</v>
          </cell>
        </row>
        <row r="20">
          <cell r="I20">
            <v>11272</v>
          </cell>
          <cell r="J20">
            <v>7319</v>
          </cell>
          <cell r="L20">
            <v>35753</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1-KH 2019 - CHỈNH THỨC"/>
      <sheetName val="B2-MẦM NON"/>
      <sheetName val="B3 - Y TẾ"/>
    </sheetNames>
    <sheetDataSet>
      <sheetData sheetId="0"/>
      <sheetData sheetId="1">
        <row r="11">
          <cell r="H11">
            <v>300010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129249</v>
          </cell>
          <cell r="AN11">
            <v>0</v>
          </cell>
          <cell r="AO11">
            <v>129249</v>
          </cell>
          <cell r="AP11">
            <v>0</v>
          </cell>
          <cell r="AQ11">
            <v>0</v>
          </cell>
          <cell r="AR11">
            <v>135249</v>
          </cell>
          <cell r="AS11">
            <v>89300</v>
          </cell>
        </row>
        <row r="30">
          <cell r="H30">
            <v>284089</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99400</v>
          </cell>
        </row>
      </sheetData>
      <sheetData sheetId="2">
        <row r="10">
          <cell r="H10">
            <v>37792</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15300</v>
          </cell>
          <cell r="AN10">
            <v>0</v>
          </cell>
          <cell r="AO10">
            <v>15300</v>
          </cell>
          <cell r="AP10">
            <v>0</v>
          </cell>
          <cell r="AQ10">
            <v>0</v>
          </cell>
          <cell r="AR10">
            <v>15300</v>
          </cell>
          <cell r="AS10">
            <v>12500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1-KH 2019 - CHỈNH THỨC "/>
      <sheetName val="B2-ĐỀ ÁN THANH LONG"/>
      <sheetName val="B3-MẦM NON"/>
      <sheetName val="B4 - Y TẾ"/>
      <sheetName val="B5-SCGT"/>
      <sheetName val="GỐC"/>
      <sheetName val="DỰ KIẾN CT THỦY LỢI KHÁC"/>
    </sheetNames>
    <sheetDataSet>
      <sheetData sheetId="0" refreshError="1"/>
      <sheetData sheetId="1" refreshError="1"/>
      <sheetData sheetId="2" refreshError="1"/>
      <sheetData sheetId="3" refreshError="1">
        <row r="19">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S19">
            <v>35060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510" t="s">
        <v>0</v>
      </c>
      <c r="F1" s="510"/>
    </row>
    <row r="2" spans="1:6" ht="29.25" customHeight="1">
      <c r="A2" s="511" t="s">
        <v>1</v>
      </c>
      <c r="B2" s="511"/>
      <c r="C2" s="511"/>
      <c r="D2" s="511"/>
      <c r="E2" s="511"/>
      <c r="F2" s="511"/>
    </row>
    <row r="3" spans="1:6">
      <c r="A3" s="511" t="s">
        <v>2</v>
      </c>
      <c r="B3" s="511"/>
      <c r="C3" s="511"/>
      <c r="D3" s="511"/>
      <c r="E3" s="511"/>
      <c r="F3" s="511"/>
    </row>
    <row r="4" spans="1:6">
      <c r="A4" s="3"/>
      <c r="E4" s="512" t="s">
        <v>3</v>
      </c>
      <c r="F4" s="512"/>
    </row>
    <row r="5" spans="1:6" s="16" customFormat="1">
      <c r="A5" s="514" t="s">
        <v>4</v>
      </c>
      <c r="B5" s="514" t="s">
        <v>5</v>
      </c>
      <c r="C5" s="514" t="s">
        <v>6</v>
      </c>
      <c r="D5" s="514" t="s">
        <v>7</v>
      </c>
      <c r="E5" s="514" t="s">
        <v>8</v>
      </c>
      <c r="F5" s="514"/>
    </row>
    <row r="6" spans="1:6" s="16" customFormat="1">
      <c r="A6" s="514"/>
      <c r="B6" s="514"/>
      <c r="C6" s="514"/>
      <c r="D6" s="514"/>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513" t="s">
        <v>352</v>
      </c>
      <c r="B38" s="513"/>
      <c r="C38" s="513"/>
      <c r="D38" s="513"/>
      <c r="E38" s="513"/>
      <c r="F38" s="513"/>
    </row>
    <row r="39" spans="1:6">
      <c r="A39" s="509" t="s">
        <v>39</v>
      </c>
      <c r="B39" s="509"/>
      <c r="C39" s="509"/>
      <c r="D39" s="509"/>
      <c r="E39" s="509"/>
      <c r="F39" s="509"/>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511" t="s">
        <v>204</v>
      </c>
      <c r="L1" s="511"/>
    </row>
    <row r="2" spans="1:12" ht="38.25" customHeight="1">
      <c r="A2" s="511" t="s">
        <v>205</v>
      </c>
      <c r="B2" s="511"/>
      <c r="C2" s="511"/>
      <c r="D2" s="511"/>
      <c r="E2" s="511"/>
      <c r="F2" s="511"/>
      <c r="G2" s="511"/>
      <c r="H2" s="511"/>
      <c r="I2" s="511"/>
      <c r="J2" s="511"/>
      <c r="K2" s="511"/>
      <c r="L2" s="511"/>
    </row>
    <row r="3" spans="1:12">
      <c r="A3" s="511" t="s">
        <v>125</v>
      </c>
      <c r="B3" s="511"/>
      <c r="C3" s="511"/>
      <c r="D3" s="511"/>
      <c r="E3" s="511"/>
      <c r="F3" s="511"/>
      <c r="G3" s="511"/>
      <c r="H3" s="511"/>
      <c r="I3" s="511"/>
      <c r="J3" s="511"/>
      <c r="K3" s="511"/>
      <c r="L3" s="511"/>
    </row>
    <row r="4" spans="1:12">
      <c r="A4" s="3"/>
      <c r="K4" s="512" t="s">
        <v>3</v>
      </c>
      <c r="L4" s="512"/>
    </row>
    <row r="5" spans="1:12">
      <c r="A5" s="514" t="s">
        <v>4</v>
      </c>
      <c r="B5" s="514" t="s">
        <v>206</v>
      </c>
      <c r="C5" s="514" t="s">
        <v>357</v>
      </c>
      <c r="D5" s="514" t="s">
        <v>207</v>
      </c>
      <c r="E5" s="514"/>
      <c r="F5" s="514"/>
      <c r="G5" s="514"/>
      <c r="H5" s="514" t="s">
        <v>7</v>
      </c>
      <c r="I5" s="514"/>
      <c r="J5" s="514"/>
      <c r="K5" s="514"/>
      <c r="L5" s="514" t="s">
        <v>358</v>
      </c>
    </row>
    <row r="6" spans="1:12" ht="38.25" customHeight="1">
      <c r="A6" s="514"/>
      <c r="B6" s="514"/>
      <c r="C6" s="514"/>
      <c r="D6" s="514" t="s">
        <v>208</v>
      </c>
      <c r="E6" s="514"/>
      <c r="F6" s="514" t="s">
        <v>209</v>
      </c>
      <c r="G6" s="514" t="s">
        <v>210</v>
      </c>
      <c r="H6" s="514" t="s">
        <v>208</v>
      </c>
      <c r="I6" s="514"/>
      <c r="J6" s="514" t="s">
        <v>211</v>
      </c>
      <c r="K6" s="514" t="s">
        <v>210</v>
      </c>
      <c r="L6" s="514"/>
    </row>
    <row r="7" spans="1:12" ht="51">
      <c r="A7" s="514"/>
      <c r="B7" s="514"/>
      <c r="C7" s="514"/>
      <c r="D7" s="15" t="s">
        <v>45</v>
      </c>
      <c r="E7" s="15" t="s">
        <v>359</v>
      </c>
      <c r="F7" s="514"/>
      <c r="G7" s="514"/>
      <c r="H7" s="15" t="s">
        <v>45</v>
      </c>
      <c r="I7" s="15" t="s">
        <v>359</v>
      </c>
      <c r="J7" s="514"/>
      <c r="K7" s="514"/>
      <c r="L7" s="514"/>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511" t="s">
        <v>218</v>
      </c>
      <c r="E1" s="511"/>
    </row>
    <row r="2" spans="1:5">
      <c r="A2" s="511" t="s">
        <v>219</v>
      </c>
      <c r="B2" s="511"/>
      <c r="C2" s="511"/>
      <c r="D2" s="511"/>
      <c r="E2" s="511"/>
    </row>
    <row r="3" spans="1:5">
      <c r="A3" s="511" t="s">
        <v>220</v>
      </c>
      <c r="B3" s="511"/>
      <c r="C3" s="511"/>
      <c r="D3" s="511"/>
      <c r="E3" s="511"/>
    </row>
    <row r="4" spans="1:5">
      <c r="A4" s="511" t="s">
        <v>125</v>
      </c>
      <c r="B4" s="511"/>
      <c r="C4" s="511"/>
      <c r="D4" s="511"/>
      <c r="E4" s="511"/>
    </row>
    <row r="5" spans="1:5">
      <c r="A5" s="3"/>
      <c r="D5" s="512" t="s">
        <v>221</v>
      </c>
      <c r="E5" s="512"/>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511" t="s">
        <v>237</v>
      </c>
      <c r="N1" s="511"/>
    </row>
    <row r="2" spans="1:14">
      <c r="A2" s="511" t="s">
        <v>238</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27" t="s">
        <v>4</v>
      </c>
      <c r="B5" s="527" t="s">
        <v>239</v>
      </c>
      <c r="C5" s="527" t="s">
        <v>85</v>
      </c>
      <c r="D5" s="527"/>
      <c r="E5" s="527"/>
      <c r="F5" s="527"/>
      <c r="G5" s="527" t="s">
        <v>6</v>
      </c>
      <c r="H5" s="527"/>
      <c r="I5" s="527"/>
      <c r="J5" s="527"/>
      <c r="K5" s="527" t="s">
        <v>44</v>
      </c>
      <c r="L5" s="527"/>
      <c r="M5" s="527"/>
      <c r="N5" s="527"/>
    </row>
    <row r="6" spans="1:14">
      <c r="A6" s="527"/>
      <c r="B6" s="527"/>
      <c r="C6" s="527" t="s">
        <v>45</v>
      </c>
      <c r="D6" s="527" t="s">
        <v>46</v>
      </c>
      <c r="E6" s="527"/>
      <c r="F6" s="527"/>
      <c r="G6" s="527" t="s">
        <v>47</v>
      </c>
      <c r="H6" s="527" t="s">
        <v>46</v>
      </c>
      <c r="I6" s="527"/>
      <c r="J6" s="527"/>
      <c r="K6" s="527" t="s">
        <v>45</v>
      </c>
      <c r="L6" s="527" t="s">
        <v>46</v>
      </c>
      <c r="M6" s="527"/>
      <c r="N6" s="527"/>
    </row>
    <row r="7" spans="1:14" ht="39">
      <c r="A7" s="527"/>
      <c r="B7" s="527"/>
      <c r="C7" s="527"/>
      <c r="D7" s="4" t="s">
        <v>48</v>
      </c>
      <c r="E7" s="4" t="s">
        <v>49</v>
      </c>
      <c r="F7" s="4" t="s">
        <v>240</v>
      </c>
      <c r="G7" s="527"/>
      <c r="H7" s="4" t="s">
        <v>48</v>
      </c>
      <c r="I7" s="4" t="s">
        <v>241</v>
      </c>
      <c r="J7" s="4" t="s">
        <v>50</v>
      </c>
      <c r="K7" s="527"/>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516" t="s">
        <v>354</v>
      </c>
      <c r="B24" s="516"/>
      <c r="C24" s="516"/>
      <c r="D24" s="516"/>
      <c r="E24" s="516"/>
      <c r="F24" s="516"/>
      <c r="G24" s="516"/>
      <c r="H24" s="516"/>
      <c r="I24" s="516"/>
      <c r="J24" s="516"/>
      <c r="K24" s="516"/>
      <c r="L24" s="516"/>
      <c r="M24" s="516"/>
      <c r="N24" s="516"/>
    </row>
    <row r="25" spans="1:14">
      <c r="A25" s="517" t="s">
        <v>66</v>
      </c>
      <c r="B25" s="517"/>
      <c r="C25" s="517"/>
      <c r="D25" s="517"/>
      <c r="E25" s="517"/>
      <c r="F25" s="517"/>
      <c r="G25" s="517"/>
      <c r="H25" s="517"/>
      <c r="I25" s="517"/>
      <c r="J25" s="517"/>
      <c r="K25" s="517"/>
      <c r="L25" s="517"/>
      <c r="M25" s="517"/>
      <c r="N25" s="517"/>
    </row>
    <row r="26" spans="1:14">
      <c r="A26" s="83"/>
    </row>
  </sheetData>
  <mergeCells count="17">
    <mergeCell ref="M1:N1"/>
    <mergeCell ref="M4:N4"/>
    <mergeCell ref="A2:N2"/>
    <mergeCell ref="A3:N3"/>
    <mergeCell ref="A24:N24"/>
    <mergeCell ref="L6:N6"/>
    <mergeCell ref="A5:A7"/>
    <mergeCell ref="B5:B7"/>
    <mergeCell ref="C5:F5"/>
    <mergeCell ref="G5:J5"/>
    <mergeCell ref="K5:N5"/>
    <mergeCell ref="C6:C7"/>
    <mergeCell ref="D6:F6"/>
    <mergeCell ref="G6:G7"/>
    <mergeCell ref="H6:J6"/>
    <mergeCell ref="K6:K7"/>
    <mergeCell ref="A25:N25"/>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A3" sqref="A3:C3"/>
    </sheetView>
  </sheetViews>
  <sheetFormatPr defaultColWidth="9.140625" defaultRowHeight="18.75"/>
  <cols>
    <col min="1" max="1" width="7.140625" style="446" customWidth="1"/>
    <col min="2" max="2" width="62.28515625" style="446" customWidth="1"/>
    <col min="3" max="3" width="18.7109375" style="446" customWidth="1"/>
    <col min="4" max="4" width="10.140625" style="446" bestFit="1" customWidth="1"/>
    <col min="5" max="5" width="12.28515625" style="446" bestFit="1" customWidth="1"/>
    <col min="6" max="16384" width="9.140625" style="446"/>
  </cols>
  <sheetData>
    <row r="1" spans="1:5">
      <c r="B1" s="529" t="s">
        <v>539</v>
      </c>
      <c r="C1" s="529"/>
    </row>
    <row r="2" spans="1:5">
      <c r="A2" s="447" t="s">
        <v>525</v>
      </c>
    </row>
    <row r="3" spans="1:5">
      <c r="A3" s="530" t="s">
        <v>540</v>
      </c>
      <c r="B3" s="530"/>
      <c r="C3" s="530"/>
      <c r="D3" s="530"/>
    </row>
    <row r="4" spans="1:5">
      <c r="A4" s="531" t="s">
        <v>535</v>
      </c>
      <c r="B4" s="531"/>
      <c r="C4" s="531"/>
      <c r="D4" s="448"/>
    </row>
    <row r="5" spans="1:5">
      <c r="B5" s="532" t="s">
        <v>3</v>
      </c>
      <c r="C5" s="532"/>
    </row>
    <row r="6" spans="1:5">
      <c r="A6" s="533" t="s">
        <v>4</v>
      </c>
      <c r="B6" s="533" t="s">
        <v>222</v>
      </c>
      <c r="C6" s="533" t="s">
        <v>1329</v>
      </c>
    </row>
    <row r="7" spans="1:5">
      <c r="A7" s="533"/>
      <c r="B7" s="533"/>
      <c r="C7" s="533"/>
    </row>
    <row r="8" spans="1:5">
      <c r="A8" s="449" t="s">
        <v>11</v>
      </c>
      <c r="B8" s="449" t="s">
        <v>12</v>
      </c>
      <c r="C8" s="449">
        <v>3</v>
      </c>
    </row>
    <row r="9" spans="1:5">
      <c r="A9" s="450" t="s">
        <v>11</v>
      </c>
      <c r="B9" s="451" t="s">
        <v>541</v>
      </c>
      <c r="C9" s="452">
        <f t="shared" ref="C9" si="0">C10+C13+C16+C17+C18</f>
        <v>9907582.1999999993</v>
      </c>
      <c r="E9" s="453"/>
    </row>
    <row r="10" spans="1:5">
      <c r="A10" s="454" t="s">
        <v>16</v>
      </c>
      <c r="B10" s="455" t="s">
        <v>542</v>
      </c>
      <c r="C10" s="456">
        <f>C11+C12</f>
        <v>7785475.2000000002</v>
      </c>
      <c r="E10" s="453"/>
    </row>
    <row r="11" spans="1:5">
      <c r="A11" s="457" t="s">
        <v>20</v>
      </c>
      <c r="B11" s="458" t="s">
        <v>286</v>
      </c>
      <c r="C11" s="459">
        <f>'[1]48'!D10-C12</f>
        <v>2370775.2000000002</v>
      </c>
      <c r="E11" s="453"/>
    </row>
    <row r="12" spans="1:5">
      <c r="A12" s="457" t="s">
        <v>20</v>
      </c>
      <c r="B12" s="458" t="s">
        <v>543</v>
      </c>
      <c r="C12" s="459">
        <v>5414700</v>
      </c>
      <c r="E12" s="453"/>
    </row>
    <row r="13" spans="1:5">
      <c r="A13" s="454" t="s">
        <v>26</v>
      </c>
      <c r="B13" s="455" t="s">
        <v>19</v>
      </c>
      <c r="C13" s="456">
        <f>C14+C15</f>
        <v>2122107</v>
      </c>
    </row>
    <row r="14" spans="1:5">
      <c r="A14" s="457">
        <v>1</v>
      </c>
      <c r="B14" s="458" t="s">
        <v>21</v>
      </c>
      <c r="C14" s="459">
        <f>1904237+38000</f>
        <v>1942237</v>
      </c>
    </row>
    <row r="15" spans="1:5">
      <c r="A15" s="457">
        <v>2</v>
      </c>
      <c r="B15" s="458" t="s">
        <v>22</v>
      </c>
      <c r="C15" s="459">
        <f>'[1]49'!C29</f>
        <v>179870</v>
      </c>
      <c r="E15" s="453"/>
    </row>
    <row r="16" spans="1:5" s="447" customFormat="1">
      <c r="A16" s="454" t="s">
        <v>33</v>
      </c>
      <c r="B16" s="455" t="s">
        <v>544</v>
      </c>
      <c r="C16" s="456"/>
    </row>
    <row r="17" spans="1:7" s="447" customFormat="1">
      <c r="A17" s="454" t="s">
        <v>110</v>
      </c>
      <c r="B17" s="455" t="s">
        <v>36</v>
      </c>
      <c r="C17" s="456"/>
      <c r="E17" s="460"/>
      <c r="G17" s="460"/>
    </row>
    <row r="18" spans="1:7" s="447" customFormat="1">
      <c r="A18" s="454" t="s">
        <v>112</v>
      </c>
      <c r="B18" s="455" t="s">
        <v>545</v>
      </c>
      <c r="C18" s="456"/>
    </row>
    <row r="19" spans="1:7">
      <c r="A19" s="454" t="s">
        <v>12</v>
      </c>
      <c r="B19" s="455" t="s">
        <v>546</v>
      </c>
      <c r="C19" s="456">
        <f>C20+C27+C30</f>
        <v>11941432</v>
      </c>
      <c r="E19" s="453"/>
    </row>
    <row r="20" spans="1:7">
      <c r="A20" s="454" t="s">
        <v>16</v>
      </c>
      <c r="B20" s="455" t="s">
        <v>285</v>
      </c>
      <c r="C20" s="456">
        <f t="shared" ref="C20" si="1">SUM(C21:C26)</f>
        <v>11664798</v>
      </c>
      <c r="D20" s="453"/>
      <c r="E20" s="453"/>
    </row>
    <row r="21" spans="1:7">
      <c r="A21" s="457">
        <v>1</v>
      </c>
      <c r="B21" s="458" t="s">
        <v>547</v>
      </c>
      <c r="C21" s="459">
        <f>'[1]49'!C10</f>
        <v>8930637</v>
      </c>
      <c r="D21" s="453"/>
      <c r="E21" s="453"/>
    </row>
    <row r="22" spans="1:7">
      <c r="A22" s="457">
        <v>2</v>
      </c>
      <c r="B22" s="458" t="s">
        <v>107</v>
      </c>
      <c r="C22" s="459">
        <f>'[1]49'!C21</f>
        <v>0</v>
      </c>
    </row>
    <row r="23" spans="1:7" ht="37.5">
      <c r="A23" s="457">
        <v>3</v>
      </c>
      <c r="B23" s="458" t="s">
        <v>548</v>
      </c>
      <c r="C23" s="459">
        <f>'[1]49'!C25</f>
        <v>2702028</v>
      </c>
    </row>
    <row r="24" spans="1:7">
      <c r="A24" s="457">
        <v>4</v>
      </c>
      <c r="B24" s="458" t="s">
        <v>501</v>
      </c>
      <c r="C24" s="459">
        <f>'[1]49'!C26</f>
        <v>31133</v>
      </c>
    </row>
    <row r="25" spans="1:7">
      <c r="A25" s="457">
        <v>5</v>
      </c>
      <c r="B25" s="458" t="s">
        <v>113</v>
      </c>
      <c r="C25" s="459">
        <f>'[1]49'!C27</f>
        <v>0</v>
      </c>
    </row>
    <row r="26" spans="1:7">
      <c r="A26" s="457">
        <v>6</v>
      </c>
      <c r="B26" s="458" t="s">
        <v>115</v>
      </c>
      <c r="C26" s="459">
        <f>'[1]49'!C28</f>
        <v>1000</v>
      </c>
    </row>
    <row r="27" spans="1:7" s="447" customFormat="1">
      <c r="A27" s="454" t="s">
        <v>26</v>
      </c>
      <c r="B27" s="455" t="s">
        <v>549</v>
      </c>
      <c r="C27" s="456">
        <f>C28+C29</f>
        <v>276634</v>
      </c>
      <c r="E27" s="460"/>
    </row>
    <row r="28" spans="1:7" ht="19.5">
      <c r="A28" s="461">
        <v>1</v>
      </c>
      <c r="B28" s="462" t="s">
        <v>117</v>
      </c>
      <c r="C28" s="463">
        <f>'[1]49'!C30</f>
        <v>241534</v>
      </c>
      <c r="E28" s="453"/>
    </row>
    <row r="29" spans="1:7" ht="19.5">
      <c r="A29" s="461">
        <v>2</v>
      </c>
      <c r="B29" s="462" t="s">
        <v>119</v>
      </c>
      <c r="C29" s="463">
        <f>'[1]49'!C37</f>
        <v>35100</v>
      </c>
      <c r="E29" s="453"/>
    </row>
    <row r="30" spans="1:7">
      <c r="A30" s="454" t="s">
        <v>33</v>
      </c>
      <c r="B30" s="455" t="s">
        <v>550</v>
      </c>
      <c r="C30" s="459"/>
    </row>
    <row r="31" spans="1:7">
      <c r="A31" s="454" t="s">
        <v>121</v>
      </c>
      <c r="B31" s="455" t="s">
        <v>551</v>
      </c>
      <c r="C31" s="456">
        <f>C9-C19</f>
        <v>-2033849.8000000007</v>
      </c>
      <c r="F31" s="453"/>
    </row>
    <row r="32" spans="1:7">
      <c r="A32" s="454" t="s">
        <v>552</v>
      </c>
      <c r="B32" s="455" t="s">
        <v>553</v>
      </c>
      <c r="C32" s="456">
        <f>SUM(C33:C34)</f>
        <v>45500</v>
      </c>
    </row>
    <row r="33" spans="1:10">
      <c r="A33" s="454" t="s">
        <v>16</v>
      </c>
      <c r="B33" s="455" t="s">
        <v>554</v>
      </c>
      <c r="C33" s="459">
        <f>'[1]04'!D24</f>
        <v>8000</v>
      </c>
    </row>
    <row r="34" spans="1:10" ht="37.5">
      <c r="A34" s="454" t="s">
        <v>26</v>
      </c>
      <c r="B34" s="455" t="s">
        <v>555</v>
      </c>
      <c r="C34" s="459">
        <f>'[1]04'!D25</f>
        <v>37500</v>
      </c>
    </row>
    <row r="35" spans="1:10" s="447" customFormat="1">
      <c r="A35" s="454" t="s">
        <v>556</v>
      </c>
      <c r="B35" s="455" t="s">
        <v>557</v>
      </c>
      <c r="C35" s="456">
        <f t="shared" ref="C35" si="2">C36+C37</f>
        <v>8000</v>
      </c>
    </row>
    <row r="36" spans="1:10">
      <c r="A36" s="454" t="s">
        <v>16</v>
      </c>
      <c r="B36" s="455" t="s">
        <v>558</v>
      </c>
      <c r="C36" s="459">
        <f>'[1]04'!D30</f>
        <v>0</v>
      </c>
    </row>
    <row r="37" spans="1:10">
      <c r="A37" s="464" t="s">
        <v>26</v>
      </c>
      <c r="B37" s="465" t="s">
        <v>559</v>
      </c>
      <c r="C37" s="466">
        <f>'[1]04'!D31</f>
        <v>8000</v>
      </c>
    </row>
    <row r="38" spans="1:10" ht="19.5" hidden="1">
      <c r="A38" s="534" t="s">
        <v>1326</v>
      </c>
      <c r="B38" s="534"/>
      <c r="C38" s="534"/>
      <c r="D38" s="467"/>
      <c r="E38" s="467"/>
      <c r="F38" s="467"/>
      <c r="G38" s="467"/>
      <c r="H38" s="467"/>
      <c r="I38" s="467"/>
      <c r="J38" s="467"/>
    </row>
    <row r="39" spans="1:10" hidden="1">
      <c r="A39" s="528" t="s">
        <v>560</v>
      </c>
      <c r="B39" s="528"/>
      <c r="C39" s="528"/>
      <c r="D39" s="448"/>
      <c r="E39" s="448"/>
      <c r="F39" s="448"/>
      <c r="G39" s="448"/>
      <c r="H39" s="448"/>
      <c r="I39" s="448"/>
      <c r="J39" s="448"/>
    </row>
    <row r="40" spans="1:10" hidden="1">
      <c r="A40" s="528" t="s">
        <v>561</v>
      </c>
      <c r="B40" s="528"/>
      <c r="C40" s="528"/>
      <c r="D40" s="448"/>
      <c r="E40" s="448"/>
      <c r="F40" s="448"/>
      <c r="G40" s="448"/>
      <c r="H40" s="448"/>
      <c r="I40" s="448"/>
      <c r="J40" s="468"/>
    </row>
    <row r="41" spans="1:10" ht="19.5" hidden="1">
      <c r="A41" s="534" t="s">
        <v>1326</v>
      </c>
      <c r="B41" s="534"/>
      <c r="C41" s="534"/>
      <c r="D41" s="467"/>
      <c r="E41" s="467"/>
      <c r="F41" s="467"/>
      <c r="G41" s="467"/>
      <c r="H41" s="467"/>
      <c r="I41" s="467"/>
      <c r="J41" s="467"/>
    </row>
    <row r="42" spans="1:10" hidden="1">
      <c r="A42" s="528" t="s">
        <v>560</v>
      </c>
      <c r="B42" s="528"/>
      <c r="C42" s="528"/>
      <c r="D42" s="448"/>
      <c r="E42" s="448"/>
      <c r="F42" s="448"/>
      <c r="G42" s="448"/>
      <c r="H42" s="448"/>
      <c r="I42" s="448"/>
      <c r="J42" s="448"/>
    </row>
    <row r="43" spans="1:10" hidden="1">
      <c r="A43" s="528" t="s">
        <v>561</v>
      </c>
      <c r="B43" s="528"/>
      <c r="C43" s="528"/>
      <c r="D43" s="448"/>
      <c r="E43" s="448"/>
      <c r="F43" s="448"/>
      <c r="G43" s="448"/>
      <c r="H43" s="448"/>
      <c r="I43" s="448"/>
      <c r="J43" s="468"/>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tabSelected="1" workbookViewId="0">
      <selection activeCell="A3" sqref="A3:C3"/>
    </sheetView>
  </sheetViews>
  <sheetFormatPr defaultColWidth="9.140625" defaultRowHeight="18.75"/>
  <cols>
    <col min="1" max="1" width="6.28515625" style="217" customWidth="1"/>
    <col min="2" max="2" width="48.7109375" style="217" customWidth="1"/>
    <col min="3" max="3" width="20.140625" style="217" customWidth="1"/>
    <col min="4" max="16384" width="9.140625" style="217"/>
  </cols>
  <sheetData>
    <row r="1" spans="1:3" ht="28.5" customHeight="1">
      <c r="A1" s="540" t="s">
        <v>525</v>
      </c>
      <c r="B1" s="540"/>
      <c r="C1" s="214" t="s">
        <v>528</v>
      </c>
    </row>
    <row r="2" spans="1:3" ht="49.5" customHeight="1">
      <c r="A2" s="537" t="s">
        <v>508</v>
      </c>
      <c r="B2" s="537"/>
      <c r="C2" s="537"/>
    </row>
    <row r="3" spans="1:3" ht="41.25" customHeight="1">
      <c r="A3" s="538" t="str">
        <f>'46,'!A4:C4</f>
        <v>(Kèm theo Quyết định số ………../QĐ-UBND ngày    /12/2018 của Ủy ban nhân dân tỉnh Tiền Giang)</v>
      </c>
      <c r="B3" s="538"/>
      <c r="C3" s="538"/>
    </row>
    <row r="4" spans="1:3">
      <c r="A4" s="218"/>
      <c r="B4" s="541" t="s">
        <v>221</v>
      </c>
      <c r="C4" s="541"/>
    </row>
    <row r="5" spans="1:3">
      <c r="A5" s="218"/>
      <c r="B5" s="231"/>
      <c r="C5" s="231"/>
    </row>
    <row r="6" spans="1:3">
      <c r="A6" s="539" t="s">
        <v>4</v>
      </c>
      <c r="B6" s="539" t="s">
        <v>5</v>
      </c>
      <c r="C6" s="539" t="s">
        <v>537</v>
      </c>
    </row>
    <row r="7" spans="1:3">
      <c r="A7" s="539"/>
      <c r="B7" s="539"/>
      <c r="C7" s="539"/>
    </row>
    <row r="8" spans="1:3" hidden="1">
      <c r="A8" s="219" t="s">
        <v>11</v>
      </c>
      <c r="B8" s="219" t="s">
        <v>12</v>
      </c>
      <c r="C8" s="219">
        <v>3</v>
      </c>
    </row>
    <row r="9" spans="1:3" s="222" customFormat="1">
      <c r="A9" s="220" t="s">
        <v>11</v>
      </c>
      <c r="B9" s="221" t="s">
        <v>370</v>
      </c>
      <c r="C9" s="221"/>
    </row>
    <row r="10" spans="1:3" s="222" customFormat="1">
      <c r="A10" s="223" t="s">
        <v>16</v>
      </c>
      <c r="B10" s="224" t="s">
        <v>17</v>
      </c>
      <c r="C10" s="224">
        <f t="shared" ref="C10" si="0">C11+C12+C15+C16+C17</f>
        <v>9861453</v>
      </c>
    </row>
    <row r="11" spans="1:3">
      <c r="A11" s="225">
        <v>1</v>
      </c>
      <c r="B11" s="226" t="s">
        <v>18</v>
      </c>
      <c r="C11" s="226">
        <v>6528473</v>
      </c>
    </row>
    <row r="12" spans="1:3">
      <c r="A12" s="225">
        <v>2</v>
      </c>
      <c r="B12" s="226" t="s">
        <v>19</v>
      </c>
      <c r="C12" s="226">
        <f t="shared" ref="C12" si="1">SUM(C13:C14)</f>
        <v>3332980</v>
      </c>
    </row>
    <row r="13" spans="1:3">
      <c r="A13" s="225" t="s">
        <v>20</v>
      </c>
      <c r="B13" s="226" t="s">
        <v>21</v>
      </c>
      <c r="C13" s="226">
        <f>1904237+38000</f>
        <v>1942237</v>
      </c>
    </row>
    <row r="14" spans="1:3">
      <c r="A14" s="225" t="s">
        <v>20</v>
      </c>
      <c r="B14" s="226" t="s">
        <v>22</v>
      </c>
      <c r="C14" s="226">
        <v>1390743</v>
      </c>
    </row>
    <row r="15" spans="1:3">
      <c r="A15" s="225">
        <v>3</v>
      </c>
      <c r="B15" s="226" t="s">
        <v>480</v>
      </c>
      <c r="C15" s="226"/>
    </row>
    <row r="16" spans="1:3">
      <c r="A16" s="225">
        <v>4</v>
      </c>
      <c r="B16" s="226" t="s">
        <v>36</v>
      </c>
      <c r="C16" s="226"/>
    </row>
    <row r="17" spans="1:3" ht="37.5">
      <c r="A17" s="225">
        <v>5</v>
      </c>
      <c r="B17" s="226" t="s">
        <v>25</v>
      </c>
      <c r="C17" s="226"/>
    </row>
    <row r="18" spans="1:3" s="222" customFormat="1">
      <c r="A18" s="223" t="s">
        <v>26</v>
      </c>
      <c r="B18" s="224" t="s">
        <v>233</v>
      </c>
      <c r="C18" s="224">
        <f t="shared" ref="C18" si="2">C19+C20+C23</f>
        <v>9823953</v>
      </c>
    </row>
    <row r="19" spans="1:3">
      <c r="A19" s="225">
        <v>1</v>
      </c>
      <c r="B19" s="226" t="s">
        <v>399</v>
      </c>
      <c r="C19" s="226">
        <v>5724711</v>
      </c>
    </row>
    <row r="20" spans="1:3">
      <c r="A20" s="225">
        <v>2</v>
      </c>
      <c r="B20" s="226" t="s">
        <v>29</v>
      </c>
      <c r="C20" s="226">
        <f t="shared" ref="C20" si="3">SUM(C21:C22)</f>
        <v>4099242</v>
      </c>
    </row>
    <row r="21" spans="1:3">
      <c r="A21" s="225" t="s">
        <v>20</v>
      </c>
      <c r="B21" s="226" t="s">
        <v>30</v>
      </c>
      <c r="C21" s="226">
        <f>'55'!H9</f>
        <v>3089500</v>
      </c>
    </row>
    <row r="22" spans="1:3">
      <c r="A22" s="225" t="s">
        <v>20</v>
      </c>
      <c r="B22" s="226" t="s">
        <v>31</v>
      </c>
      <c r="C22" s="226">
        <f>'56'!C9</f>
        <v>1009742</v>
      </c>
    </row>
    <row r="23" spans="1:3">
      <c r="A23" s="225">
        <v>3</v>
      </c>
      <c r="B23" s="226" t="s">
        <v>32</v>
      </c>
      <c r="C23" s="226"/>
    </row>
    <row r="24" spans="1:3" s="222" customFormat="1">
      <c r="A24" s="223" t="s">
        <v>33</v>
      </c>
      <c r="B24" s="224" t="s">
        <v>400</v>
      </c>
      <c r="C24" s="224">
        <f>C10-C18</f>
        <v>37500</v>
      </c>
    </row>
    <row r="25" spans="1:3" s="222" customFormat="1">
      <c r="A25" s="223" t="s">
        <v>12</v>
      </c>
      <c r="B25" s="224" t="s">
        <v>371</v>
      </c>
      <c r="C25" s="224"/>
    </row>
    <row r="26" spans="1:3" s="222" customFormat="1">
      <c r="A26" s="223" t="s">
        <v>16</v>
      </c>
      <c r="B26" s="224" t="s">
        <v>17</v>
      </c>
      <c r="C26" s="224">
        <f t="shared" ref="C26" si="4">C27+C28+C31+C32</f>
        <v>5657867</v>
      </c>
    </row>
    <row r="27" spans="1:3">
      <c r="A27" s="225">
        <v>1</v>
      </c>
      <c r="B27" s="226" t="s">
        <v>18</v>
      </c>
      <c r="C27" s="226">
        <f>'55'!D9</f>
        <v>1558625</v>
      </c>
    </row>
    <row r="28" spans="1:3">
      <c r="A28" s="225">
        <v>2</v>
      </c>
      <c r="B28" s="226" t="s">
        <v>234</v>
      </c>
      <c r="C28" s="226">
        <f t="shared" ref="C28" si="5">SUM(C29:C30)</f>
        <v>4099242</v>
      </c>
    </row>
    <row r="29" spans="1:3">
      <c r="A29" s="225" t="s">
        <v>20</v>
      </c>
      <c r="B29" s="226" t="s">
        <v>21</v>
      </c>
      <c r="C29" s="226">
        <f>C21</f>
        <v>3089500</v>
      </c>
    </row>
    <row r="30" spans="1:3">
      <c r="A30" s="225" t="s">
        <v>20</v>
      </c>
      <c r="B30" s="226" t="s">
        <v>22</v>
      </c>
      <c r="C30" s="226">
        <f>C22</f>
        <v>1009742</v>
      </c>
    </row>
    <row r="31" spans="1:3">
      <c r="A31" s="225">
        <v>3</v>
      </c>
      <c r="B31" s="226" t="s">
        <v>24</v>
      </c>
      <c r="C31" s="226"/>
    </row>
    <row r="32" spans="1:3" ht="37.5">
      <c r="A32" s="225">
        <v>4</v>
      </c>
      <c r="B32" s="226" t="s">
        <v>25</v>
      </c>
      <c r="C32" s="226"/>
    </row>
    <row r="33" spans="1:3" s="222" customFormat="1">
      <c r="A33" s="223" t="s">
        <v>26</v>
      </c>
      <c r="B33" s="224" t="s">
        <v>233</v>
      </c>
      <c r="C33" s="224">
        <f t="shared" ref="C33" si="6">C34+C35+C38</f>
        <v>5657867</v>
      </c>
    </row>
    <row r="34" spans="1:3">
      <c r="A34" s="225">
        <v>1</v>
      </c>
      <c r="B34" s="226" t="s">
        <v>401</v>
      </c>
      <c r="C34" s="226">
        <v>5657867</v>
      </c>
    </row>
    <row r="35" spans="1:3" hidden="1">
      <c r="A35" s="225">
        <v>2</v>
      </c>
      <c r="B35" s="226" t="s">
        <v>235</v>
      </c>
      <c r="C35" s="226">
        <f t="shared" ref="C35" si="7">SUM(C36:C37)</f>
        <v>0</v>
      </c>
    </row>
    <row r="36" spans="1:3" hidden="1">
      <c r="A36" s="225" t="s">
        <v>20</v>
      </c>
      <c r="B36" s="226" t="s">
        <v>30</v>
      </c>
      <c r="C36" s="226"/>
    </row>
    <row r="37" spans="1:3" hidden="1">
      <c r="A37" s="225" t="s">
        <v>20</v>
      </c>
      <c r="B37" s="226" t="s">
        <v>31</v>
      </c>
      <c r="C37" s="226"/>
    </row>
    <row r="38" spans="1:3">
      <c r="A38" s="227">
        <v>2</v>
      </c>
      <c r="B38" s="228" t="s">
        <v>32</v>
      </c>
      <c r="C38" s="228"/>
    </row>
    <row r="39" spans="1:3" ht="19.5" hidden="1">
      <c r="A39" s="535" t="s">
        <v>536</v>
      </c>
      <c r="B39" s="535"/>
      <c r="C39" s="535"/>
    </row>
    <row r="40" spans="1:3" hidden="1">
      <c r="A40" s="536" t="s">
        <v>236</v>
      </c>
      <c r="B40" s="536"/>
      <c r="C40" s="536"/>
    </row>
    <row r="41" spans="1:3" hidden="1">
      <c r="A41" s="536" t="s">
        <v>481</v>
      </c>
      <c r="B41" s="536"/>
      <c r="C41" s="536"/>
    </row>
    <row r="42" spans="1:3">
      <c r="A42" s="229"/>
    </row>
  </sheetData>
  <mergeCells count="10">
    <mergeCell ref="A1:B1"/>
    <mergeCell ref="B4:C4"/>
    <mergeCell ref="A39:C39"/>
    <mergeCell ref="A40:C40"/>
    <mergeCell ref="A41:C41"/>
    <mergeCell ref="A2:C2"/>
    <mergeCell ref="A3:C3"/>
    <mergeCell ref="A6:A7"/>
    <mergeCell ref="B6:B7"/>
    <mergeCell ref="C6:C7"/>
  </mergeCells>
  <pageMargins left="1" right="1"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542"/>
      <c r="S1" s="542"/>
      <c r="T1" s="542" t="s">
        <v>490</v>
      </c>
      <c r="U1" s="542"/>
      <c r="V1" s="542"/>
      <c r="AA1" s="542" t="s">
        <v>244</v>
      </c>
      <c r="AB1" s="542"/>
    </row>
    <row r="2" spans="1:28" ht="18.75" customHeight="1">
      <c r="A2" s="542" t="s">
        <v>509</v>
      </c>
      <c r="B2" s="542"/>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row>
    <row r="3" spans="1:28">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row>
    <row r="4" spans="1:28">
      <c r="A4" s="105"/>
      <c r="R4" s="543" t="s">
        <v>245</v>
      </c>
      <c r="S4" s="543"/>
      <c r="T4" s="543"/>
      <c r="U4" s="543"/>
      <c r="AA4" s="543" t="s">
        <v>245</v>
      </c>
      <c r="AB4" s="543"/>
    </row>
    <row r="5" spans="1:28">
      <c r="A5" s="545" t="s">
        <v>4</v>
      </c>
      <c r="B5" s="546" t="s">
        <v>505</v>
      </c>
      <c r="C5" s="545" t="s">
        <v>70</v>
      </c>
      <c r="D5" s="546" t="s">
        <v>482</v>
      </c>
      <c r="E5" s="545" t="s">
        <v>46</v>
      </c>
      <c r="F5" s="545"/>
      <c r="G5" s="545"/>
      <c r="H5" s="545"/>
      <c r="I5" s="545"/>
      <c r="J5" s="545"/>
      <c r="K5" s="545"/>
      <c r="L5" s="545"/>
      <c r="M5" s="545"/>
      <c r="N5" s="545"/>
      <c r="O5" s="545"/>
      <c r="P5" s="545"/>
      <c r="Q5" s="545"/>
      <c r="R5" s="545"/>
      <c r="S5" s="545"/>
      <c r="T5" s="545"/>
      <c r="U5" s="546" t="s">
        <v>349</v>
      </c>
      <c r="V5" s="546" t="s">
        <v>483</v>
      </c>
      <c r="W5" s="545" t="s">
        <v>46</v>
      </c>
      <c r="X5" s="545"/>
      <c r="Y5" s="545"/>
      <c r="Z5" s="545"/>
      <c r="AA5" s="545"/>
      <c r="AB5" s="545"/>
    </row>
    <row r="6" spans="1:28" ht="126" customHeight="1">
      <c r="A6" s="545"/>
      <c r="B6" s="547"/>
      <c r="C6" s="545"/>
      <c r="D6" s="547"/>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547"/>
      <c r="V6" s="547"/>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548" t="s">
        <v>354</v>
      </c>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8"/>
      <c r="AB23" s="548"/>
    </row>
    <row r="24" spans="1:28" hidden="1">
      <c r="A24" s="549" t="s">
        <v>80</v>
      </c>
      <c r="B24" s="549"/>
      <c r="C24" s="549"/>
      <c r="D24" s="549"/>
      <c r="E24" s="549"/>
      <c r="F24" s="549"/>
      <c r="G24" s="549"/>
      <c r="H24" s="549"/>
      <c r="I24" s="549"/>
      <c r="J24" s="549"/>
      <c r="K24" s="549"/>
      <c r="L24" s="549"/>
      <c r="M24" s="549"/>
      <c r="N24" s="549"/>
      <c r="O24" s="549"/>
      <c r="P24" s="549"/>
      <c r="Q24" s="549"/>
      <c r="R24" s="549"/>
      <c r="S24" s="549"/>
      <c r="T24" s="549"/>
      <c r="U24" s="549"/>
      <c r="V24" s="549"/>
      <c r="W24" s="549"/>
      <c r="X24" s="549"/>
      <c r="Y24" s="549"/>
      <c r="Z24" s="549"/>
      <c r="AA24" s="549"/>
      <c r="AB24" s="549"/>
    </row>
    <row r="25" spans="1:28" hidden="1">
      <c r="A25" s="549" t="s">
        <v>81</v>
      </c>
      <c r="B25" s="549"/>
      <c r="C25" s="549"/>
      <c r="D25" s="549"/>
      <c r="E25" s="549"/>
      <c r="F25" s="549"/>
      <c r="G25" s="549"/>
      <c r="H25" s="549"/>
      <c r="I25" s="549"/>
      <c r="J25" s="549"/>
      <c r="K25" s="549"/>
      <c r="L25" s="549"/>
      <c r="M25" s="549"/>
      <c r="N25" s="549"/>
      <c r="O25" s="549"/>
      <c r="P25" s="549"/>
      <c r="Q25" s="549"/>
      <c r="R25" s="549"/>
      <c r="S25" s="549"/>
      <c r="T25" s="549"/>
      <c r="U25" s="549"/>
      <c r="V25" s="549"/>
      <c r="W25" s="549"/>
      <c r="X25" s="549"/>
      <c r="Y25" s="549"/>
      <c r="Z25" s="549"/>
      <c r="AA25" s="549"/>
      <c r="AB25" s="549"/>
    </row>
    <row r="26" spans="1:28">
      <c r="A26" s="121"/>
    </row>
    <row r="62" spans="1:1">
      <c r="A62" s="121"/>
    </row>
  </sheetData>
  <mergeCells count="19">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 ref="R4:S4"/>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550" t="s">
        <v>491</v>
      </c>
      <c r="E1" s="550"/>
      <c r="F1" s="126"/>
    </row>
    <row r="2" spans="1:7" ht="36" customHeight="1">
      <c r="A2" s="542" t="s">
        <v>510</v>
      </c>
      <c r="B2" s="542"/>
      <c r="C2" s="542"/>
      <c r="D2" s="542"/>
      <c r="E2" s="542"/>
    </row>
    <row r="3" spans="1:7">
      <c r="A3" s="544" t="str">
        <f>'47'!A3:C3</f>
        <v>(Kèm theo Quyết định số ………../QĐ-UBND ngày    /12/2018 của Ủy ban nhân dân tỉnh Tiền Giang)</v>
      </c>
      <c r="B3" s="544"/>
      <c r="C3" s="544"/>
      <c r="D3" s="544"/>
      <c r="E3" s="544"/>
    </row>
    <row r="4" spans="1:7">
      <c r="A4" s="105"/>
      <c r="D4" s="551" t="s">
        <v>3</v>
      </c>
      <c r="E4" s="551"/>
    </row>
    <row r="5" spans="1:7" s="183" customFormat="1">
      <c r="A5" s="545" t="s">
        <v>4</v>
      </c>
      <c r="B5" s="545" t="s">
        <v>222</v>
      </c>
      <c r="C5" s="545" t="s">
        <v>88</v>
      </c>
      <c r="D5" s="545" t="s">
        <v>46</v>
      </c>
      <c r="E5" s="545"/>
    </row>
    <row r="6" spans="1:7" s="183" customFormat="1" ht="25.5">
      <c r="A6" s="545"/>
      <c r="B6" s="545"/>
      <c r="C6" s="545"/>
      <c r="D6" s="181" t="s">
        <v>402</v>
      </c>
      <c r="E6" s="181" t="s">
        <v>403</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502</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404</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503</v>
      </c>
      <c r="C24" s="140">
        <f t="shared" si="1"/>
        <v>33624</v>
      </c>
      <c r="D24" s="137">
        <v>33308</v>
      </c>
      <c r="E24" s="137">
        <f>'08'!N10</f>
        <v>316</v>
      </c>
    </row>
    <row r="25" spans="1:7" s="136" customFormat="1" ht="27">
      <c r="A25" s="133" t="s">
        <v>33</v>
      </c>
      <c r="B25" s="134" t="s">
        <v>504</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405</v>
      </c>
      <c r="C30" s="142">
        <f t="shared" si="1"/>
        <v>970256</v>
      </c>
      <c r="D30" s="142">
        <v>970256</v>
      </c>
      <c r="E30" s="142"/>
    </row>
    <row r="31" spans="1:7" s="136" customFormat="1" ht="27">
      <c r="A31" s="133" t="s">
        <v>26</v>
      </c>
      <c r="B31" s="134" t="s">
        <v>406</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407</v>
      </c>
      <c r="C33" s="137">
        <f>C34+C35</f>
        <v>210500</v>
      </c>
      <c r="D33" s="137">
        <f>D34+D35</f>
        <v>210500</v>
      </c>
      <c r="E33" s="137">
        <f>E34+E35</f>
        <v>0</v>
      </c>
    </row>
    <row r="34" spans="1:5" s="141" customFormat="1">
      <c r="A34" s="139"/>
      <c r="B34" s="138" t="s">
        <v>408</v>
      </c>
      <c r="C34" s="140">
        <f t="shared" ref="C34:C35" si="2">D34+E34</f>
        <v>162300</v>
      </c>
      <c r="D34" s="140">
        <v>162300</v>
      </c>
      <c r="E34" s="140"/>
    </row>
    <row r="35" spans="1:5" s="141" customFormat="1">
      <c r="A35" s="139"/>
      <c r="B35" s="138" t="s">
        <v>409</v>
      </c>
      <c r="C35" s="140">
        <f t="shared" si="2"/>
        <v>48200</v>
      </c>
      <c r="D35" s="140">
        <v>48200</v>
      </c>
      <c r="E35" s="140"/>
    </row>
    <row r="36" spans="1:5">
      <c r="A36" s="112">
        <v>2</v>
      </c>
      <c r="B36" s="114" t="s">
        <v>410</v>
      </c>
      <c r="C36" s="137">
        <f>C37+C38</f>
        <v>71225</v>
      </c>
      <c r="D36" s="137">
        <f>D37+D38</f>
        <v>71225</v>
      </c>
      <c r="E36" s="137">
        <f>E37+E38</f>
        <v>0</v>
      </c>
    </row>
    <row r="37" spans="1:5" s="141" customFormat="1">
      <c r="A37" s="139"/>
      <c r="B37" s="138" t="s">
        <v>408</v>
      </c>
      <c r="C37" s="140">
        <f t="shared" ref="C37:C38" si="3">D37+E37</f>
        <v>53409</v>
      </c>
      <c r="D37" s="140">
        <v>53409</v>
      </c>
      <c r="E37" s="140"/>
    </row>
    <row r="38" spans="1:5" s="141" customFormat="1">
      <c r="A38" s="139"/>
      <c r="B38" s="138" t="s">
        <v>409</v>
      </c>
      <c r="C38" s="140">
        <f t="shared" si="3"/>
        <v>17816</v>
      </c>
      <c r="D38" s="140">
        <v>17816</v>
      </c>
      <c r="E38" s="140"/>
    </row>
    <row r="39" spans="1:5">
      <c r="A39" s="143" t="s">
        <v>121</v>
      </c>
      <c r="B39" s="144" t="s">
        <v>122</v>
      </c>
      <c r="C39" s="145">
        <f>D39+E39</f>
        <v>0</v>
      </c>
      <c r="D39" s="145"/>
      <c r="E39" s="145"/>
    </row>
    <row r="40" spans="1:5" ht="48.75" hidden="1" customHeight="1">
      <c r="A40" s="548" t="s">
        <v>360</v>
      </c>
      <c r="B40" s="548"/>
      <c r="C40" s="548"/>
      <c r="D40" s="548"/>
      <c r="E40" s="548"/>
    </row>
    <row r="41" spans="1:5" ht="29.25" hidden="1" customHeight="1">
      <c r="A41" s="549" t="s">
        <v>252</v>
      </c>
      <c r="B41" s="549"/>
      <c r="C41" s="549"/>
      <c r="D41" s="549"/>
      <c r="E41" s="549"/>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A3" sqref="A3:C3"/>
    </sheetView>
  </sheetViews>
  <sheetFormatPr defaultColWidth="9.140625" defaultRowHeight="18.75"/>
  <cols>
    <col min="1" max="1" width="5.42578125" style="469" customWidth="1"/>
    <col min="2" max="2" width="47" style="469" customWidth="1"/>
    <col min="3" max="4" width="16.5703125" style="469" customWidth="1"/>
    <col min="5" max="5" width="9.140625" style="469"/>
    <col min="6" max="6" width="10.140625" style="469" bestFit="1" customWidth="1"/>
    <col min="7" max="7" width="10.140625" style="446" bestFit="1" customWidth="1"/>
    <col min="8" max="16384" width="9.140625" style="469"/>
  </cols>
  <sheetData>
    <row r="1" spans="1:8">
      <c r="C1" s="529" t="s">
        <v>562</v>
      </c>
      <c r="D1" s="529"/>
    </row>
    <row r="2" spans="1:8">
      <c r="A2" s="470" t="s">
        <v>525</v>
      </c>
    </row>
    <row r="3" spans="1:8">
      <c r="A3" s="553" t="s">
        <v>563</v>
      </c>
      <c r="B3" s="553"/>
      <c r="C3" s="553"/>
      <c r="D3" s="553"/>
      <c r="E3" s="243"/>
      <c r="F3" s="243"/>
    </row>
    <row r="4" spans="1:8">
      <c r="A4" s="554" t="str">
        <f>'46,'!A4:C4</f>
        <v>(Kèm theo Quyết định số ………../QĐ-UBND ngày    /12/2018 của Ủy ban nhân dân tỉnh Tiền Giang)</v>
      </c>
      <c r="B4" s="554"/>
      <c r="C4" s="554"/>
      <c r="D4" s="554"/>
      <c r="E4" s="471"/>
      <c r="F4" s="471"/>
    </row>
    <row r="5" spans="1:8">
      <c r="C5" s="555" t="s">
        <v>3</v>
      </c>
      <c r="D5" s="555"/>
    </row>
    <row r="6" spans="1:8">
      <c r="A6" s="556" t="s">
        <v>4</v>
      </c>
      <c r="B6" s="556" t="s">
        <v>5</v>
      </c>
      <c r="C6" s="556" t="s">
        <v>1329</v>
      </c>
      <c r="D6" s="556"/>
    </row>
    <row r="7" spans="1:8" ht="37.5">
      <c r="A7" s="556"/>
      <c r="B7" s="556"/>
      <c r="C7" s="472" t="s">
        <v>564</v>
      </c>
      <c r="D7" s="472" t="s">
        <v>565</v>
      </c>
    </row>
    <row r="8" spans="1:8" hidden="1">
      <c r="A8" s="472" t="s">
        <v>11</v>
      </c>
      <c r="B8" s="472" t="s">
        <v>12</v>
      </c>
      <c r="C8" s="472">
        <v>3</v>
      </c>
      <c r="D8" s="472">
        <v>4</v>
      </c>
    </row>
    <row r="9" spans="1:8">
      <c r="A9" s="473"/>
      <c r="B9" s="474" t="s">
        <v>566</v>
      </c>
      <c r="C9" s="475">
        <f t="shared" ref="C9:D9" si="0">C10+C43</f>
        <v>9305500</v>
      </c>
      <c r="D9" s="475">
        <f t="shared" si="0"/>
        <v>8087098</v>
      </c>
      <c r="F9" s="476"/>
      <c r="G9" s="453"/>
    </row>
    <row r="10" spans="1:8">
      <c r="A10" s="477" t="s">
        <v>16</v>
      </c>
      <c r="B10" s="478" t="s">
        <v>48</v>
      </c>
      <c r="C10" s="479">
        <f t="shared" ref="C10" si="1">SUM(C11:C41)</f>
        <v>8925000</v>
      </c>
      <c r="D10" s="479">
        <f>SUM(D11:D41)</f>
        <v>8087098</v>
      </c>
      <c r="F10" s="476"/>
      <c r="G10" s="453"/>
      <c r="H10" s="476"/>
    </row>
    <row r="11" spans="1:8" ht="37.5">
      <c r="A11" s="480">
        <v>1</v>
      </c>
      <c r="B11" s="481" t="s">
        <v>567</v>
      </c>
      <c r="C11" s="482">
        <v>155000</v>
      </c>
      <c r="D11" s="482">
        <f>C11</f>
        <v>155000</v>
      </c>
      <c r="G11" s="453"/>
    </row>
    <row r="12" spans="1:8" hidden="1">
      <c r="A12" s="480"/>
      <c r="B12" s="481" t="s">
        <v>568</v>
      </c>
      <c r="C12" s="482"/>
      <c r="D12" s="482"/>
      <c r="G12" s="453"/>
    </row>
    <row r="13" spans="1:8" ht="37.5">
      <c r="A13" s="480">
        <v>2</v>
      </c>
      <c r="B13" s="481" t="s">
        <v>569</v>
      </c>
      <c r="C13" s="482">
        <v>140000</v>
      </c>
      <c r="D13" s="482">
        <f t="shared" ref="D13:D36" si="2">C13</f>
        <v>140000</v>
      </c>
      <c r="F13" s="476"/>
      <c r="G13" s="453"/>
    </row>
    <row r="14" spans="1:8" hidden="1">
      <c r="A14" s="480"/>
      <c r="B14" s="481" t="s">
        <v>570</v>
      </c>
      <c r="C14" s="482"/>
      <c r="D14" s="482"/>
      <c r="G14" s="453"/>
    </row>
    <row r="15" spans="1:8" ht="37.5">
      <c r="A15" s="480">
        <v>3</v>
      </c>
      <c r="B15" s="481" t="s">
        <v>571</v>
      </c>
      <c r="C15" s="482">
        <v>2715000</v>
      </c>
      <c r="D15" s="482">
        <f t="shared" si="2"/>
        <v>2715000</v>
      </c>
      <c r="G15" s="453"/>
    </row>
    <row r="16" spans="1:8" hidden="1">
      <c r="A16" s="480"/>
      <c r="B16" s="481" t="s">
        <v>570</v>
      </c>
      <c r="C16" s="482"/>
      <c r="D16" s="482"/>
      <c r="G16" s="453"/>
    </row>
    <row r="17" spans="1:7">
      <c r="A17" s="480">
        <v>4</v>
      </c>
      <c r="B17" s="481" t="s">
        <v>572</v>
      </c>
      <c r="C17" s="482">
        <v>1290000</v>
      </c>
      <c r="D17" s="482">
        <f t="shared" si="2"/>
        <v>1290000</v>
      </c>
      <c r="G17" s="453"/>
    </row>
    <row r="18" spans="1:7" hidden="1">
      <c r="A18" s="480"/>
      <c r="B18" s="481" t="s">
        <v>570</v>
      </c>
      <c r="C18" s="482"/>
      <c r="D18" s="482"/>
      <c r="G18" s="453"/>
    </row>
    <row r="19" spans="1:7">
      <c r="A19" s="480">
        <v>5</v>
      </c>
      <c r="B19" s="481" t="s">
        <v>573</v>
      </c>
      <c r="C19" s="482">
        <v>700000</v>
      </c>
      <c r="D19" s="482">
        <f t="shared" si="2"/>
        <v>700000</v>
      </c>
      <c r="G19" s="453"/>
    </row>
    <row r="20" spans="1:7">
      <c r="A20" s="480">
        <v>6</v>
      </c>
      <c r="B20" s="481" t="s">
        <v>574</v>
      </c>
      <c r="C20" s="482">
        <v>1150000</v>
      </c>
      <c r="D20" s="482">
        <f>C20*0.372</f>
        <v>427800</v>
      </c>
      <c r="G20" s="453"/>
    </row>
    <row r="21" spans="1:7" ht="37.5">
      <c r="A21" s="480" t="s">
        <v>20</v>
      </c>
      <c r="B21" s="483" t="s">
        <v>575</v>
      </c>
      <c r="C21" s="482"/>
      <c r="D21" s="482"/>
      <c r="G21" s="453"/>
    </row>
    <row r="22" spans="1:7" ht="37.5">
      <c r="A22" s="480" t="s">
        <v>20</v>
      </c>
      <c r="B22" s="483" t="s">
        <v>576</v>
      </c>
      <c r="C22" s="482"/>
      <c r="D22" s="482"/>
      <c r="G22" s="453"/>
    </row>
    <row r="23" spans="1:7">
      <c r="A23" s="480">
        <v>7</v>
      </c>
      <c r="B23" s="481" t="s">
        <v>577</v>
      </c>
      <c r="C23" s="482">
        <v>295000</v>
      </c>
      <c r="D23" s="482">
        <f t="shared" si="2"/>
        <v>295000</v>
      </c>
      <c r="G23" s="453"/>
    </row>
    <row r="24" spans="1:7">
      <c r="A24" s="480">
        <v>8</v>
      </c>
      <c r="B24" s="481" t="s">
        <v>578</v>
      </c>
      <c r="C24" s="482">
        <v>130000</v>
      </c>
      <c r="D24" s="482">
        <f>C24-39000</f>
        <v>91000</v>
      </c>
      <c r="G24" s="453"/>
    </row>
    <row r="25" spans="1:7">
      <c r="A25" s="480" t="s">
        <v>20</v>
      </c>
      <c r="B25" s="483" t="s">
        <v>579</v>
      </c>
      <c r="C25" s="482"/>
      <c r="D25" s="482"/>
      <c r="G25" s="453"/>
    </row>
    <row r="26" spans="1:7">
      <c r="A26" s="480" t="s">
        <v>20</v>
      </c>
      <c r="B26" s="483" t="s">
        <v>580</v>
      </c>
      <c r="C26" s="482"/>
      <c r="D26" s="482"/>
      <c r="G26" s="453"/>
    </row>
    <row r="27" spans="1:7">
      <c r="A27" s="480" t="s">
        <v>20</v>
      </c>
      <c r="B27" s="483" t="s">
        <v>581</v>
      </c>
      <c r="C27" s="482"/>
      <c r="D27" s="482"/>
      <c r="G27" s="453"/>
    </row>
    <row r="28" spans="1:7">
      <c r="A28" s="480" t="s">
        <v>20</v>
      </c>
      <c r="B28" s="483" t="s">
        <v>582</v>
      </c>
      <c r="C28" s="482"/>
      <c r="D28" s="482"/>
      <c r="G28" s="453"/>
    </row>
    <row r="29" spans="1:7">
      <c r="A29" s="480">
        <v>9</v>
      </c>
      <c r="B29" s="481" t="s">
        <v>1327</v>
      </c>
      <c r="C29" s="482"/>
      <c r="D29" s="482">
        <f t="shared" si="2"/>
        <v>0</v>
      </c>
      <c r="G29" s="453"/>
    </row>
    <row r="30" spans="1:7">
      <c r="A30" s="480">
        <v>10</v>
      </c>
      <c r="B30" s="481" t="s">
        <v>1328</v>
      </c>
      <c r="C30" s="482">
        <v>16000</v>
      </c>
      <c r="D30" s="482">
        <f t="shared" ref="D30" si="3">C30</f>
        <v>16000</v>
      </c>
      <c r="G30" s="453"/>
    </row>
    <row r="31" spans="1:7">
      <c r="A31" s="480">
        <v>11</v>
      </c>
      <c r="B31" s="481" t="s">
        <v>583</v>
      </c>
      <c r="C31" s="482">
        <v>70000</v>
      </c>
      <c r="D31" s="482">
        <f t="shared" si="2"/>
        <v>70000</v>
      </c>
      <c r="G31" s="453"/>
    </row>
    <row r="32" spans="1:7">
      <c r="A32" s="480">
        <v>12</v>
      </c>
      <c r="B32" s="481" t="s">
        <v>584</v>
      </c>
      <c r="C32" s="482">
        <v>360000</v>
      </c>
      <c r="D32" s="482">
        <f t="shared" si="2"/>
        <v>360000</v>
      </c>
      <c r="G32" s="453"/>
    </row>
    <row r="33" spans="1:7" ht="37.5">
      <c r="A33" s="480">
        <v>13</v>
      </c>
      <c r="B33" s="481" t="s">
        <v>585</v>
      </c>
      <c r="C33" s="482">
        <v>2000</v>
      </c>
      <c r="D33" s="482">
        <f t="shared" si="2"/>
        <v>2000</v>
      </c>
      <c r="G33" s="453"/>
    </row>
    <row r="34" spans="1:7">
      <c r="A34" s="480">
        <v>14</v>
      </c>
      <c r="B34" s="481" t="s">
        <v>586</v>
      </c>
      <c r="C34" s="482">
        <v>1650000</v>
      </c>
      <c r="D34" s="482">
        <f t="shared" si="2"/>
        <v>1650000</v>
      </c>
      <c r="G34" s="453"/>
    </row>
    <row r="35" spans="1:7" hidden="1">
      <c r="A35" s="480"/>
      <c r="B35" s="481" t="s">
        <v>570</v>
      </c>
      <c r="C35" s="482"/>
      <c r="D35" s="482"/>
      <c r="G35" s="453"/>
    </row>
    <row r="36" spans="1:7">
      <c r="A36" s="480">
        <v>15</v>
      </c>
      <c r="B36" s="481" t="s">
        <v>587</v>
      </c>
      <c r="C36" s="482">
        <v>2000</v>
      </c>
      <c r="D36" s="482">
        <f t="shared" si="2"/>
        <v>2000</v>
      </c>
      <c r="G36" s="453"/>
    </row>
    <row r="37" spans="1:7">
      <c r="A37" s="480">
        <v>16</v>
      </c>
      <c r="B37" s="481" t="s">
        <v>588</v>
      </c>
      <c r="C37" s="482">
        <v>250000</v>
      </c>
      <c r="D37" s="482">
        <f>C37-70000-6702</f>
        <v>173298</v>
      </c>
      <c r="G37" s="453"/>
    </row>
    <row r="38" spans="1:7" ht="37.5">
      <c r="A38" s="480">
        <v>17</v>
      </c>
      <c r="B38" s="481" t="s">
        <v>589</v>
      </c>
      <c r="C38" s="482"/>
      <c r="D38" s="482"/>
      <c r="G38" s="453"/>
    </row>
    <row r="39" spans="1:7">
      <c r="A39" s="480">
        <v>18</v>
      </c>
      <c r="B39" s="481" t="s">
        <v>590</v>
      </c>
      <c r="C39" s="484"/>
      <c r="D39" s="482"/>
      <c r="G39" s="453"/>
    </row>
    <row r="40" spans="1:7" ht="56.25" hidden="1">
      <c r="A40" s="480">
        <v>19</v>
      </c>
      <c r="B40" s="485" t="s">
        <v>591</v>
      </c>
      <c r="C40" s="484"/>
      <c r="D40" s="482"/>
      <c r="G40" s="453"/>
    </row>
    <row r="41" spans="1:7" ht="37.5" hidden="1">
      <c r="A41" s="480">
        <v>20</v>
      </c>
      <c r="B41" s="481" t="s">
        <v>592</v>
      </c>
      <c r="C41" s="484"/>
      <c r="D41" s="482"/>
      <c r="G41" s="453"/>
    </row>
    <row r="42" spans="1:7">
      <c r="A42" s="477" t="s">
        <v>26</v>
      </c>
      <c r="B42" s="478" t="s">
        <v>49</v>
      </c>
      <c r="C42" s="482"/>
      <c r="D42" s="482"/>
      <c r="G42" s="453"/>
    </row>
    <row r="43" spans="1:7">
      <c r="A43" s="477" t="s">
        <v>33</v>
      </c>
      <c r="B43" s="478" t="s">
        <v>593</v>
      </c>
      <c r="C43" s="479">
        <v>380500</v>
      </c>
      <c r="D43" s="479"/>
      <c r="G43" s="453"/>
    </row>
    <row r="44" spans="1:7">
      <c r="A44" s="480">
        <v>1</v>
      </c>
      <c r="B44" s="481" t="s">
        <v>594</v>
      </c>
      <c r="C44" s="482"/>
      <c r="D44" s="482"/>
      <c r="G44" s="453"/>
    </row>
    <row r="45" spans="1:7">
      <c r="A45" s="480">
        <v>2</v>
      </c>
      <c r="B45" s="481" t="s">
        <v>595</v>
      </c>
      <c r="C45" s="482"/>
      <c r="D45" s="482"/>
      <c r="G45" s="453"/>
    </row>
    <row r="46" spans="1:7">
      <c r="A46" s="480">
        <v>3</v>
      </c>
      <c r="B46" s="481" t="s">
        <v>596</v>
      </c>
      <c r="C46" s="482"/>
      <c r="D46" s="482"/>
      <c r="G46" s="453"/>
    </row>
    <row r="47" spans="1:7">
      <c r="A47" s="480">
        <v>4</v>
      </c>
      <c r="B47" s="481" t="s">
        <v>597</v>
      </c>
      <c r="C47" s="482"/>
      <c r="D47" s="482"/>
      <c r="G47" s="453"/>
    </row>
    <row r="48" spans="1:7">
      <c r="A48" s="480">
        <v>5</v>
      </c>
      <c r="B48" s="481" t="s">
        <v>598</v>
      </c>
      <c r="C48" s="482"/>
      <c r="D48" s="482"/>
      <c r="G48" s="453"/>
    </row>
    <row r="49" spans="1:7">
      <c r="A49" s="480">
        <v>6</v>
      </c>
      <c r="B49" s="481" t="s">
        <v>599</v>
      </c>
      <c r="C49" s="482"/>
      <c r="D49" s="482"/>
      <c r="G49" s="453"/>
    </row>
    <row r="50" spans="1:7">
      <c r="A50" s="486" t="s">
        <v>110</v>
      </c>
      <c r="B50" s="487" t="s">
        <v>600</v>
      </c>
      <c r="C50" s="488"/>
      <c r="D50" s="488"/>
    </row>
    <row r="51" spans="1:7" ht="19.5" hidden="1">
      <c r="A51" s="557" t="s">
        <v>601</v>
      </c>
      <c r="B51" s="557"/>
    </row>
    <row r="52" spans="1:7" hidden="1">
      <c r="A52" s="552" t="s">
        <v>602</v>
      </c>
      <c r="B52" s="552"/>
      <c r="C52" s="552"/>
      <c r="D52" s="552"/>
      <c r="E52" s="471"/>
    </row>
    <row r="53" spans="1:7" hidden="1">
      <c r="A53" s="552" t="s">
        <v>603</v>
      </c>
      <c r="B53" s="552"/>
      <c r="C53" s="552"/>
      <c r="D53" s="552"/>
      <c r="E53" s="471"/>
    </row>
    <row r="54" spans="1:7" hidden="1">
      <c r="A54" s="552" t="s">
        <v>604</v>
      </c>
      <c r="B54" s="552"/>
      <c r="C54" s="552"/>
      <c r="D54" s="552"/>
      <c r="E54" s="489"/>
    </row>
    <row r="55" spans="1:7" hidden="1">
      <c r="A55" s="552" t="s">
        <v>605</v>
      </c>
      <c r="B55" s="552"/>
      <c r="C55" s="552"/>
      <c r="D55" s="552"/>
      <c r="E55" s="489"/>
    </row>
    <row r="56" spans="1:7" hidden="1">
      <c r="A56" s="552" t="s">
        <v>606</v>
      </c>
      <c r="B56" s="552"/>
      <c r="C56" s="552"/>
      <c r="D56" s="552"/>
      <c r="E56" s="489"/>
    </row>
    <row r="57" spans="1:7">
      <c r="A57" s="490"/>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3"/>
  <sheetViews>
    <sheetView topLeftCell="A30" workbookViewId="0">
      <selection activeCell="A3" sqref="A3:C3"/>
    </sheetView>
  </sheetViews>
  <sheetFormatPr defaultColWidth="9.140625" defaultRowHeight="18.75"/>
  <cols>
    <col min="1" max="1" width="7.28515625" style="469" customWidth="1"/>
    <col min="2" max="2" width="60.140625" style="469" customWidth="1"/>
    <col min="3" max="3" width="20" style="446" customWidth="1"/>
    <col min="4" max="16384" width="9.140625" style="469"/>
  </cols>
  <sheetData>
    <row r="1" spans="1:4">
      <c r="B1" s="529" t="s">
        <v>607</v>
      </c>
      <c r="C1" s="529"/>
    </row>
    <row r="2" spans="1:4">
      <c r="A2" s="470" t="s">
        <v>525</v>
      </c>
      <c r="C2" s="491"/>
    </row>
    <row r="3" spans="1:4" ht="41.25" customHeight="1">
      <c r="A3" s="559" t="s">
        <v>510</v>
      </c>
      <c r="B3" s="559"/>
      <c r="C3" s="559"/>
      <c r="D3" s="244"/>
    </row>
    <row r="4" spans="1:4">
      <c r="A4" s="560" t="str">
        <f>'46,'!A4:C4</f>
        <v>(Kèm theo Quyết định số ………../QĐ-UBND ngày    /12/2018 của Ủy ban nhân dân tỉnh Tiền Giang)</v>
      </c>
      <c r="B4" s="560"/>
      <c r="C4" s="560"/>
      <c r="D4" s="492"/>
    </row>
    <row r="5" spans="1:4">
      <c r="A5" s="493"/>
    </row>
    <row r="6" spans="1:4">
      <c r="A6" s="556" t="s">
        <v>4</v>
      </c>
      <c r="B6" s="556" t="s">
        <v>5</v>
      </c>
      <c r="C6" s="533" t="s">
        <v>537</v>
      </c>
    </row>
    <row r="7" spans="1:4">
      <c r="A7" s="556"/>
      <c r="B7" s="556"/>
      <c r="C7" s="533"/>
    </row>
    <row r="8" spans="1:4">
      <c r="A8" s="473"/>
      <c r="B8" s="474" t="s">
        <v>95</v>
      </c>
      <c r="C8" s="494">
        <f>C9+C29+C40</f>
        <v>11382578</v>
      </c>
    </row>
    <row r="9" spans="1:4">
      <c r="A9" s="477" t="s">
        <v>11</v>
      </c>
      <c r="B9" s="478" t="s">
        <v>96</v>
      </c>
      <c r="C9" s="495">
        <f>C10+C21+C26+C27+C28+C25</f>
        <v>9991835</v>
      </c>
      <c r="D9" s="476"/>
    </row>
    <row r="10" spans="1:4">
      <c r="A10" s="477" t="s">
        <v>16</v>
      </c>
      <c r="B10" s="478" t="s">
        <v>608</v>
      </c>
      <c r="C10" s="495">
        <f>C11</f>
        <v>2660318</v>
      </c>
    </row>
    <row r="11" spans="1:4">
      <c r="A11" s="480">
        <v>1</v>
      </c>
      <c r="B11" s="481" t="s">
        <v>98</v>
      </c>
      <c r="C11" s="496">
        <f>SUM(C16:C18)</f>
        <v>2660318</v>
      </c>
      <c r="D11" s="476"/>
    </row>
    <row r="12" spans="1:4" hidden="1">
      <c r="A12" s="480"/>
      <c r="B12" s="483" t="s">
        <v>609</v>
      </c>
      <c r="C12" s="496"/>
    </row>
    <row r="13" spans="1:4" hidden="1">
      <c r="A13" s="480" t="s">
        <v>20</v>
      </c>
      <c r="B13" s="483" t="s">
        <v>100</v>
      </c>
      <c r="C13" s="496"/>
      <c r="D13" s="476"/>
    </row>
    <row r="14" spans="1:4" hidden="1">
      <c r="A14" s="480" t="s">
        <v>20</v>
      </c>
      <c r="B14" s="483" t="s">
        <v>101</v>
      </c>
      <c r="C14" s="496"/>
    </row>
    <row r="15" spans="1:4">
      <c r="A15" s="480"/>
      <c r="B15" s="483" t="s">
        <v>102</v>
      </c>
      <c r="C15" s="496"/>
    </row>
    <row r="16" spans="1:4">
      <c r="A16" s="480" t="s">
        <v>20</v>
      </c>
      <c r="B16" s="497" t="s">
        <v>404</v>
      </c>
      <c r="C16" s="496">
        <v>650318</v>
      </c>
    </row>
    <row r="17" spans="1:3">
      <c r="A17" s="480" t="s">
        <v>20</v>
      </c>
      <c r="B17" s="483" t="s">
        <v>610</v>
      </c>
      <c r="C17" s="496">
        <v>360000</v>
      </c>
    </row>
    <row r="18" spans="1:3">
      <c r="A18" s="480" t="s">
        <v>20</v>
      </c>
      <c r="B18" s="483" t="s">
        <v>248</v>
      </c>
      <c r="C18" s="496">
        <f>1505000+145000</f>
        <v>1650000</v>
      </c>
    </row>
    <row r="19" spans="1:3" ht="75">
      <c r="A19" s="480">
        <v>2</v>
      </c>
      <c r="B19" s="481" t="s">
        <v>105</v>
      </c>
      <c r="C19" s="496"/>
    </row>
    <row r="20" spans="1:3">
      <c r="A20" s="480">
        <v>3</v>
      </c>
      <c r="B20" s="481" t="s">
        <v>106</v>
      </c>
      <c r="C20" s="496"/>
    </row>
    <row r="21" spans="1:3">
      <c r="A21" s="477" t="s">
        <v>26</v>
      </c>
      <c r="B21" s="478" t="s">
        <v>107</v>
      </c>
      <c r="C21" s="498">
        <v>6793899</v>
      </c>
    </row>
    <row r="22" spans="1:3">
      <c r="A22" s="480"/>
      <c r="B22" s="483" t="s">
        <v>108</v>
      </c>
      <c r="C22" s="499"/>
    </row>
    <row r="23" spans="1:3">
      <c r="A23" s="480">
        <v>1</v>
      </c>
      <c r="B23" s="483" t="s">
        <v>100</v>
      </c>
      <c r="C23" s="499">
        <v>2960822</v>
      </c>
    </row>
    <row r="24" spans="1:3">
      <c r="A24" s="480">
        <v>2</v>
      </c>
      <c r="B24" s="483" t="s">
        <v>506</v>
      </c>
      <c r="C24" s="499">
        <v>33624</v>
      </c>
    </row>
    <row r="25" spans="1:3" ht="37.5">
      <c r="A25" s="477" t="s">
        <v>33</v>
      </c>
      <c r="B25" s="478" t="s">
        <v>611</v>
      </c>
      <c r="C25" s="498">
        <v>200</v>
      </c>
    </row>
    <row r="26" spans="1:3">
      <c r="A26" s="477" t="s">
        <v>110</v>
      </c>
      <c r="B26" s="478" t="s">
        <v>501</v>
      </c>
      <c r="C26" s="498">
        <v>1000</v>
      </c>
    </row>
    <row r="27" spans="1:3">
      <c r="A27" s="477" t="s">
        <v>112</v>
      </c>
      <c r="B27" s="478" t="s">
        <v>113</v>
      </c>
      <c r="C27" s="498">
        <v>197690</v>
      </c>
    </row>
    <row r="28" spans="1:3">
      <c r="A28" s="477" t="s">
        <v>114</v>
      </c>
      <c r="B28" s="478" t="s">
        <v>115</v>
      </c>
      <c r="C28" s="498">
        <v>338728</v>
      </c>
    </row>
    <row r="29" spans="1:3">
      <c r="A29" s="477" t="s">
        <v>12</v>
      </c>
      <c r="B29" s="478" t="s">
        <v>612</v>
      </c>
      <c r="C29" s="498">
        <f>C30+C37</f>
        <v>1390743</v>
      </c>
    </row>
    <row r="30" spans="1:3" s="446" customFormat="1" ht="19.5">
      <c r="A30" s="461" t="s">
        <v>16</v>
      </c>
      <c r="B30" s="462" t="s">
        <v>117</v>
      </c>
      <c r="C30" s="463">
        <v>281725</v>
      </c>
    </row>
    <row r="31" spans="1:3" s="446" customFormat="1">
      <c r="A31" s="500">
        <v>1</v>
      </c>
      <c r="B31" s="501" t="s">
        <v>407</v>
      </c>
      <c r="C31" s="502">
        <f>C32+C33</f>
        <v>210500</v>
      </c>
    </row>
    <row r="32" spans="1:3" s="506" customFormat="1">
      <c r="A32" s="503"/>
      <c r="B32" s="504" t="s">
        <v>408</v>
      </c>
      <c r="C32" s="505">
        <v>162300</v>
      </c>
    </row>
    <row r="33" spans="1:4" s="506" customFormat="1">
      <c r="A33" s="503"/>
      <c r="B33" s="504" t="s">
        <v>409</v>
      </c>
      <c r="C33" s="505">
        <v>48200</v>
      </c>
    </row>
    <row r="34" spans="1:4" s="446" customFormat="1">
      <c r="A34" s="500">
        <v>2</v>
      </c>
      <c r="B34" s="501" t="s">
        <v>410</v>
      </c>
      <c r="C34" s="502">
        <f>C35+C36</f>
        <v>71225</v>
      </c>
    </row>
    <row r="35" spans="1:4" s="506" customFormat="1">
      <c r="A35" s="503"/>
      <c r="B35" s="504" t="s">
        <v>408</v>
      </c>
      <c r="C35" s="505">
        <v>53409</v>
      </c>
    </row>
    <row r="36" spans="1:4" s="506" customFormat="1">
      <c r="A36" s="503"/>
      <c r="B36" s="504" t="s">
        <v>409</v>
      </c>
      <c r="C36" s="505">
        <v>17816</v>
      </c>
    </row>
    <row r="37" spans="1:4" s="446" customFormat="1" ht="27.75" customHeight="1">
      <c r="A37" s="461" t="s">
        <v>26</v>
      </c>
      <c r="B37" s="462" t="s">
        <v>119</v>
      </c>
      <c r="C37" s="463">
        <f>C38+C39</f>
        <v>1109018</v>
      </c>
    </row>
    <row r="38" spans="1:4" s="446" customFormat="1" ht="37.5">
      <c r="A38" s="500">
        <v>1</v>
      </c>
      <c r="B38" s="501" t="s">
        <v>405</v>
      </c>
      <c r="C38" s="502">
        <v>970256</v>
      </c>
    </row>
    <row r="39" spans="1:4" s="446" customFormat="1" ht="37.5">
      <c r="A39" s="500">
        <v>2</v>
      </c>
      <c r="B39" s="501" t="s">
        <v>406</v>
      </c>
      <c r="C39" s="502">
        <v>138762</v>
      </c>
    </row>
    <row r="40" spans="1:4">
      <c r="A40" s="486" t="s">
        <v>121</v>
      </c>
      <c r="B40" s="487" t="s">
        <v>122</v>
      </c>
      <c r="C40" s="507"/>
    </row>
    <row r="41" spans="1:4" ht="19.5" hidden="1">
      <c r="A41" s="558" t="s">
        <v>1330</v>
      </c>
      <c r="B41" s="558"/>
      <c r="C41" s="558"/>
      <c r="D41" s="508"/>
    </row>
    <row r="42" spans="1:4" hidden="1">
      <c r="A42" s="552" t="s">
        <v>613</v>
      </c>
      <c r="B42" s="552"/>
      <c r="C42" s="552"/>
      <c r="D42" s="471"/>
    </row>
    <row r="43" spans="1:4">
      <c r="A43" s="490"/>
    </row>
  </sheetData>
  <mergeCells count="8">
    <mergeCell ref="A41:C41"/>
    <mergeCell ref="A42:C42"/>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2"/>
  <sheetViews>
    <sheetView topLeftCell="A4" workbookViewId="0">
      <selection activeCell="A3" sqref="A3:C3"/>
    </sheetView>
  </sheetViews>
  <sheetFormatPr defaultColWidth="9.140625" defaultRowHeight="18.75"/>
  <cols>
    <col min="1" max="1" width="7.42578125" style="217" customWidth="1"/>
    <col min="2" max="2" width="63.42578125" style="217" customWidth="1"/>
    <col min="3" max="3" width="17.85546875" style="217" customWidth="1"/>
    <col min="4" max="4" width="9.140625" style="217" hidden="1" customWidth="1"/>
    <col min="5" max="5" width="0" style="217" hidden="1" customWidth="1"/>
    <col min="6" max="6" width="10.140625" style="217" hidden="1" customWidth="1"/>
    <col min="7" max="7" width="0" style="217" hidden="1" customWidth="1"/>
    <col min="8" max="8" width="10.140625" style="217" hidden="1" customWidth="1"/>
    <col min="9" max="9" width="0" style="217" hidden="1" customWidth="1"/>
    <col min="10" max="16384" width="9.140625" style="217"/>
  </cols>
  <sheetData>
    <row r="1" spans="1:4" ht="18.75" customHeight="1">
      <c r="B1" s="561" t="s">
        <v>529</v>
      </c>
      <c r="C1" s="561"/>
      <c r="D1" s="561"/>
    </row>
    <row r="2" spans="1:4" ht="21.75" customHeight="1">
      <c r="A2" s="540" t="str">
        <f>'47'!A1:B1</f>
        <v>UBND TỈNH TIỀN GIANG</v>
      </c>
      <c r="B2" s="540"/>
      <c r="C2" s="542"/>
      <c r="D2" s="542"/>
    </row>
    <row r="3" spans="1:4">
      <c r="A3" s="537" t="s">
        <v>511</v>
      </c>
      <c r="B3" s="537"/>
      <c r="C3" s="537"/>
    </row>
    <row r="4" spans="1:4">
      <c r="A4" s="544" t="str">
        <f>'47'!A3:C3</f>
        <v>(Kèm theo Quyết định số ………../QĐ-UBND ngày    /12/2018 của Ủy ban nhân dân tỉnh Tiền Giang)</v>
      </c>
      <c r="B4" s="544"/>
      <c r="C4" s="544"/>
    </row>
    <row r="5" spans="1:4">
      <c r="A5" s="218"/>
      <c r="B5" s="541" t="s">
        <v>3</v>
      </c>
      <c r="C5" s="541"/>
    </row>
    <row r="6" spans="1:4">
      <c r="A6" s="218"/>
      <c r="B6" s="231"/>
      <c r="C6" s="231"/>
    </row>
    <row r="7" spans="1:4" s="476" customFormat="1" ht="27.75" customHeight="1">
      <c r="A7" s="219" t="s">
        <v>4</v>
      </c>
      <c r="B7" s="219" t="s">
        <v>5</v>
      </c>
      <c r="C7" s="219" t="s">
        <v>253</v>
      </c>
    </row>
    <row r="8" spans="1:4" s="230" customFormat="1" hidden="1">
      <c r="A8" s="232" t="s">
        <v>11</v>
      </c>
      <c r="B8" s="232" t="s">
        <v>12</v>
      </c>
      <c r="C8" s="232">
        <v>1</v>
      </c>
    </row>
    <row r="9" spans="1:4" s="236" customFormat="1">
      <c r="A9" s="233"/>
      <c r="B9" s="234" t="s">
        <v>95</v>
      </c>
      <c r="C9" s="235">
        <f>C10+C11+C47</f>
        <v>7453825</v>
      </c>
    </row>
    <row r="10" spans="1:4" s="222" customFormat="1" ht="37.5">
      <c r="A10" s="223" t="s">
        <v>11</v>
      </c>
      <c r="B10" s="224" t="s">
        <v>533</v>
      </c>
      <c r="C10" s="237">
        <f>'55'!H9</f>
        <v>3089500</v>
      </c>
    </row>
    <row r="11" spans="1:4" s="222" customFormat="1">
      <c r="A11" s="223" t="s">
        <v>12</v>
      </c>
      <c r="B11" s="224" t="s">
        <v>534</v>
      </c>
      <c r="C11" s="237">
        <f>C12+C29+C43+C44+C45+C46</f>
        <v>4364325</v>
      </c>
    </row>
    <row r="12" spans="1:4" s="222" customFormat="1">
      <c r="A12" s="223" t="s">
        <v>16</v>
      </c>
      <c r="B12" s="224" t="s">
        <v>478</v>
      </c>
      <c r="C12" s="237">
        <f>C13+C27+C28</f>
        <v>1938063</v>
      </c>
    </row>
    <row r="13" spans="1:4">
      <c r="A13" s="225">
        <v>1</v>
      </c>
      <c r="B13" s="226" t="s">
        <v>98</v>
      </c>
      <c r="C13" s="238">
        <f>'03'!D11</f>
        <v>1938063</v>
      </c>
    </row>
    <row r="14" spans="1:4" hidden="1">
      <c r="A14" s="225" t="s">
        <v>20</v>
      </c>
      <c r="B14" s="226" t="s">
        <v>100</v>
      </c>
      <c r="C14" s="238"/>
    </row>
    <row r="15" spans="1:4" hidden="1">
      <c r="A15" s="225" t="s">
        <v>20</v>
      </c>
      <c r="B15" s="226" t="s">
        <v>101</v>
      </c>
      <c r="C15" s="238"/>
    </row>
    <row r="16" spans="1:4" hidden="1">
      <c r="A16" s="225" t="s">
        <v>20</v>
      </c>
      <c r="B16" s="226" t="s">
        <v>132</v>
      </c>
      <c r="C16" s="238"/>
    </row>
    <row r="17" spans="1:9" hidden="1">
      <c r="A17" s="225" t="s">
        <v>20</v>
      </c>
      <c r="B17" s="226" t="s">
        <v>133</v>
      </c>
      <c r="C17" s="238"/>
    </row>
    <row r="18" spans="1:9" hidden="1">
      <c r="A18" s="225" t="s">
        <v>20</v>
      </c>
      <c r="B18" s="226" t="s">
        <v>254</v>
      </c>
      <c r="C18" s="238"/>
    </row>
    <row r="19" spans="1:9" hidden="1">
      <c r="A19" s="225" t="s">
        <v>20</v>
      </c>
      <c r="B19" s="226" t="s">
        <v>135</v>
      </c>
      <c r="C19" s="238"/>
    </row>
    <row r="20" spans="1:9" hidden="1">
      <c r="A20" s="225" t="s">
        <v>20</v>
      </c>
      <c r="B20" s="226" t="s">
        <v>136</v>
      </c>
      <c r="C20" s="238"/>
    </row>
    <row r="21" spans="1:9" hidden="1">
      <c r="A21" s="225" t="s">
        <v>20</v>
      </c>
      <c r="B21" s="226" t="s">
        <v>146</v>
      </c>
      <c r="C21" s="238"/>
    </row>
    <row r="22" spans="1:9" hidden="1">
      <c r="A22" s="225" t="s">
        <v>20</v>
      </c>
      <c r="B22" s="226" t="s">
        <v>255</v>
      </c>
      <c r="C22" s="238"/>
    </row>
    <row r="23" spans="1:9" hidden="1">
      <c r="A23" s="225" t="s">
        <v>20</v>
      </c>
      <c r="B23" s="226" t="s">
        <v>139</v>
      </c>
      <c r="C23" s="238"/>
    </row>
    <row r="24" spans="1:9" ht="37.5" hidden="1">
      <c r="A24" s="225" t="s">
        <v>20</v>
      </c>
      <c r="B24" s="226" t="s">
        <v>173</v>
      </c>
      <c r="C24" s="238"/>
    </row>
    <row r="25" spans="1:9" hidden="1">
      <c r="A25" s="225" t="s">
        <v>20</v>
      </c>
      <c r="B25" s="226" t="s">
        <v>141</v>
      </c>
      <c r="C25" s="238"/>
    </row>
    <row r="26" spans="1:9" hidden="1">
      <c r="A26" s="225" t="s">
        <v>20</v>
      </c>
      <c r="B26" s="226" t="s">
        <v>142</v>
      </c>
      <c r="C26" s="238"/>
    </row>
    <row r="27" spans="1:9" ht="56.25">
      <c r="A27" s="225">
        <v>2</v>
      </c>
      <c r="B27" s="226" t="s">
        <v>256</v>
      </c>
      <c r="C27" s="238"/>
    </row>
    <row r="28" spans="1:9" ht="21.75" customHeight="1">
      <c r="A28" s="225">
        <v>3</v>
      </c>
      <c r="B28" s="226" t="s">
        <v>250</v>
      </c>
      <c r="C28" s="238"/>
    </row>
    <row r="29" spans="1:9" s="222" customFormat="1">
      <c r="A29" s="223" t="s">
        <v>26</v>
      </c>
      <c r="B29" s="224" t="s">
        <v>107</v>
      </c>
      <c r="C29" s="237">
        <f>SUM(C30:C42)</f>
        <v>2038074</v>
      </c>
      <c r="D29" s="222">
        <f>C29-'03'!D21</f>
        <v>0</v>
      </c>
      <c r="F29" s="222">
        <f>C29+47106</f>
        <v>2085180</v>
      </c>
      <c r="G29" s="222">
        <f>SUM(G30:G33)</f>
        <v>47106</v>
      </c>
      <c r="H29" s="222">
        <f>SUM(H30:H32)</f>
        <v>1751948</v>
      </c>
      <c r="I29" s="222">
        <f>C29-'03'!D21</f>
        <v>0</v>
      </c>
    </row>
    <row r="30" spans="1:9">
      <c r="A30" s="225" t="s">
        <v>20</v>
      </c>
      <c r="B30" s="226" t="s">
        <v>257</v>
      </c>
      <c r="C30" s="238">
        <f>'03'!D23</f>
        <v>633589</v>
      </c>
      <c r="F30" s="217">
        <f>SUM(C30:C37)+C41-C32-C33</f>
        <v>1213131</v>
      </c>
      <c r="G30" s="217">
        <f>8056+1000+4364</f>
        <v>13420</v>
      </c>
      <c r="H30" s="217">
        <f>F30+G30</f>
        <v>1226551</v>
      </c>
    </row>
    <row r="31" spans="1:9">
      <c r="A31" s="225" t="s">
        <v>20</v>
      </c>
      <c r="B31" s="226" t="s">
        <v>506</v>
      </c>
      <c r="C31" s="238">
        <f>'03'!D24</f>
        <v>33308</v>
      </c>
      <c r="F31" s="217">
        <f>C39+C38</f>
        <v>183855</v>
      </c>
      <c r="G31" s="217">
        <f>1500+238+13000+16218</f>
        <v>30956</v>
      </c>
      <c r="H31" s="217">
        <f t="shared" ref="H31:H33" si="0">F31+G31</f>
        <v>214811</v>
      </c>
    </row>
    <row r="32" spans="1:9">
      <c r="A32" s="225" t="s">
        <v>20</v>
      </c>
      <c r="B32" s="226" t="s">
        <v>132</v>
      </c>
      <c r="C32" s="238">
        <f>58411+7575</f>
        <v>65986</v>
      </c>
      <c r="F32" s="217">
        <f>C40</f>
        <v>309956</v>
      </c>
      <c r="G32" s="217">
        <v>630</v>
      </c>
      <c r="H32" s="217">
        <f t="shared" si="0"/>
        <v>310586</v>
      </c>
    </row>
    <row r="33" spans="1:8">
      <c r="A33" s="225" t="s">
        <v>20</v>
      </c>
      <c r="B33" s="226" t="s">
        <v>258</v>
      </c>
      <c r="C33" s="238">
        <v>26037</v>
      </c>
      <c r="F33" s="217">
        <f>C32+C33+C42</f>
        <v>331132</v>
      </c>
      <c r="G33" s="217">
        <v>2100</v>
      </c>
      <c r="H33" s="217">
        <f t="shared" si="0"/>
        <v>333232</v>
      </c>
    </row>
    <row r="34" spans="1:8">
      <c r="A34" s="225" t="s">
        <v>20</v>
      </c>
      <c r="B34" s="226" t="s">
        <v>145</v>
      </c>
      <c r="C34" s="238">
        <v>193549</v>
      </c>
    </row>
    <row r="35" spans="1:8">
      <c r="A35" s="225" t="s">
        <v>20</v>
      </c>
      <c r="B35" s="226" t="s">
        <v>135</v>
      </c>
      <c r="C35" s="238">
        <v>24077</v>
      </c>
    </row>
    <row r="36" spans="1:8">
      <c r="A36" s="225" t="s">
        <v>20</v>
      </c>
      <c r="B36" s="226" t="s">
        <v>136</v>
      </c>
      <c r="C36" s="238">
        <v>7767</v>
      </c>
    </row>
    <row r="37" spans="1:8">
      <c r="A37" s="225" t="s">
        <v>20</v>
      </c>
      <c r="B37" s="226" t="s">
        <v>137</v>
      </c>
      <c r="C37" s="238">
        <v>19057</v>
      </c>
    </row>
    <row r="38" spans="1:8">
      <c r="A38" s="225" t="s">
        <v>20</v>
      </c>
      <c r="B38" s="226" t="s">
        <v>255</v>
      </c>
      <c r="C38" s="238">
        <v>18180</v>
      </c>
    </row>
    <row r="39" spans="1:8">
      <c r="A39" s="225" t="s">
        <v>20</v>
      </c>
      <c r="B39" s="226" t="s">
        <v>139</v>
      </c>
      <c r="C39" s="238">
        <f>183855-18180</f>
        <v>165675</v>
      </c>
    </row>
    <row r="40" spans="1:8" ht="37.5">
      <c r="A40" s="225" t="s">
        <v>20</v>
      </c>
      <c r="B40" s="226" t="s">
        <v>147</v>
      </c>
      <c r="C40" s="238">
        <v>309956</v>
      </c>
    </row>
    <row r="41" spans="1:8">
      <c r="A41" s="225" t="s">
        <v>20</v>
      </c>
      <c r="B41" s="226" t="s">
        <v>141</v>
      </c>
      <c r="C41" s="238">
        <v>301784</v>
      </c>
    </row>
    <row r="42" spans="1:8">
      <c r="A42" s="225"/>
      <c r="B42" s="226" t="s">
        <v>148</v>
      </c>
      <c r="C42" s="238">
        <v>239109</v>
      </c>
    </row>
    <row r="43" spans="1:8" s="222" customFormat="1" ht="37.5">
      <c r="A43" s="223" t="s">
        <v>33</v>
      </c>
      <c r="B43" s="224" t="s">
        <v>109</v>
      </c>
      <c r="C43" s="237">
        <f>'03'!D25</f>
        <v>200</v>
      </c>
    </row>
    <row r="44" spans="1:8" s="222" customFormat="1">
      <c r="A44" s="223" t="s">
        <v>110</v>
      </c>
      <c r="B44" s="224" t="s">
        <v>501</v>
      </c>
      <c r="C44" s="237">
        <f>'03'!D26</f>
        <v>1000</v>
      </c>
    </row>
    <row r="45" spans="1:8" s="222" customFormat="1">
      <c r="A45" s="223" t="s">
        <v>112</v>
      </c>
      <c r="B45" s="224" t="s">
        <v>113</v>
      </c>
      <c r="C45" s="237">
        <f>'03'!D27</f>
        <v>94573</v>
      </c>
    </row>
    <row r="46" spans="1:8" s="222" customFormat="1">
      <c r="A46" s="223" t="s">
        <v>114</v>
      </c>
      <c r="B46" s="224" t="s">
        <v>115</v>
      </c>
      <c r="C46" s="237">
        <f>'03'!D28</f>
        <v>292415</v>
      </c>
    </row>
    <row r="47" spans="1:8">
      <c r="A47" s="239" t="s">
        <v>121</v>
      </c>
      <c r="B47" s="240" t="s">
        <v>122</v>
      </c>
      <c r="C47" s="241"/>
    </row>
    <row r="48" spans="1:8" ht="29.25" hidden="1" customHeight="1">
      <c r="A48" s="535" t="s">
        <v>538</v>
      </c>
      <c r="B48" s="535"/>
      <c r="C48" s="535"/>
    </row>
    <row r="49" spans="1:3" ht="63" hidden="1" customHeight="1">
      <c r="A49" s="536" t="s">
        <v>259</v>
      </c>
      <c r="B49" s="536"/>
      <c r="C49" s="536"/>
    </row>
    <row r="50" spans="1:3" ht="32.25" hidden="1" customHeight="1">
      <c r="A50" s="536" t="s">
        <v>260</v>
      </c>
      <c r="B50" s="536"/>
      <c r="C50" s="536"/>
    </row>
    <row r="51" spans="1:3">
      <c r="A51" s="229"/>
    </row>
    <row r="52" spans="1:3">
      <c r="A52" s="242"/>
    </row>
  </sheetData>
  <mergeCells count="9">
    <mergeCell ref="B1:D1"/>
    <mergeCell ref="A49:C49"/>
    <mergeCell ref="A50:C50"/>
    <mergeCell ref="A2:B2"/>
    <mergeCell ref="C2:D2"/>
    <mergeCell ref="A3:C3"/>
    <mergeCell ref="A4:C4"/>
    <mergeCell ref="A48:C48"/>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511" t="s">
        <v>40</v>
      </c>
      <c r="N1" s="511"/>
    </row>
    <row r="2" spans="1:14">
      <c r="A2" s="511" t="s">
        <v>41</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15" t="s">
        <v>4</v>
      </c>
      <c r="B5" s="515" t="s">
        <v>42</v>
      </c>
      <c r="C5" s="515" t="s">
        <v>43</v>
      </c>
      <c r="D5" s="515"/>
      <c r="E5" s="515"/>
      <c r="F5" s="515"/>
      <c r="G5" s="515" t="s">
        <v>7</v>
      </c>
      <c r="H5" s="515"/>
      <c r="I5" s="515"/>
      <c r="J5" s="515"/>
      <c r="K5" s="515" t="s">
        <v>44</v>
      </c>
      <c r="L5" s="515"/>
      <c r="M5" s="515"/>
      <c r="N5" s="515"/>
    </row>
    <row r="6" spans="1:14">
      <c r="A6" s="515"/>
      <c r="B6" s="515"/>
      <c r="C6" s="515" t="s">
        <v>45</v>
      </c>
      <c r="D6" s="515" t="s">
        <v>46</v>
      </c>
      <c r="E6" s="515"/>
      <c r="F6" s="515"/>
      <c r="G6" s="515" t="s">
        <v>47</v>
      </c>
      <c r="H6" s="515" t="s">
        <v>46</v>
      </c>
      <c r="I6" s="515"/>
      <c r="J6" s="515"/>
      <c r="K6" s="515" t="s">
        <v>45</v>
      </c>
      <c r="L6" s="515" t="s">
        <v>46</v>
      </c>
      <c r="M6" s="515"/>
      <c r="N6" s="515"/>
    </row>
    <row r="7" spans="1:14" ht="31.5">
      <c r="A7" s="515"/>
      <c r="B7" s="515"/>
      <c r="C7" s="515"/>
      <c r="D7" s="20" t="s">
        <v>48</v>
      </c>
      <c r="E7" s="20" t="s">
        <v>49</v>
      </c>
      <c r="F7" s="20" t="s">
        <v>50</v>
      </c>
      <c r="G7" s="515"/>
      <c r="H7" s="20" t="s">
        <v>48</v>
      </c>
      <c r="I7" s="20" t="s">
        <v>51</v>
      </c>
      <c r="J7" s="20" t="s">
        <v>50</v>
      </c>
      <c r="K7" s="515"/>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513" t="s">
        <v>353</v>
      </c>
      <c r="B27" s="513"/>
      <c r="C27" s="513"/>
      <c r="D27" s="513"/>
      <c r="E27" s="513"/>
      <c r="F27" s="513"/>
      <c r="G27" s="513"/>
      <c r="H27" s="513"/>
      <c r="I27" s="513"/>
      <c r="J27" s="513"/>
      <c r="K27" s="513"/>
      <c r="L27" s="513"/>
      <c r="M27" s="513"/>
      <c r="N27" s="513"/>
    </row>
    <row r="28" spans="1:14">
      <c r="A28" s="509" t="s">
        <v>66</v>
      </c>
      <c r="B28" s="509"/>
      <c r="C28" s="509"/>
      <c r="D28" s="509"/>
      <c r="E28" s="509"/>
      <c r="F28" s="509"/>
      <c r="G28" s="509"/>
      <c r="H28" s="509"/>
      <c r="I28" s="509"/>
      <c r="J28" s="509"/>
      <c r="K28" s="509"/>
      <c r="L28" s="509"/>
      <c r="M28" s="509"/>
      <c r="N28" s="509"/>
    </row>
    <row r="29" spans="1:14">
      <c r="A29" s="14"/>
    </row>
  </sheetData>
  <mergeCells count="17">
    <mergeCell ref="A28:N28"/>
    <mergeCell ref="A2:N2"/>
    <mergeCell ref="A3:N3"/>
    <mergeCell ref="M4:N4"/>
    <mergeCell ref="A5:A7"/>
    <mergeCell ref="B5:B7"/>
    <mergeCell ref="C5:F5"/>
    <mergeCell ref="G5:J5"/>
    <mergeCell ref="K5:N5"/>
    <mergeCell ref="C6:C7"/>
    <mergeCell ref="D6:F6"/>
    <mergeCell ref="G6:G7"/>
    <mergeCell ref="H6:J6"/>
    <mergeCell ref="K6:K7"/>
    <mergeCell ref="L6:N6"/>
    <mergeCell ref="M1:N1"/>
    <mergeCell ref="A27:N27"/>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A3" sqref="A3:C3"/>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542" t="s">
        <v>530</v>
      </c>
      <c r="O1" s="542"/>
      <c r="P1" s="542"/>
    </row>
    <row r="2" spans="1:16" ht="21" customHeight="1">
      <c r="A2" s="563" t="str">
        <f>'47'!A1:B1</f>
        <v>UBND TỈNH TIỀN GIANG</v>
      </c>
      <c r="B2" s="563"/>
      <c r="C2" s="563"/>
      <c r="N2" s="542"/>
      <c r="O2" s="542"/>
      <c r="P2" s="542"/>
    </row>
    <row r="3" spans="1:16" ht="21.75" customHeight="1">
      <c r="A3" s="564" t="s">
        <v>526</v>
      </c>
      <c r="B3" s="564"/>
      <c r="C3" s="564"/>
      <c r="D3" s="564"/>
      <c r="E3" s="564"/>
      <c r="F3" s="564"/>
      <c r="G3" s="564"/>
      <c r="H3" s="564"/>
      <c r="I3" s="564"/>
      <c r="J3" s="564"/>
      <c r="K3" s="564"/>
      <c r="L3" s="564"/>
      <c r="M3" s="564"/>
      <c r="N3" s="564"/>
      <c r="O3" s="564"/>
      <c r="P3" s="564"/>
    </row>
    <row r="4" spans="1:16">
      <c r="A4" s="544" t="str">
        <f>'47'!A3:C3</f>
        <v>(Kèm theo Quyết định số ………../QĐ-UBND ngày    /12/2018 của Ủy ban nhân dân tỉnh Tiền Giang)</v>
      </c>
      <c r="B4" s="544"/>
      <c r="C4" s="544"/>
      <c r="D4" s="544"/>
      <c r="E4" s="544"/>
      <c r="F4" s="544"/>
      <c r="G4" s="544"/>
      <c r="H4" s="544"/>
      <c r="I4" s="544"/>
      <c r="J4" s="544"/>
      <c r="K4" s="544"/>
      <c r="L4" s="544"/>
      <c r="M4" s="544"/>
      <c r="N4" s="544"/>
      <c r="O4" s="544"/>
      <c r="P4" s="544"/>
    </row>
    <row r="5" spans="1:16" hidden="1">
      <c r="A5" s="174"/>
      <c r="B5" s="174"/>
      <c r="C5" s="174">
        <f>C10-C78-'03'!D8</f>
        <v>0</v>
      </c>
      <c r="D5" s="174"/>
      <c r="E5" s="174"/>
      <c r="F5" s="174"/>
      <c r="G5" s="174"/>
      <c r="H5" s="174"/>
      <c r="I5" s="174"/>
      <c r="J5" s="174"/>
      <c r="K5" s="174"/>
      <c r="L5" s="174"/>
      <c r="M5" s="174"/>
      <c r="N5" s="174"/>
      <c r="O5" s="174"/>
      <c r="P5" s="174"/>
    </row>
    <row r="6" spans="1:16">
      <c r="A6" s="105"/>
      <c r="O6" s="543" t="s">
        <v>3</v>
      </c>
      <c r="P6" s="543"/>
    </row>
    <row r="7" spans="1:16" ht="39.75" customHeight="1">
      <c r="A7" s="545" t="s">
        <v>4</v>
      </c>
      <c r="B7" s="545" t="s">
        <v>69</v>
      </c>
      <c r="C7" s="545" t="s">
        <v>45</v>
      </c>
      <c r="D7" s="545" t="s">
        <v>361</v>
      </c>
      <c r="E7" s="545" t="s">
        <v>362</v>
      </c>
      <c r="F7" s="545" t="s">
        <v>496</v>
      </c>
      <c r="G7" s="545" t="s">
        <v>497</v>
      </c>
      <c r="H7" s="545" t="s">
        <v>261</v>
      </c>
      <c r="I7" s="545" t="s">
        <v>115</v>
      </c>
      <c r="J7" s="545" t="s">
        <v>479</v>
      </c>
      <c r="K7" s="545"/>
      <c r="L7" s="545"/>
      <c r="M7" s="545" t="s">
        <v>157</v>
      </c>
      <c r="N7" s="545"/>
      <c r="O7" s="545"/>
      <c r="P7" s="545" t="s">
        <v>262</v>
      </c>
    </row>
    <row r="8" spans="1:16" ht="51.75" customHeight="1">
      <c r="A8" s="545"/>
      <c r="B8" s="545"/>
      <c r="C8" s="545"/>
      <c r="D8" s="545"/>
      <c r="E8" s="545"/>
      <c r="F8" s="545"/>
      <c r="G8" s="545"/>
      <c r="H8" s="545"/>
      <c r="I8" s="545"/>
      <c r="J8" s="106" t="s">
        <v>45</v>
      </c>
      <c r="K8" s="106" t="s">
        <v>97</v>
      </c>
      <c r="L8" s="106" t="s">
        <v>107</v>
      </c>
      <c r="M8" s="106" t="s">
        <v>45</v>
      </c>
      <c r="N8" s="106" t="s">
        <v>97</v>
      </c>
      <c r="O8" s="106" t="s">
        <v>107</v>
      </c>
      <c r="P8" s="545"/>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C11+C12+C74+C75+C76+C77+C78+C79</f>
        <v>6697286</v>
      </c>
      <c r="D10" s="129">
        <f t="shared" ref="D10:P10" si="0">D11+D12+D74+D75+D76+D77+D78+D79</f>
        <v>2352228</v>
      </c>
      <c r="E10" s="129">
        <f t="shared" si="0"/>
        <v>2566127</v>
      </c>
      <c r="F10" s="129">
        <f t="shared" si="0"/>
        <v>200</v>
      </c>
      <c r="G10" s="129">
        <f t="shared" si="0"/>
        <v>1000</v>
      </c>
      <c r="H10" s="129">
        <f t="shared" si="0"/>
        <v>94573</v>
      </c>
      <c r="I10" s="129">
        <f t="shared" si="0"/>
        <v>292415</v>
      </c>
      <c r="J10" s="129">
        <f t="shared" si="0"/>
        <v>1109018</v>
      </c>
      <c r="K10" s="129">
        <f t="shared" si="0"/>
        <v>970256</v>
      </c>
      <c r="L10" s="129">
        <f t="shared" si="0"/>
        <v>138762</v>
      </c>
      <c r="M10" s="129">
        <f t="shared" si="0"/>
        <v>281725</v>
      </c>
      <c r="N10" s="129">
        <f t="shared" si="0"/>
        <v>215709</v>
      </c>
      <c r="O10" s="129">
        <f t="shared" si="0"/>
        <v>66016</v>
      </c>
      <c r="P10" s="129">
        <f t="shared" si="0"/>
        <v>0</v>
      </c>
    </row>
    <row r="11" spans="1:16" s="125" customFormat="1" ht="14.25">
      <c r="A11" s="107" t="s">
        <v>16</v>
      </c>
      <c r="B11" s="124" t="s">
        <v>478</v>
      </c>
      <c r="C11" s="109">
        <f>D11+E11+F11+G11+H11+I11+J11+M11+P11</f>
        <v>3124028</v>
      </c>
      <c r="D11" s="109">
        <f>'03'!D10</f>
        <v>1938063</v>
      </c>
      <c r="E11" s="109"/>
      <c r="F11" s="109"/>
      <c r="G11" s="109"/>
      <c r="H11" s="109"/>
      <c r="I11" s="109"/>
      <c r="J11" s="109">
        <f>K11+L11</f>
        <v>970256</v>
      </c>
      <c r="K11" s="109">
        <f>'03'!D30</f>
        <v>970256</v>
      </c>
      <c r="L11" s="109"/>
      <c r="M11" s="109">
        <f>N11+O11</f>
        <v>215709</v>
      </c>
      <c r="N11" s="109">
        <f>'03'!D34+'03'!D37</f>
        <v>215709</v>
      </c>
      <c r="O11" s="109"/>
      <c r="P11" s="109"/>
    </row>
    <row r="12" spans="1:16" s="125" customFormat="1" ht="14.25">
      <c r="A12" s="107" t="s">
        <v>26</v>
      </c>
      <c r="B12" s="124" t="s">
        <v>107</v>
      </c>
      <c r="C12" s="109">
        <f t="shared" ref="C12:C75" si="1">D12+E12+F12+G12+H12+I12+J12+M12+P12</f>
        <v>2212495</v>
      </c>
      <c r="D12" s="109">
        <f t="shared" ref="D12:P12" si="2">D13+D52+D70+D71+D72+D73</f>
        <v>0</v>
      </c>
      <c r="E12" s="109">
        <f t="shared" si="2"/>
        <v>2038074</v>
      </c>
      <c r="F12" s="109">
        <f t="shared" si="2"/>
        <v>0</v>
      </c>
      <c r="G12" s="109">
        <f t="shared" si="2"/>
        <v>0</v>
      </c>
      <c r="H12" s="109">
        <f t="shared" si="2"/>
        <v>0</v>
      </c>
      <c r="I12" s="109">
        <f t="shared" si="2"/>
        <v>0</v>
      </c>
      <c r="J12" s="109">
        <f t="shared" si="2"/>
        <v>108405</v>
      </c>
      <c r="K12" s="109">
        <f t="shared" si="2"/>
        <v>0</v>
      </c>
      <c r="L12" s="109">
        <f>L13+L52+L70+L71+L72+L73</f>
        <v>108405</v>
      </c>
      <c r="M12" s="109">
        <f t="shared" si="2"/>
        <v>66016</v>
      </c>
      <c r="N12" s="109">
        <f t="shared" si="2"/>
        <v>0</v>
      </c>
      <c r="O12" s="109">
        <f t="shared" si="2"/>
        <v>66016</v>
      </c>
      <c r="P12" s="109">
        <f t="shared" si="2"/>
        <v>0</v>
      </c>
    </row>
    <row r="13" spans="1:16" s="136" customFormat="1">
      <c r="A13" s="133">
        <v>1</v>
      </c>
      <c r="B13" s="171" t="s">
        <v>469</v>
      </c>
      <c r="C13" s="150">
        <f t="shared" si="1"/>
        <v>1416234</v>
      </c>
      <c r="D13" s="134">
        <f t="shared" ref="D13:P13" si="3">SUM(D14:D51)</f>
        <v>0</v>
      </c>
      <c r="E13" s="134">
        <f t="shared" si="3"/>
        <v>1310311</v>
      </c>
      <c r="F13" s="134">
        <f t="shared" si="3"/>
        <v>0</v>
      </c>
      <c r="G13" s="134">
        <f t="shared" si="3"/>
        <v>0</v>
      </c>
      <c r="H13" s="134">
        <f t="shared" si="3"/>
        <v>0</v>
      </c>
      <c r="I13" s="134">
        <f t="shared" si="3"/>
        <v>0</v>
      </c>
      <c r="J13" s="134">
        <f t="shared" si="3"/>
        <v>105923</v>
      </c>
      <c r="K13" s="134">
        <f t="shared" si="3"/>
        <v>0</v>
      </c>
      <c r="L13" s="134">
        <f t="shared" si="3"/>
        <v>105923</v>
      </c>
      <c r="M13" s="134">
        <f t="shared" si="3"/>
        <v>0</v>
      </c>
      <c r="N13" s="134">
        <f t="shared" si="3"/>
        <v>0</v>
      </c>
      <c r="O13" s="134">
        <f t="shared" si="3"/>
        <v>0</v>
      </c>
      <c r="P13" s="134">
        <f t="shared" si="3"/>
        <v>0</v>
      </c>
    </row>
    <row r="14" spans="1:16">
      <c r="A14" s="158"/>
      <c r="B14" s="159" t="s">
        <v>412</v>
      </c>
      <c r="C14" s="113">
        <f t="shared" si="1"/>
        <v>11002</v>
      </c>
      <c r="D14" s="114"/>
      <c r="E14" s="114">
        <f>'53'!C11</f>
        <v>11002</v>
      </c>
      <c r="F14" s="114"/>
      <c r="G14" s="114"/>
      <c r="H14" s="114"/>
      <c r="I14" s="114"/>
      <c r="J14" s="114">
        <f>SUM(K14:L14)</f>
        <v>0</v>
      </c>
      <c r="K14" s="114"/>
      <c r="L14" s="114"/>
      <c r="M14" s="114">
        <f>SUM(N14:O14)</f>
        <v>0</v>
      </c>
      <c r="N14" s="114"/>
      <c r="O14" s="114"/>
      <c r="P14" s="114"/>
    </row>
    <row r="15" spans="1:16">
      <c r="A15" s="158"/>
      <c r="B15" s="160" t="s">
        <v>413</v>
      </c>
      <c r="C15" s="113">
        <f t="shared" si="1"/>
        <v>28386</v>
      </c>
      <c r="D15" s="114"/>
      <c r="E15" s="114">
        <f>'53'!C12</f>
        <v>28386</v>
      </c>
      <c r="F15" s="114"/>
      <c r="G15" s="114"/>
      <c r="H15" s="114"/>
      <c r="I15" s="114"/>
      <c r="J15" s="114">
        <f t="shared" ref="J15:J51" si="4">SUM(K15:L15)</f>
        <v>0</v>
      </c>
      <c r="K15" s="114"/>
      <c r="L15" s="114"/>
      <c r="M15" s="114">
        <f t="shared" ref="M15:M51" si="5">SUM(N15:O15)</f>
        <v>0</v>
      </c>
      <c r="N15" s="114"/>
      <c r="O15" s="114"/>
      <c r="P15" s="114"/>
    </row>
    <row r="16" spans="1:16" ht="25.5">
      <c r="A16" s="158"/>
      <c r="B16" s="160" t="s">
        <v>414</v>
      </c>
      <c r="C16" s="113">
        <f t="shared" si="1"/>
        <v>65734</v>
      </c>
      <c r="D16" s="114"/>
      <c r="E16" s="114">
        <f>'53'!C13</f>
        <v>59534</v>
      </c>
      <c r="F16" s="114"/>
      <c r="G16" s="114"/>
      <c r="H16" s="114"/>
      <c r="I16" s="114"/>
      <c r="J16" s="114">
        <f t="shared" si="4"/>
        <v>6200</v>
      </c>
      <c r="K16" s="114"/>
      <c r="L16" s="114">
        <v>6200</v>
      </c>
      <c r="M16" s="114">
        <f t="shared" si="5"/>
        <v>0</v>
      </c>
      <c r="N16" s="114"/>
      <c r="O16" s="114"/>
      <c r="P16" s="114"/>
    </row>
    <row r="17" spans="1:16">
      <c r="A17" s="158"/>
      <c r="B17" s="160" t="s">
        <v>415</v>
      </c>
      <c r="C17" s="113">
        <f t="shared" si="1"/>
        <v>6918</v>
      </c>
      <c r="D17" s="114"/>
      <c r="E17" s="114">
        <f>'53'!C14</f>
        <v>6918</v>
      </c>
      <c r="F17" s="114"/>
      <c r="G17" s="114"/>
      <c r="H17" s="114"/>
      <c r="I17" s="114"/>
      <c r="J17" s="114">
        <f t="shared" si="4"/>
        <v>0</v>
      </c>
      <c r="K17" s="114"/>
      <c r="L17" s="114"/>
      <c r="M17" s="114">
        <f t="shared" si="5"/>
        <v>0</v>
      </c>
      <c r="N17" s="114"/>
      <c r="O17" s="114"/>
      <c r="P17" s="114"/>
    </row>
    <row r="18" spans="1:16">
      <c r="A18" s="158"/>
      <c r="B18" s="160" t="s">
        <v>416</v>
      </c>
      <c r="C18" s="113">
        <f t="shared" si="1"/>
        <v>9343</v>
      </c>
      <c r="D18" s="114"/>
      <c r="E18" s="114">
        <f>'53'!C15</f>
        <v>9343</v>
      </c>
      <c r="F18" s="114"/>
      <c r="G18" s="114"/>
      <c r="H18" s="114"/>
      <c r="I18" s="114"/>
      <c r="J18" s="114">
        <f t="shared" si="4"/>
        <v>0</v>
      </c>
      <c r="K18" s="114"/>
      <c r="L18" s="114"/>
      <c r="M18" s="114">
        <f t="shared" si="5"/>
        <v>0</v>
      </c>
      <c r="N18" s="114"/>
      <c r="O18" s="114"/>
      <c r="P18" s="114"/>
    </row>
    <row r="19" spans="1:16">
      <c r="A19" s="158"/>
      <c r="B19" s="160" t="s">
        <v>417</v>
      </c>
      <c r="C19" s="113">
        <f t="shared" si="1"/>
        <v>12896</v>
      </c>
      <c r="D19" s="114"/>
      <c r="E19" s="114">
        <f>'53'!C16</f>
        <v>12896</v>
      </c>
      <c r="F19" s="114"/>
      <c r="G19" s="114"/>
      <c r="H19" s="114"/>
      <c r="I19" s="114"/>
      <c r="J19" s="114">
        <f t="shared" si="4"/>
        <v>0</v>
      </c>
      <c r="K19" s="114"/>
      <c r="L19" s="114"/>
      <c r="M19" s="114">
        <f t="shared" si="5"/>
        <v>0</v>
      </c>
      <c r="N19" s="114"/>
      <c r="O19" s="114"/>
      <c r="P19" s="114"/>
    </row>
    <row r="20" spans="1:16">
      <c r="A20" s="158"/>
      <c r="B20" s="160" t="s">
        <v>418</v>
      </c>
      <c r="C20" s="113">
        <f t="shared" si="1"/>
        <v>14157</v>
      </c>
      <c r="D20" s="114"/>
      <c r="E20" s="114">
        <f>'53'!C17</f>
        <v>14157</v>
      </c>
      <c r="F20" s="114"/>
      <c r="G20" s="114"/>
      <c r="H20" s="114"/>
      <c r="I20" s="114"/>
      <c r="J20" s="114">
        <f t="shared" si="4"/>
        <v>0</v>
      </c>
      <c r="K20" s="114"/>
      <c r="L20" s="114"/>
      <c r="M20" s="114">
        <f t="shared" si="5"/>
        <v>0</v>
      </c>
      <c r="N20" s="114"/>
      <c r="O20" s="114"/>
      <c r="P20" s="114"/>
    </row>
    <row r="21" spans="1:16">
      <c r="A21" s="158"/>
      <c r="B21" s="159" t="s">
        <v>419</v>
      </c>
      <c r="C21" s="113">
        <f t="shared" si="1"/>
        <v>12543</v>
      </c>
      <c r="D21" s="114"/>
      <c r="E21" s="114">
        <f>'53'!C18</f>
        <v>12543</v>
      </c>
      <c r="F21" s="114"/>
      <c r="G21" s="114"/>
      <c r="H21" s="114"/>
      <c r="I21" s="114"/>
      <c r="J21" s="114">
        <f t="shared" si="4"/>
        <v>0</v>
      </c>
      <c r="K21" s="114"/>
      <c r="L21" s="114"/>
      <c r="M21" s="114">
        <f t="shared" si="5"/>
        <v>0</v>
      </c>
      <c r="N21" s="114"/>
      <c r="O21" s="114"/>
      <c r="P21" s="114"/>
    </row>
    <row r="22" spans="1:16">
      <c r="A22" s="158"/>
      <c r="B22" s="160" t="s">
        <v>420</v>
      </c>
      <c r="C22" s="113">
        <f t="shared" si="1"/>
        <v>6545</v>
      </c>
      <c r="D22" s="114"/>
      <c r="E22" s="114">
        <f>'53'!C19</f>
        <v>6545</v>
      </c>
      <c r="F22" s="114"/>
      <c r="G22" s="114"/>
      <c r="H22" s="114"/>
      <c r="I22" s="114"/>
      <c r="J22" s="114">
        <f t="shared" si="4"/>
        <v>0</v>
      </c>
      <c r="K22" s="114"/>
      <c r="L22" s="114"/>
      <c r="M22" s="114">
        <f t="shared" si="5"/>
        <v>0</v>
      </c>
      <c r="N22" s="114"/>
      <c r="O22" s="114"/>
      <c r="P22" s="114"/>
    </row>
    <row r="23" spans="1:16">
      <c r="A23" s="158"/>
      <c r="B23" s="160" t="s">
        <v>421</v>
      </c>
      <c r="C23" s="113">
        <f t="shared" si="1"/>
        <v>104509</v>
      </c>
      <c r="D23" s="114"/>
      <c r="E23" s="114">
        <f>'53'!C20</f>
        <v>58141</v>
      </c>
      <c r="F23" s="114"/>
      <c r="G23" s="114"/>
      <c r="H23" s="114"/>
      <c r="I23" s="114"/>
      <c r="J23" s="114">
        <f t="shared" si="4"/>
        <v>46368</v>
      </c>
      <c r="K23" s="114"/>
      <c r="L23" s="114">
        <v>46368</v>
      </c>
      <c r="M23" s="114">
        <f t="shared" si="5"/>
        <v>0</v>
      </c>
      <c r="N23" s="114"/>
      <c r="O23" s="114"/>
      <c r="P23" s="114"/>
    </row>
    <row r="24" spans="1:16">
      <c r="A24" s="158"/>
      <c r="B24" s="161" t="s">
        <v>422</v>
      </c>
      <c r="C24" s="113">
        <f t="shared" si="1"/>
        <v>397979</v>
      </c>
      <c r="D24" s="114"/>
      <c r="E24" s="114">
        <f>'53'!C21</f>
        <v>397979</v>
      </c>
      <c r="F24" s="114"/>
      <c r="G24" s="114"/>
      <c r="H24" s="114"/>
      <c r="I24" s="114"/>
      <c r="J24" s="114">
        <f t="shared" si="4"/>
        <v>0</v>
      </c>
      <c r="K24" s="114"/>
      <c r="L24" s="114"/>
      <c r="M24" s="114">
        <f t="shared" si="5"/>
        <v>0</v>
      </c>
      <c r="N24" s="114"/>
      <c r="O24" s="114"/>
      <c r="P24" s="114"/>
    </row>
    <row r="25" spans="1:16">
      <c r="A25" s="158"/>
      <c r="B25" s="159" t="s">
        <v>423</v>
      </c>
      <c r="C25" s="113">
        <f t="shared" si="1"/>
        <v>153233</v>
      </c>
      <c r="D25" s="114"/>
      <c r="E25" s="114">
        <f>'53'!C22</f>
        <v>146568</v>
      </c>
      <c r="F25" s="114"/>
      <c r="G25" s="114"/>
      <c r="H25" s="114"/>
      <c r="I25" s="114"/>
      <c r="J25" s="114">
        <f t="shared" si="4"/>
        <v>6665</v>
      </c>
      <c r="K25" s="114"/>
      <c r="L25" s="114">
        <v>6665</v>
      </c>
      <c r="M25" s="114">
        <f t="shared" si="5"/>
        <v>0</v>
      </c>
      <c r="N25" s="114"/>
      <c r="O25" s="114"/>
      <c r="P25" s="114"/>
    </row>
    <row r="26" spans="1:16">
      <c r="A26" s="158"/>
      <c r="B26" s="162" t="s">
        <v>424</v>
      </c>
      <c r="C26" s="113">
        <f t="shared" si="1"/>
        <v>122899</v>
      </c>
      <c r="D26" s="114"/>
      <c r="E26" s="114">
        <f>'53'!C23</f>
        <v>105684</v>
      </c>
      <c r="F26" s="114"/>
      <c r="G26" s="114"/>
      <c r="H26" s="114"/>
      <c r="I26" s="114"/>
      <c r="J26" s="114">
        <f t="shared" si="4"/>
        <v>17215</v>
      </c>
      <c r="K26" s="114"/>
      <c r="L26" s="114">
        <v>17215</v>
      </c>
      <c r="M26" s="114">
        <f t="shared" si="5"/>
        <v>0</v>
      </c>
      <c r="N26" s="114"/>
      <c r="O26" s="114"/>
      <c r="P26" s="114"/>
    </row>
    <row r="27" spans="1:16">
      <c r="A27" s="158"/>
      <c r="B27" s="160" t="s">
        <v>425</v>
      </c>
      <c r="C27" s="113">
        <f t="shared" si="1"/>
        <v>65744</v>
      </c>
      <c r="D27" s="114"/>
      <c r="E27" s="114">
        <f>'53'!C24</f>
        <v>63744</v>
      </c>
      <c r="F27" s="114"/>
      <c r="G27" s="114"/>
      <c r="H27" s="114"/>
      <c r="I27" s="114"/>
      <c r="J27" s="114">
        <f t="shared" si="4"/>
        <v>2000</v>
      </c>
      <c r="K27" s="114"/>
      <c r="L27" s="114">
        <v>2000</v>
      </c>
      <c r="M27" s="114">
        <f t="shared" si="5"/>
        <v>0</v>
      </c>
      <c r="N27" s="114"/>
      <c r="O27" s="114"/>
      <c r="P27" s="114"/>
    </row>
    <row r="28" spans="1:16">
      <c r="A28" s="158"/>
      <c r="B28" s="160" t="s">
        <v>426</v>
      </c>
      <c r="C28" s="113">
        <f t="shared" si="1"/>
        <v>21700</v>
      </c>
      <c r="D28" s="114"/>
      <c r="E28" s="114">
        <f>'53'!C25</f>
        <v>21300</v>
      </c>
      <c r="F28" s="114"/>
      <c r="G28" s="114"/>
      <c r="H28" s="114"/>
      <c r="I28" s="114"/>
      <c r="J28" s="114">
        <f t="shared" si="4"/>
        <v>400</v>
      </c>
      <c r="K28" s="114"/>
      <c r="L28" s="114">
        <v>400</v>
      </c>
      <c r="M28" s="114">
        <f t="shared" si="5"/>
        <v>0</v>
      </c>
      <c r="N28" s="114"/>
      <c r="O28" s="114"/>
      <c r="P28" s="114"/>
    </row>
    <row r="29" spans="1:16">
      <c r="A29" s="158"/>
      <c r="B29" s="159" t="s">
        <v>427</v>
      </c>
      <c r="C29" s="113">
        <f t="shared" si="1"/>
        <v>11072</v>
      </c>
      <c r="D29" s="114"/>
      <c r="E29" s="114">
        <f>'53'!C26</f>
        <v>11072</v>
      </c>
      <c r="F29" s="114"/>
      <c r="G29" s="114"/>
      <c r="H29" s="114"/>
      <c r="I29" s="114"/>
      <c r="J29" s="114">
        <f t="shared" si="4"/>
        <v>0</v>
      </c>
      <c r="K29" s="114"/>
      <c r="L29" s="114"/>
      <c r="M29" s="114">
        <f t="shared" si="5"/>
        <v>0</v>
      </c>
      <c r="N29" s="114"/>
      <c r="O29" s="114"/>
      <c r="P29" s="114"/>
    </row>
    <row r="30" spans="1:16">
      <c r="A30" s="158"/>
      <c r="B30" s="160" t="s">
        <v>428</v>
      </c>
      <c r="C30" s="113">
        <f t="shared" si="1"/>
        <v>52790</v>
      </c>
      <c r="D30" s="114"/>
      <c r="E30" s="114">
        <f>'53'!C27</f>
        <v>52790</v>
      </c>
      <c r="F30" s="114"/>
      <c r="G30" s="114"/>
      <c r="H30" s="114"/>
      <c r="I30" s="114"/>
      <c r="J30" s="114">
        <f t="shared" si="4"/>
        <v>0</v>
      </c>
      <c r="K30" s="114"/>
      <c r="L30" s="114"/>
      <c r="M30" s="114">
        <f t="shared" si="5"/>
        <v>0</v>
      </c>
      <c r="N30" s="114"/>
      <c r="O30" s="114"/>
      <c r="P30" s="114"/>
    </row>
    <row r="31" spans="1:16">
      <c r="A31" s="158"/>
      <c r="B31" s="160" t="s">
        <v>429</v>
      </c>
      <c r="C31" s="113">
        <f t="shared" si="1"/>
        <v>6692</v>
      </c>
      <c r="D31" s="114"/>
      <c r="E31" s="114">
        <f>'53'!C28</f>
        <v>6692</v>
      </c>
      <c r="F31" s="114"/>
      <c r="G31" s="114"/>
      <c r="H31" s="114"/>
      <c r="I31" s="114"/>
      <c r="J31" s="114">
        <f t="shared" si="4"/>
        <v>0</v>
      </c>
      <c r="K31" s="114"/>
      <c r="L31" s="114"/>
      <c r="M31" s="114">
        <f t="shared" si="5"/>
        <v>0</v>
      </c>
      <c r="N31" s="114"/>
      <c r="O31" s="114"/>
      <c r="P31" s="114"/>
    </row>
    <row r="32" spans="1:16">
      <c r="A32" s="158"/>
      <c r="B32" s="159" t="s">
        <v>430</v>
      </c>
      <c r="C32" s="113">
        <f t="shared" si="1"/>
        <v>7795</v>
      </c>
      <c r="D32" s="114"/>
      <c r="E32" s="114">
        <f>'53'!C29</f>
        <v>7795</v>
      </c>
      <c r="F32" s="114"/>
      <c r="G32" s="114"/>
      <c r="H32" s="114"/>
      <c r="I32" s="114"/>
      <c r="J32" s="114">
        <f t="shared" si="4"/>
        <v>0</v>
      </c>
      <c r="K32" s="114"/>
      <c r="L32" s="114"/>
      <c r="M32" s="114">
        <f t="shared" si="5"/>
        <v>0</v>
      </c>
      <c r="N32" s="114"/>
      <c r="O32" s="114"/>
      <c r="P32" s="114"/>
    </row>
    <row r="33" spans="1:16">
      <c r="A33" s="158"/>
      <c r="B33" s="159" t="s">
        <v>431</v>
      </c>
      <c r="C33" s="113">
        <f t="shared" si="1"/>
        <v>7767</v>
      </c>
      <c r="D33" s="114"/>
      <c r="E33" s="114">
        <f>'53'!C30</f>
        <v>7767</v>
      </c>
      <c r="F33" s="114"/>
      <c r="G33" s="114"/>
      <c r="H33" s="114"/>
      <c r="I33" s="114"/>
      <c r="J33" s="114">
        <f t="shared" si="4"/>
        <v>0</v>
      </c>
      <c r="K33" s="114"/>
      <c r="L33" s="114"/>
      <c r="M33" s="114">
        <f t="shared" si="5"/>
        <v>0</v>
      </c>
      <c r="N33" s="114"/>
      <c r="O33" s="114"/>
      <c r="P33" s="114"/>
    </row>
    <row r="34" spans="1:16">
      <c r="A34" s="158"/>
      <c r="B34" s="160" t="s">
        <v>432</v>
      </c>
      <c r="C34" s="113">
        <f t="shared" si="1"/>
        <v>3381</v>
      </c>
      <c r="D34" s="114"/>
      <c r="E34" s="114">
        <f>'53'!C31</f>
        <v>3381</v>
      </c>
      <c r="F34" s="114"/>
      <c r="G34" s="114"/>
      <c r="H34" s="114"/>
      <c r="I34" s="114"/>
      <c r="J34" s="114">
        <f t="shared" si="4"/>
        <v>0</v>
      </c>
      <c r="K34" s="114"/>
      <c r="L34" s="114"/>
      <c r="M34" s="114">
        <f t="shared" si="5"/>
        <v>0</v>
      </c>
      <c r="N34" s="114"/>
      <c r="O34" s="114"/>
      <c r="P34" s="114"/>
    </row>
    <row r="35" spans="1:16">
      <c r="A35" s="158"/>
      <c r="B35" s="160" t="s">
        <v>433</v>
      </c>
      <c r="C35" s="113">
        <f t="shared" si="1"/>
        <v>63360</v>
      </c>
      <c r="D35" s="114"/>
      <c r="E35" s="114">
        <f>'53'!C32</f>
        <v>63360</v>
      </c>
      <c r="F35" s="114"/>
      <c r="G35" s="114"/>
      <c r="H35" s="114"/>
      <c r="I35" s="114"/>
      <c r="J35" s="114">
        <f t="shared" si="4"/>
        <v>0</v>
      </c>
      <c r="K35" s="114"/>
      <c r="L35" s="114"/>
      <c r="M35" s="114">
        <f t="shared" si="5"/>
        <v>0</v>
      </c>
      <c r="N35" s="114"/>
      <c r="O35" s="114"/>
      <c r="P35" s="114"/>
    </row>
    <row r="36" spans="1:16">
      <c r="A36" s="158"/>
      <c r="B36" s="159" t="s">
        <v>434</v>
      </c>
      <c r="C36" s="113">
        <f t="shared" si="1"/>
        <v>5928</v>
      </c>
      <c r="D36" s="114"/>
      <c r="E36" s="114">
        <f>'53'!C33</f>
        <v>5928</v>
      </c>
      <c r="F36" s="114"/>
      <c r="G36" s="114"/>
      <c r="H36" s="114"/>
      <c r="I36" s="114"/>
      <c r="J36" s="114">
        <f t="shared" si="4"/>
        <v>0</v>
      </c>
      <c r="K36" s="114"/>
      <c r="L36" s="114"/>
      <c r="M36" s="114">
        <f t="shared" si="5"/>
        <v>0</v>
      </c>
      <c r="N36" s="114"/>
      <c r="O36" s="114"/>
      <c r="P36" s="114"/>
    </row>
    <row r="37" spans="1:16">
      <c r="A37" s="158"/>
      <c r="B37" s="159" t="s">
        <v>435</v>
      </c>
      <c r="C37" s="113">
        <f t="shared" si="1"/>
        <v>6111</v>
      </c>
      <c r="D37" s="114"/>
      <c r="E37" s="114">
        <f>'53'!C34</f>
        <v>6111</v>
      </c>
      <c r="F37" s="114"/>
      <c r="G37" s="114"/>
      <c r="H37" s="114"/>
      <c r="I37" s="114"/>
      <c r="J37" s="114">
        <f t="shared" si="4"/>
        <v>0</v>
      </c>
      <c r="K37" s="114"/>
      <c r="L37" s="114"/>
      <c r="M37" s="114">
        <f t="shared" si="5"/>
        <v>0</v>
      </c>
      <c r="N37" s="114"/>
      <c r="O37" s="114"/>
      <c r="P37" s="114"/>
    </row>
    <row r="38" spans="1:16">
      <c r="A38" s="158"/>
      <c r="B38" s="159" t="s">
        <v>436</v>
      </c>
      <c r="C38" s="113">
        <f t="shared" si="1"/>
        <v>4645</v>
      </c>
      <c r="D38" s="114"/>
      <c r="E38" s="114">
        <f>'53'!C35</f>
        <v>4645</v>
      </c>
      <c r="F38" s="114"/>
      <c r="G38" s="114"/>
      <c r="H38" s="114"/>
      <c r="I38" s="114"/>
      <c r="J38" s="114">
        <f t="shared" si="4"/>
        <v>0</v>
      </c>
      <c r="K38" s="114"/>
      <c r="L38" s="114"/>
      <c r="M38" s="114">
        <f t="shared" si="5"/>
        <v>0</v>
      </c>
      <c r="N38" s="114"/>
      <c r="O38" s="114"/>
      <c r="P38" s="114"/>
    </row>
    <row r="39" spans="1:16">
      <c r="A39" s="158"/>
      <c r="B39" s="159" t="s">
        <v>437</v>
      </c>
      <c r="C39" s="113">
        <f t="shared" si="1"/>
        <v>4808</v>
      </c>
      <c r="D39" s="114"/>
      <c r="E39" s="114">
        <f>'53'!C36</f>
        <v>4808</v>
      </c>
      <c r="F39" s="114"/>
      <c r="G39" s="114"/>
      <c r="H39" s="114"/>
      <c r="I39" s="114"/>
      <c r="J39" s="114">
        <f t="shared" si="4"/>
        <v>0</v>
      </c>
      <c r="K39" s="114"/>
      <c r="L39" s="114"/>
      <c r="M39" s="114">
        <f t="shared" si="5"/>
        <v>0</v>
      </c>
      <c r="N39" s="114"/>
      <c r="O39" s="114"/>
      <c r="P39" s="114"/>
    </row>
    <row r="40" spans="1:16">
      <c r="A40" s="158"/>
      <c r="B40" s="159" t="s">
        <v>438</v>
      </c>
      <c r="C40" s="113">
        <f t="shared" si="1"/>
        <v>1993</v>
      </c>
      <c r="D40" s="114"/>
      <c r="E40" s="114">
        <f>'53'!C37</f>
        <v>1993</v>
      </c>
      <c r="F40" s="114"/>
      <c r="G40" s="114"/>
      <c r="H40" s="114"/>
      <c r="I40" s="114"/>
      <c r="J40" s="114">
        <f t="shared" si="4"/>
        <v>0</v>
      </c>
      <c r="K40" s="114"/>
      <c r="L40" s="114"/>
      <c r="M40" s="114">
        <f t="shared" si="5"/>
        <v>0</v>
      </c>
      <c r="N40" s="114"/>
      <c r="O40" s="114"/>
      <c r="P40" s="114"/>
    </row>
    <row r="41" spans="1:16">
      <c r="A41" s="158"/>
      <c r="B41" s="159" t="s">
        <v>439</v>
      </c>
      <c r="C41" s="113">
        <f t="shared" si="1"/>
        <v>33921</v>
      </c>
      <c r="D41" s="114"/>
      <c r="E41" s="114">
        <f>'53'!C38</f>
        <v>33921</v>
      </c>
      <c r="F41" s="114"/>
      <c r="G41" s="114"/>
      <c r="H41" s="114"/>
      <c r="I41" s="114"/>
      <c r="J41" s="114">
        <f t="shared" si="4"/>
        <v>0</v>
      </c>
      <c r="K41" s="114"/>
      <c r="L41" s="114"/>
      <c r="M41" s="114">
        <f t="shared" si="5"/>
        <v>0</v>
      </c>
      <c r="N41" s="114"/>
      <c r="O41" s="114"/>
      <c r="P41" s="114"/>
    </row>
    <row r="42" spans="1:16">
      <c r="A42" s="158"/>
      <c r="B42" s="159" t="s">
        <v>440</v>
      </c>
      <c r="C42" s="113">
        <f t="shared" si="1"/>
        <v>7024</v>
      </c>
      <c r="D42" s="114"/>
      <c r="E42" s="114">
        <f>'53'!C39</f>
        <v>7024</v>
      </c>
      <c r="F42" s="114"/>
      <c r="G42" s="114"/>
      <c r="H42" s="114"/>
      <c r="I42" s="114"/>
      <c r="J42" s="114">
        <f t="shared" si="4"/>
        <v>0</v>
      </c>
      <c r="K42" s="114"/>
      <c r="L42" s="114"/>
      <c r="M42" s="114">
        <f t="shared" si="5"/>
        <v>0</v>
      </c>
      <c r="N42" s="114"/>
      <c r="O42" s="114"/>
      <c r="P42" s="114"/>
    </row>
    <row r="43" spans="1:16">
      <c r="A43" s="158"/>
      <c r="B43" s="159" t="s">
        <v>441</v>
      </c>
      <c r="C43" s="113">
        <f t="shared" si="1"/>
        <v>5258</v>
      </c>
      <c r="D43" s="114"/>
      <c r="E43" s="114">
        <f>'53'!C40</f>
        <v>5258</v>
      </c>
      <c r="F43" s="114"/>
      <c r="G43" s="114"/>
      <c r="H43" s="114"/>
      <c r="I43" s="114"/>
      <c r="J43" s="114">
        <f t="shared" si="4"/>
        <v>0</v>
      </c>
      <c r="K43" s="114"/>
      <c r="L43" s="114"/>
      <c r="M43" s="114">
        <f t="shared" si="5"/>
        <v>0</v>
      </c>
      <c r="N43" s="114"/>
      <c r="O43" s="114"/>
      <c r="P43" s="114"/>
    </row>
    <row r="44" spans="1:16">
      <c r="A44" s="158"/>
      <c r="B44" s="159" t="s">
        <v>442</v>
      </c>
      <c r="C44" s="113">
        <f t="shared" si="1"/>
        <v>16387</v>
      </c>
      <c r="D44" s="114"/>
      <c r="E44" s="114">
        <f>'53'!C41</f>
        <v>16387</v>
      </c>
      <c r="F44" s="114"/>
      <c r="G44" s="114"/>
      <c r="H44" s="114"/>
      <c r="I44" s="114"/>
      <c r="J44" s="114">
        <f t="shared" si="4"/>
        <v>0</v>
      </c>
      <c r="K44" s="114"/>
      <c r="L44" s="114"/>
      <c r="M44" s="114">
        <f t="shared" si="5"/>
        <v>0</v>
      </c>
      <c r="N44" s="114"/>
      <c r="O44" s="114"/>
      <c r="P44" s="114"/>
    </row>
    <row r="45" spans="1:16" ht="25.5">
      <c r="A45" s="158"/>
      <c r="B45" s="159" t="s">
        <v>443</v>
      </c>
      <c r="C45" s="113">
        <f t="shared" si="1"/>
        <v>1556</v>
      </c>
      <c r="D45" s="114"/>
      <c r="E45" s="114">
        <f>'53'!C42</f>
        <v>1556</v>
      </c>
      <c r="F45" s="114"/>
      <c r="G45" s="114"/>
      <c r="H45" s="114"/>
      <c r="I45" s="114"/>
      <c r="J45" s="114">
        <f t="shared" si="4"/>
        <v>0</v>
      </c>
      <c r="K45" s="114"/>
      <c r="L45" s="114"/>
      <c r="M45" s="114">
        <f t="shared" si="5"/>
        <v>0</v>
      </c>
      <c r="N45" s="114"/>
      <c r="O45" s="114"/>
      <c r="P45" s="114"/>
    </row>
    <row r="46" spans="1:16">
      <c r="A46" s="158"/>
      <c r="B46" s="159" t="s">
        <v>444</v>
      </c>
      <c r="C46" s="113">
        <f t="shared" si="1"/>
        <v>0</v>
      </c>
      <c r="D46" s="114"/>
      <c r="E46" s="114">
        <f>'53'!C43</f>
        <v>0</v>
      </c>
      <c r="F46" s="114"/>
      <c r="G46" s="114"/>
      <c r="H46" s="114"/>
      <c r="I46" s="114"/>
      <c r="J46" s="114">
        <f t="shared" si="4"/>
        <v>0</v>
      </c>
      <c r="K46" s="114"/>
      <c r="L46" s="114"/>
      <c r="M46" s="114">
        <f t="shared" si="5"/>
        <v>0</v>
      </c>
      <c r="N46" s="114"/>
      <c r="O46" s="114"/>
      <c r="P46" s="114"/>
    </row>
    <row r="47" spans="1:16">
      <c r="A47" s="158"/>
      <c r="B47" s="159" t="s">
        <v>462</v>
      </c>
      <c r="C47" s="113">
        <f t="shared" si="1"/>
        <v>58411</v>
      </c>
      <c r="D47" s="114"/>
      <c r="E47" s="114">
        <f>'53'!C44</f>
        <v>58411</v>
      </c>
      <c r="F47" s="114"/>
      <c r="G47" s="114"/>
      <c r="H47" s="114"/>
      <c r="I47" s="114"/>
      <c r="J47" s="114">
        <f t="shared" si="4"/>
        <v>0</v>
      </c>
      <c r="K47" s="114"/>
      <c r="L47" s="114"/>
      <c r="M47" s="114">
        <f t="shared" si="5"/>
        <v>0</v>
      </c>
      <c r="N47" s="114"/>
      <c r="O47" s="114"/>
      <c r="P47" s="114"/>
    </row>
    <row r="48" spans="1:16">
      <c r="A48" s="158"/>
      <c r="B48" s="159" t="s">
        <v>463</v>
      </c>
      <c r="C48" s="113">
        <f t="shared" si="1"/>
        <v>7575</v>
      </c>
      <c r="D48" s="114"/>
      <c r="E48" s="114">
        <f>'53'!C45</f>
        <v>7575</v>
      </c>
      <c r="F48" s="114"/>
      <c r="G48" s="114"/>
      <c r="H48" s="114"/>
      <c r="I48" s="114"/>
      <c r="J48" s="114">
        <f t="shared" si="4"/>
        <v>0</v>
      </c>
      <c r="K48" s="114"/>
      <c r="L48" s="114"/>
      <c r="M48" s="114">
        <f t="shared" si="5"/>
        <v>0</v>
      </c>
      <c r="N48" s="114"/>
      <c r="O48" s="114"/>
      <c r="P48" s="114"/>
    </row>
    <row r="49" spans="1:16">
      <c r="A49" s="158"/>
      <c r="B49" s="159" t="s">
        <v>464</v>
      </c>
      <c r="C49" s="113">
        <f t="shared" si="1"/>
        <v>53712</v>
      </c>
      <c r="D49" s="114"/>
      <c r="E49" s="114">
        <f>'53'!C46</f>
        <v>26637</v>
      </c>
      <c r="F49" s="114"/>
      <c r="G49" s="114"/>
      <c r="H49" s="114"/>
      <c r="I49" s="114"/>
      <c r="J49" s="114">
        <f t="shared" si="4"/>
        <v>27075</v>
      </c>
      <c r="K49" s="114"/>
      <c r="L49" s="114">
        <v>27075</v>
      </c>
      <c r="M49" s="114">
        <f t="shared" si="5"/>
        <v>0</v>
      </c>
      <c r="N49" s="114"/>
      <c r="O49" s="114"/>
      <c r="P49" s="114"/>
    </row>
    <row r="50" spans="1:16">
      <c r="A50" s="158"/>
      <c r="B50" s="159" t="s">
        <v>465</v>
      </c>
      <c r="C50" s="113">
        <f t="shared" si="1"/>
        <v>22460</v>
      </c>
      <c r="D50" s="114"/>
      <c r="E50" s="114">
        <f>'53'!C47</f>
        <v>22460</v>
      </c>
      <c r="F50" s="114"/>
      <c r="G50" s="114"/>
      <c r="H50" s="114"/>
      <c r="I50" s="114"/>
      <c r="J50" s="114">
        <f t="shared" si="4"/>
        <v>0</v>
      </c>
      <c r="K50" s="114"/>
      <c r="L50" s="114"/>
      <c r="M50" s="114">
        <f t="shared" si="5"/>
        <v>0</v>
      </c>
      <c r="N50" s="114"/>
      <c r="O50" s="114"/>
      <c r="P50" s="114"/>
    </row>
    <row r="51" spans="1:16">
      <c r="A51" s="158"/>
      <c r="B51" s="159" t="s">
        <v>467</v>
      </c>
      <c r="C51" s="113">
        <f t="shared" si="1"/>
        <v>0</v>
      </c>
      <c r="D51" s="114"/>
      <c r="E51" s="114">
        <f>'53'!C48</f>
        <v>0</v>
      </c>
      <c r="F51" s="114"/>
      <c r="G51" s="114"/>
      <c r="H51" s="114"/>
      <c r="I51" s="114"/>
      <c r="J51" s="114">
        <f t="shared" si="4"/>
        <v>0</v>
      </c>
      <c r="K51" s="114"/>
      <c r="L51" s="114"/>
      <c r="M51" s="114">
        <f t="shared" si="5"/>
        <v>0</v>
      </c>
      <c r="N51" s="114"/>
      <c r="O51" s="114"/>
      <c r="P51" s="114"/>
    </row>
    <row r="52" spans="1:16" s="136" customFormat="1" ht="40.5">
      <c r="A52" s="172">
        <v>2</v>
      </c>
      <c r="B52" s="173" t="s">
        <v>468</v>
      </c>
      <c r="C52" s="150">
        <f t="shared" si="1"/>
        <v>19120</v>
      </c>
      <c r="D52" s="134">
        <f t="shared" ref="D52:P52" si="6">SUM(D53:D69)</f>
        <v>0</v>
      </c>
      <c r="E52" s="134">
        <f t="shared" si="6"/>
        <v>18490</v>
      </c>
      <c r="F52" s="134">
        <f t="shared" si="6"/>
        <v>0</v>
      </c>
      <c r="G52" s="134">
        <f t="shared" si="6"/>
        <v>0</v>
      </c>
      <c r="H52" s="134">
        <f t="shared" si="6"/>
        <v>0</v>
      </c>
      <c r="I52" s="134">
        <f t="shared" si="6"/>
        <v>0</v>
      </c>
      <c r="J52" s="134">
        <f t="shared" ref="J52" si="7">SUM(J53:J69)</f>
        <v>630</v>
      </c>
      <c r="K52" s="134">
        <f t="shared" ref="K52" si="8">SUM(K53:K69)</f>
        <v>0</v>
      </c>
      <c r="L52" s="134">
        <f t="shared" ref="L52:M52" si="9">SUM(L53:L69)</f>
        <v>630</v>
      </c>
      <c r="M52" s="134">
        <f t="shared" si="9"/>
        <v>0</v>
      </c>
      <c r="N52" s="134">
        <f t="shared" si="6"/>
        <v>0</v>
      </c>
      <c r="O52" s="134">
        <f t="shared" si="6"/>
        <v>0</v>
      </c>
      <c r="P52" s="134">
        <f t="shared" si="6"/>
        <v>0</v>
      </c>
    </row>
    <row r="53" spans="1:16">
      <c r="A53" s="158"/>
      <c r="B53" s="165" t="s">
        <v>445</v>
      </c>
      <c r="C53" s="113">
        <f t="shared" si="1"/>
        <v>4265</v>
      </c>
      <c r="D53" s="114"/>
      <c r="E53" s="114">
        <f>'53'!C50</f>
        <v>4265</v>
      </c>
      <c r="F53" s="114"/>
      <c r="G53" s="114"/>
      <c r="H53" s="114"/>
      <c r="I53" s="114"/>
      <c r="J53" s="114">
        <f t="shared" ref="J53:J79" si="10">SUM(K53:L53)</f>
        <v>0</v>
      </c>
      <c r="K53" s="114"/>
      <c r="L53" s="114"/>
      <c r="M53" s="114">
        <f t="shared" ref="M53:M73" si="11">SUM(N53:O53)</f>
        <v>0</v>
      </c>
      <c r="N53" s="114"/>
      <c r="O53" s="114"/>
      <c r="P53" s="114"/>
    </row>
    <row r="54" spans="1:16">
      <c r="A54" s="158"/>
      <c r="B54" s="166" t="s">
        <v>446</v>
      </c>
      <c r="C54" s="113">
        <f t="shared" si="1"/>
        <v>774</v>
      </c>
      <c r="D54" s="114"/>
      <c r="E54" s="114">
        <f>'53'!C51</f>
        <v>774</v>
      </c>
      <c r="F54" s="114"/>
      <c r="G54" s="114"/>
      <c r="H54" s="114"/>
      <c r="I54" s="114"/>
      <c r="J54" s="114">
        <f t="shared" si="10"/>
        <v>0</v>
      </c>
      <c r="K54" s="114"/>
      <c r="L54" s="114"/>
      <c r="M54" s="114">
        <f t="shared" si="11"/>
        <v>0</v>
      </c>
      <c r="N54" s="114"/>
      <c r="O54" s="114"/>
      <c r="P54" s="114"/>
    </row>
    <row r="55" spans="1:16">
      <c r="A55" s="158"/>
      <c r="B55" s="165" t="s">
        <v>447</v>
      </c>
      <c r="C55" s="113">
        <f t="shared" si="1"/>
        <v>770</v>
      </c>
      <c r="D55" s="114"/>
      <c r="E55" s="114">
        <f>'53'!C52</f>
        <v>770</v>
      </c>
      <c r="F55" s="114"/>
      <c r="G55" s="114"/>
      <c r="H55" s="114"/>
      <c r="I55" s="114"/>
      <c r="J55" s="114">
        <f t="shared" si="10"/>
        <v>0</v>
      </c>
      <c r="K55" s="114"/>
      <c r="L55" s="114"/>
      <c r="M55" s="114">
        <f t="shared" si="11"/>
        <v>0</v>
      </c>
      <c r="N55" s="114"/>
      <c r="O55" s="114"/>
      <c r="P55" s="114"/>
    </row>
    <row r="56" spans="1:16">
      <c r="A56" s="158"/>
      <c r="B56" s="165" t="s">
        <v>448</v>
      </c>
      <c r="C56" s="113">
        <f t="shared" si="1"/>
        <v>596</v>
      </c>
      <c r="D56" s="114"/>
      <c r="E56" s="114">
        <f>'53'!C53</f>
        <v>596</v>
      </c>
      <c r="F56" s="114"/>
      <c r="G56" s="114"/>
      <c r="H56" s="114"/>
      <c r="I56" s="114"/>
      <c r="J56" s="114">
        <f t="shared" si="10"/>
        <v>0</v>
      </c>
      <c r="K56" s="114"/>
      <c r="L56" s="114"/>
      <c r="M56" s="114">
        <f t="shared" si="11"/>
        <v>0</v>
      </c>
      <c r="N56" s="114"/>
      <c r="O56" s="114"/>
      <c r="P56" s="114"/>
    </row>
    <row r="57" spans="1:16">
      <c r="A57" s="158"/>
      <c r="B57" s="165" t="s">
        <v>449</v>
      </c>
      <c r="C57" s="113">
        <f t="shared" si="1"/>
        <v>687</v>
      </c>
      <c r="D57" s="114"/>
      <c r="E57" s="114">
        <f>'53'!C54</f>
        <v>687</v>
      </c>
      <c r="F57" s="114"/>
      <c r="G57" s="114"/>
      <c r="H57" s="114"/>
      <c r="I57" s="114"/>
      <c r="J57" s="114">
        <f t="shared" si="10"/>
        <v>0</v>
      </c>
      <c r="K57" s="114"/>
      <c r="L57" s="114"/>
      <c r="M57" s="114">
        <f t="shared" si="11"/>
        <v>0</v>
      </c>
      <c r="N57" s="114"/>
      <c r="O57" s="114"/>
      <c r="P57" s="114"/>
    </row>
    <row r="58" spans="1:16">
      <c r="A58" s="158"/>
      <c r="B58" s="165" t="s">
        <v>450</v>
      </c>
      <c r="C58" s="113">
        <f t="shared" si="1"/>
        <v>833</v>
      </c>
      <c r="D58" s="114"/>
      <c r="E58" s="114">
        <f>'53'!C55</f>
        <v>733</v>
      </c>
      <c r="F58" s="114"/>
      <c r="G58" s="114"/>
      <c r="H58" s="114"/>
      <c r="I58" s="114"/>
      <c r="J58" s="114">
        <f t="shared" si="10"/>
        <v>100</v>
      </c>
      <c r="K58" s="114"/>
      <c r="L58" s="114">
        <v>100</v>
      </c>
      <c r="M58" s="114">
        <f t="shared" si="11"/>
        <v>0</v>
      </c>
      <c r="N58" s="114"/>
      <c r="O58" s="114"/>
      <c r="P58" s="114"/>
    </row>
    <row r="59" spans="1:16">
      <c r="A59" s="158"/>
      <c r="B59" s="166" t="s">
        <v>451</v>
      </c>
      <c r="C59" s="113">
        <f t="shared" si="1"/>
        <v>1956</v>
      </c>
      <c r="D59" s="114"/>
      <c r="E59" s="114">
        <f>'53'!C56</f>
        <v>1426</v>
      </c>
      <c r="F59" s="114"/>
      <c r="G59" s="114"/>
      <c r="H59" s="114"/>
      <c r="I59" s="114"/>
      <c r="J59" s="114">
        <f t="shared" si="10"/>
        <v>530</v>
      </c>
      <c r="K59" s="114"/>
      <c r="L59" s="114">
        <v>530</v>
      </c>
      <c r="M59" s="114">
        <f t="shared" si="11"/>
        <v>0</v>
      </c>
      <c r="N59" s="114"/>
      <c r="O59" s="114"/>
      <c r="P59" s="114"/>
    </row>
    <row r="60" spans="1:16">
      <c r="A60" s="158"/>
      <c r="B60" s="165" t="s">
        <v>452</v>
      </c>
      <c r="C60" s="113">
        <f t="shared" si="1"/>
        <v>2289</v>
      </c>
      <c r="D60" s="114"/>
      <c r="E60" s="114">
        <f>'53'!C57</f>
        <v>2289</v>
      </c>
      <c r="F60" s="114"/>
      <c r="G60" s="114"/>
      <c r="H60" s="114"/>
      <c r="I60" s="114"/>
      <c r="J60" s="114">
        <f t="shared" si="10"/>
        <v>0</v>
      </c>
      <c r="K60" s="114"/>
      <c r="L60" s="114"/>
      <c r="M60" s="114">
        <f t="shared" si="11"/>
        <v>0</v>
      </c>
      <c r="N60" s="114"/>
      <c r="O60" s="114"/>
      <c r="P60" s="114"/>
    </row>
    <row r="61" spans="1:16">
      <c r="A61" s="158"/>
      <c r="B61" s="165" t="s">
        <v>453</v>
      </c>
      <c r="C61" s="113">
        <f t="shared" si="1"/>
        <v>1751</v>
      </c>
      <c r="D61" s="114"/>
      <c r="E61" s="114">
        <f>'53'!C58</f>
        <v>1751</v>
      </c>
      <c r="F61" s="114"/>
      <c r="G61" s="114"/>
      <c r="H61" s="114"/>
      <c r="I61" s="114"/>
      <c r="J61" s="114">
        <f t="shared" si="10"/>
        <v>0</v>
      </c>
      <c r="K61" s="114"/>
      <c r="L61" s="114"/>
      <c r="M61" s="114">
        <f t="shared" si="11"/>
        <v>0</v>
      </c>
      <c r="N61" s="114"/>
      <c r="O61" s="114"/>
      <c r="P61" s="114"/>
    </row>
    <row r="62" spans="1:16">
      <c r="A62" s="158"/>
      <c r="B62" s="165" t="s">
        <v>454</v>
      </c>
      <c r="C62" s="113">
        <f t="shared" si="1"/>
        <v>462</v>
      </c>
      <c r="D62" s="114"/>
      <c r="E62" s="114">
        <f>'53'!C59</f>
        <v>462</v>
      </c>
      <c r="F62" s="114"/>
      <c r="G62" s="114"/>
      <c r="H62" s="114"/>
      <c r="I62" s="114"/>
      <c r="J62" s="114">
        <f t="shared" si="10"/>
        <v>0</v>
      </c>
      <c r="K62" s="114"/>
      <c r="L62" s="114"/>
      <c r="M62" s="114">
        <f t="shared" si="11"/>
        <v>0</v>
      </c>
      <c r="N62" s="114"/>
      <c r="O62" s="114"/>
      <c r="P62" s="114"/>
    </row>
    <row r="63" spans="1:16">
      <c r="A63" s="158"/>
      <c r="B63" s="165" t="s">
        <v>455</v>
      </c>
      <c r="C63" s="113">
        <f t="shared" si="1"/>
        <v>784</v>
      </c>
      <c r="D63" s="114"/>
      <c r="E63" s="114">
        <f>'53'!C60</f>
        <v>784</v>
      </c>
      <c r="F63" s="114"/>
      <c r="G63" s="114"/>
      <c r="H63" s="114"/>
      <c r="I63" s="114"/>
      <c r="J63" s="114">
        <f t="shared" si="10"/>
        <v>0</v>
      </c>
      <c r="K63" s="114"/>
      <c r="L63" s="114"/>
      <c r="M63" s="114">
        <f t="shared" si="11"/>
        <v>0</v>
      </c>
      <c r="N63" s="114"/>
      <c r="O63" s="114"/>
      <c r="P63" s="114"/>
    </row>
    <row r="64" spans="1:16">
      <c r="A64" s="158"/>
      <c r="B64" s="165" t="s">
        <v>456</v>
      </c>
      <c r="C64" s="113">
        <f t="shared" si="1"/>
        <v>1044</v>
      </c>
      <c r="D64" s="114"/>
      <c r="E64" s="114">
        <f>'53'!C61</f>
        <v>1044</v>
      </c>
      <c r="F64" s="114"/>
      <c r="G64" s="114"/>
      <c r="H64" s="114"/>
      <c r="I64" s="114"/>
      <c r="J64" s="114">
        <f t="shared" si="10"/>
        <v>0</v>
      </c>
      <c r="K64" s="114"/>
      <c r="L64" s="114"/>
      <c r="M64" s="114">
        <f t="shared" si="11"/>
        <v>0</v>
      </c>
      <c r="N64" s="114"/>
      <c r="O64" s="114"/>
      <c r="P64" s="114"/>
    </row>
    <row r="65" spans="1:16">
      <c r="A65" s="158"/>
      <c r="B65" s="165" t="s">
        <v>457</v>
      </c>
      <c r="C65" s="113">
        <f t="shared" si="1"/>
        <v>669</v>
      </c>
      <c r="D65" s="114"/>
      <c r="E65" s="114">
        <f>'53'!C62</f>
        <v>669</v>
      </c>
      <c r="F65" s="114"/>
      <c r="G65" s="114"/>
      <c r="H65" s="114"/>
      <c r="I65" s="114"/>
      <c r="J65" s="114">
        <f t="shared" si="10"/>
        <v>0</v>
      </c>
      <c r="K65" s="114"/>
      <c r="L65" s="114"/>
      <c r="M65" s="114">
        <f t="shared" si="11"/>
        <v>0</v>
      </c>
      <c r="N65" s="114"/>
      <c r="O65" s="114"/>
      <c r="P65" s="114"/>
    </row>
    <row r="66" spans="1:16">
      <c r="A66" s="158"/>
      <c r="B66" s="165" t="s">
        <v>458</v>
      </c>
      <c r="C66" s="113">
        <f t="shared" si="1"/>
        <v>725</v>
      </c>
      <c r="D66" s="114"/>
      <c r="E66" s="114">
        <f>'53'!C63</f>
        <v>725</v>
      </c>
      <c r="F66" s="114"/>
      <c r="G66" s="114"/>
      <c r="H66" s="114"/>
      <c r="I66" s="114"/>
      <c r="J66" s="114">
        <f t="shared" si="10"/>
        <v>0</v>
      </c>
      <c r="K66" s="114"/>
      <c r="L66" s="114"/>
      <c r="M66" s="114">
        <f t="shared" si="11"/>
        <v>0</v>
      </c>
      <c r="N66" s="114"/>
      <c r="O66" s="114"/>
      <c r="P66" s="114"/>
    </row>
    <row r="67" spans="1:16">
      <c r="A67" s="158"/>
      <c r="B67" s="165" t="s">
        <v>459</v>
      </c>
      <c r="C67" s="113">
        <f t="shared" si="1"/>
        <v>384</v>
      </c>
      <c r="D67" s="114"/>
      <c r="E67" s="114">
        <f>'53'!C64</f>
        <v>384</v>
      </c>
      <c r="F67" s="114"/>
      <c r="G67" s="114"/>
      <c r="H67" s="114"/>
      <c r="I67" s="114"/>
      <c r="J67" s="114">
        <f t="shared" si="10"/>
        <v>0</v>
      </c>
      <c r="K67" s="114"/>
      <c r="L67" s="114"/>
      <c r="M67" s="114">
        <f t="shared" si="11"/>
        <v>0</v>
      </c>
      <c r="N67" s="114"/>
      <c r="O67" s="114"/>
      <c r="P67" s="114"/>
    </row>
    <row r="68" spans="1:16">
      <c r="A68" s="158"/>
      <c r="B68" s="165" t="s">
        <v>460</v>
      </c>
      <c r="C68" s="113">
        <f t="shared" si="1"/>
        <v>580</v>
      </c>
      <c r="D68" s="114"/>
      <c r="E68" s="114">
        <f>'53'!C65</f>
        <v>580</v>
      </c>
      <c r="F68" s="114"/>
      <c r="G68" s="114"/>
      <c r="H68" s="114"/>
      <c r="I68" s="114"/>
      <c r="J68" s="114">
        <f t="shared" si="10"/>
        <v>0</v>
      </c>
      <c r="K68" s="114"/>
      <c r="L68" s="114"/>
      <c r="M68" s="114">
        <f t="shared" si="11"/>
        <v>0</v>
      </c>
      <c r="N68" s="114"/>
      <c r="O68" s="114"/>
      <c r="P68" s="114"/>
    </row>
    <row r="69" spans="1:16">
      <c r="A69" s="158"/>
      <c r="B69" s="165" t="s">
        <v>461</v>
      </c>
      <c r="C69" s="113">
        <f t="shared" si="1"/>
        <v>551</v>
      </c>
      <c r="D69" s="114"/>
      <c r="E69" s="114">
        <f>'53'!C66</f>
        <v>551</v>
      </c>
      <c r="F69" s="114"/>
      <c r="G69" s="114"/>
      <c r="H69" s="114"/>
      <c r="I69" s="114"/>
      <c r="J69" s="114">
        <f t="shared" si="10"/>
        <v>0</v>
      </c>
      <c r="K69" s="114"/>
      <c r="L69" s="114"/>
      <c r="M69" s="114">
        <f t="shared" si="11"/>
        <v>0</v>
      </c>
      <c r="N69" s="114"/>
      <c r="O69" s="114"/>
      <c r="P69" s="114"/>
    </row>
    <row r="70" spans="1:16" s="136" customFormat="1">
      <c r="A70" s="172">
        <v>3</v>
      </c>
      <c r="B70" s="173" t="s">
        <v>470</v>
      </c>
      <c r="C70" s="150">
        <f t="shared" si="1"/>
        <v>43310</v>
      </c>
      <c r="D70" s="134"/>
      <c r="E70" s="134">
        <f>'53'!C67</f>
        <v>43310</v>
      </c>
      <c r="F70" s="134"/>
      <c r="G70" s="134"/>
      <c r="H70" s="134"/>
      <c r="I70" s="134"/>
      <c r="J70" s="134">
        <f t="shared" si="10"/>
        <v>0</v>
      </c>
      <c r="K70" s="134"/>
      <c r="L70" s="134"/>
      <c r="M70" s="134">
        <f t="shared" si="11"/>
        <v>0</v>
      </c>
      <c r="N70" s="134"/>
      <c r="O70" s="134"/>
      <c r="P70" s="134"/>
    </row>
    <row r="71" spans="1:16" s="136" customFormat="1" ht="27">
      <c r="A71" s="172">
        <v>4</v>
      </c>
      <c r="B71" s="173" t="s">
        <v>471</v>
      </c>
      <c r="C71" s="150">
        <f t="shared" si="1"/>
        <v>30000</v>
      </c>
      <c r="D71" s="134"/>
      <c r="E71" s="134">
        <f>'53'!C68</f>
        <v>30000</v>
      </c>
      <c r="F71" s="134"/>
      <c r="G71" s="134"/>
      <c r="H71" s="134"/>
      <c r="I71" s="134"/>
      <c r="J71" s="134">
        <f t="shared" si="10"/>
        <v>0</v>
      </c>
      <c r="K71" s="134"/>
      <c r="L71" s="134"/>
      <c r="M71" s="134">
        <f t="shared" si="11"/>
        <v>0</v>
      </c>
      <c r="N71" s="134"/>
      <c r="O71" s="134"/>
      <c r="P71" s="134"/>
    </row>
    <row r="72" spans="1:16" s="136" customFormat="1" ht="54">
      <c r="A72" s="172">
        <v>5</v>
      </c>
      <c r="B72" s="173" t="s">
        <v>466</v>
      </c>
      <c r="C72" s="150">
        <f t="shared" si="1"/>
        <v>247201</v>
      </c>
      <c r="D72" s="134"/>
      <c r="E72" s="134">
        <f>'53'!C69</f>
        <v>246238</v>
      </c>
      <c r="F72" s="134"/>
      <c r="G72" s="134"/>
      <c r="H72" s="134"/>
      <c r="I72" s="134"/>
      <c r="J72" s="134">
        <f t="shared" si="10"/>
        <v>963</v>
      </c>
      <c r="K72" s="134"/>
      <c r="L72" s="134">
        <v>963</v>
      </c>
      <c r="M72" s="134">
        <f t="shared" si="11"/>
        <v>0</v>
      </c>
      <c r="N72" s="134"/>
      <c r="O72" s="134"/>
      <c r="P72" s="134"/>
    </row>
    <row r="73" spans="1:16" s="136" customFormat="1">
      <c r="A73" s="172">
        <v>6</v>
      </c>
      <c r="B73" s="173" t="s">
        <v>476</v>
      </c>
      <c r="C73" s="150">
        <f t="shared" si="1"/>
        <v>456630</v>
      </c>
      <c r="D73" s="134"/>
      <c r="E73" s="134">
        <f>'53'!C70</f>
        <v>389725</v>
      </c>
      <c r="F73" s="134"/>
      <c r="G73" s="134"/>
      <c r="H73" s="134"/>
      <c r="I73" s="134"/>
      <c r="J73" s="134">
        <f t="shared" si="10"/>
        <v>889</v>
      </c>
      <c r="K73" s="134"/>
      <c r="L73" s="134">
        <f>889</f>
        <v>889</v>
      </c>
      <c r="M73" s="134">
        <f t="shared" si="11"/>
        <v>66016</v>
      </c>
      <c r="N73" s="134"/>
      <c r="O73" s="134">
        <v>66016</v>
      </c>
      <c r="P73" s="134"/>
    </row>
    <row r="74" spans="1:16" s="125" customFormat="1" ht="39">
      <c r="A74" s="123" t="s">
        <v>33</v>
      </c>
      <c r="B74" s="124" t="s">
        <v>498</v>
      </c>
      <c r="C74" s="109">
        <f t="shared" si="1"/>
        <v>200</v>
      </c>
      <c r="D74" s="124"/>
      <c r="E74" s="124"/>
      <c r="F74" s="124">
        <f>'03'!D25</f>
        <v>200</v>
      </c>
      <c r="G74" s="124"/>
      <c r="H74" s="124"/>
      <c r="I74" s="124"/>
      <c r="J74" s="134">
        <f t="shared" si="10"/>
        <v>0</v>
      </c>
      <c r="K74" s="124"/>
      <c r="L74" s="124"/>
      <c r="M74" s="124"/>
      <c r="N74" s="124"/>
      <c r="O74" s="124"/>
      <c r="P74" s="124"/>
    </row>
    <row r="75" spans="1:16" s="125" customFormat="1" ht="26.25">
      <c r="A75" s="123" t="s">
        <v>110</v>
      </c>
      <c r="B75" s="124" t="s">
        <v>499</v>
      </c>
      <c r="C75" s="109">
        <f t="shared" si="1"/>
        <v>1000</v>
      </c>
      <c r="D75" s="124"/>
      <c r="E75" s="124"/>
      <c r="F75" s="124"/>
      <c r="G75" s="124">
        <f>'03'!D26</f>
        <v>1000</v>
      </c>
      <c r="H75" s="124"/>
      <c r="I75" s="124"/>
      <c r="J75" s="134">
        <f t="shared" si="10"/>
        <v>0</v>
      </c>
      <c r="K75" s="124"/>
      <c r="L75" s="124"/>
      <c r="M75" s="124"/>
      <c r="N75" s="124"/>
      <c r="O75" s="124"/>
      <c r="P75" s="124"/>
    </row>
    <row r="76" spans="1:16" s="125" customFormat="1">
      <c r="A76" s="123" t="s">
        <v>112</v>
      </c>
      <c r="B76" s="124" t="s">
        <v>264</v>
      </c>
      <c r="C76" s="109">
        <f t="shared" ref="C76:C79" si="12">D76+E76+F76+G76+H76+I76+J76+M76+P76</f>
        <v>94573</v>
      </c>
      <c r="D76" s="124"/>
      <c r="E76" s="124"/>
      <c r="F76" s="124"/>
      <c r="G76" s="124"/>
      <c r="H76" s="124">
        <f>'03'!D27</f>
        <v>94573</v>
      </c>
      <c r="I76" s="124"/>
      <c r="J76" s="134">
        <f t="shared" si="10"/>
        <v>0</v>
      </c>
      <c r="K76" s="124"/>
      <c r="L76" s="124"/>
      <c r="M76" s="124"/>
      <c r="N76" s="124"/>
      <c r="O76" s="124"/>
      <c r="P76" s="124"/>
    </row>
    <row r="77" spans="1:16" s="125" customFormat="1" ht="26.25">
      <c r="A77" s="123" t="s">
        <v>114</v>
      </c>
      <c r="B77" s="124" t="s">
        <v>265</v>
      </c>
      <c r="C77" s="109">
        <f t="shared" si="12"/>
        <v>292415</v>
      </c>
      <c r="D77" s="124"/>
      <c r="E77" s="124"/>
      <c r="F77" s="124"/>
      <c r="G77" s="124"/>
      <c r="H77" s="124"/>
      <c r="I77" s="124">
        <f>'03'!D28</f>
        <v>292415</v>
      </c>
      <c r="J77" s="134">
        <f t="shared" si="10"/>
        <v>0</v>
      </c>
      <c r="K77" s="124"/>
      <c r="L77" s="124"/>
      <c r="M77" s="124"/>
      <c r="N77" s="124"/>
      <c r="O77" s="124"/>
      <c r="P77" s="124"/>
    </row>
    <row r="78" spans="1:16" s="125" customFormat="1" ht="25.5">
      <c r="A78" s="123" t="s">
        <v>266</v>
      </c>
      <c r="B78" s="124" t="s">
        <v>500</v>
      </c>
      <c r="C78" s="109">
        <f>D78+E78+F78+G78+H78+I78+J78+M78+P78</f>
        <v>972575</v>
      </c>
      <c r="D78" s="124">
        <f>'55'!J9</f>
        <v>414165</v>
      </c>
      <c r="E78" s="124">
        <f>'55'!I9+'55'!L9</f>
        <v>528053</v>
      </c>
      <c r="F78" s="124"/>
      <c r="G78" s="124"/>
      <c r="H78" s="124"/>
      <c r="I78" s="124"/>
      <c r="J78" s="124">
        <f t="shared" si="10"/>
        <v>30357</v>
      </c>
      <c r="K78" s="124"/>
      <c r="L78" s="124">
        <f>'03'!E31</f>
        <v>30357</v>
      </c>
      <c r="M78" s="124"/>
      <c r="N78" s="124"/>
      <c r="O78" s="124"/>
      <c r="P78" s="124"/>
    </row>
    <row r="79" spans="1:16" s="125" customFormat="1" ht="26.25">
      <c r="A79" s="143" t="s">
        <v>477</v>
      </c>
      <c r="B79" s="144" t="s">
        <v>167</v>
      </c>
      <c r="C79" s="182">
        <f t="shared" si="12"/>
        <v>0</v>
      </c>
      <c r="D79" s="144"/>
      <c r="E79" s="144"/>
      <c r="F79" s="144"/>
      <c r="G79" s="144"/>
      <c r="H79" s="144"/>
      <c r="I79" s="144"/>
      <c r="J79" s="206">
        <f t="shared" si="10"/>
        <v>0</v>
      </c>
      <c r="K79" s="144"/>
      <c r="L79" s="144"/>
      <c r="M79" s="144"/>
      <c r="N79" s="144"/>
      <c r="O79" s="144"/>
      <c r="P79" s="144"/>
    </row>
    <row r="80" spans="1:16" hidden="1">
      <c r="A80" s="548" t="s">
        <v>363</v>
      </c>
      <c r="B80" s="548"/>
      <c r="C80" s="562"/>
      <c r="D80" s="548"/>
      <c r="E80" s="548"/>
      <c r="F80" s="548"/>
      <c r="G80" s="548"/>
      <c r="H80" s="548"/>
      <c r="I80" s="548"/>
      <c r="J80" s="562"/>
      <c r="K80" s="548"/>
      <c r="L80" s="548"/>
      <c r="M80" s="548"/>
      <c r="N80" s="548"/>
      <c r="O80" s="548"/>
      <c r="P80" s="548"/>
    </row>
    <row r="81" spans="1:16" hidden="1">
      <c r="A81" s="549" t="s">
        <v>267</v>
      </c>
      <c r="B81" s="549"/>
      <c r="C81" s="549"/>
      <c r="D81" s="549"/>
      <c r="E81" s="549"/>
      <c r="F81" s="549"/>
      <c r="G81" s="549"/>
      <c r="H81" s="549"/>
      <c r="I81" s="549"/>
      <c r="J81" s="549"/>
      <c r="K81" s="549"/>
      <c r="L81" s="549"/>
      <c r="M81" s="549"/>
      <c r="N81" s="549"/>
      <c r="O81" s="549"/>
      <c r="P81" s="549"/>
    </row>
    <row r="82" spans="1:16">
      <c r="A82" s="120"/>
    </row>
  </sheetData>
  <mergeCells count="20">
    <mergeCell ref="N1:P1"/>
    <mergeCell ref="A2:C2"/>
    <mergeCell ref="N2:P2"/>
    <mergeCell ref="O6:P6"/>
    <mergeCell ref="A3:P3"/>
    <mergeCell ref="A4:P4"/>
    <mergeCell ref="D7:D8"/>
    <mergeCell ref="E7:E8"/>
    <mergeCell ref="J7:L7"/>
    <mergeCell ref="A80:P80"/>
    <mergeCell ref="A81:P81"/>
    <mergeCell ref="P7:P8"/>
    <mergeCell ref="F7:F8"/>
    <mergeCell ref="G7:G8"/>
    <mergeCell ref="H7:H8"/>
    <mergeCell ref="I7:I8"/>
    <mergeCell ref="M7:O7"/>
    <mergeCell ref="A7:A8"/>
    <mergeCell ref="B7:B8"/>
    <mergeCell ref="C7:C8"/>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77"/>
  <sheetViews>
    <sheetView workbookViewId="0">
      <selection activeCell="A3" sqref="A3:C3"/>
    </sheetView>
  </sheetViews>
  <sheetFormatPr defaultColWidth="9.140625" defaultRowHeight="12.75"/>
  <cols>
    <col min="1" max="1" width="5" style="104" customWidth="1"/>
    <col min="2" max="2" width="35.42578125" style="104" customWidth="1"/>
    <col min="3" max="3" width="9.2851562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8" style="104" customWidth="1"/>
    <col min="19" max="16384" width="9.140625" style="104"/>
  </cols>
  <sheetData>
    <row r="1" spans="1:19" ht="18" customHeight="1">
      <c r="A1" s="563" t="str">
        <f>'47'!A1:B1</f>
        <v>UBND TỈNH TIỀN GIANG</v>
      </c>
      <c r="B1" s="563"/>
      <c r="P1" s="542" t="s">
        <v>532</v>
      </c>
      <c r="Q1" s="542"/>
      <c r="R1" s="542"/>
    </row>
    <row r="2" spans="1:19">
      <c r="A2" s="542" t="s">
        <v>512</v>
      </c>
      <c r="B2" s="542"/>
      <c r="C2" s="542"/>
      <c r="D2" s="542"/>
      <c r="E2" s="542"/>
      <c r="F2" s="542"/>
      <c r="G2" s="542"/>
      <c r="H2" s="542"/>
      <c r="I2" s="542"/>
      <c r="J2" s="542"/>
      <c r="K2" s="542"/>
      <c r="L2" s="542"/>
      <c r="M2" s="542"/>
      <c r="N2" s="542"/>
      <c r="O2" s="542"/>
      <c r="P2" s="542"/>
      <c r="Q2" s="542"/>
      <c r="R2" s="542"/>
    </row>
    <row r="3" spans="1:19">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row>
    <row r="4" spans="1:19" hidden="1">
      <c r="A4" s="174"/>
      <c r="B4" s="174"/>
      <c r="C4" s="174">
        <f>C9-'03'!D21</f>
        <v>0</v>
      </c>
      <c r="D4" s="174">
        <f>D9-'50'!C30</f>
        <v>0</v>
      </c>
      <c r="E4" s="174">
        <f>E9-'50'!C31</f>
        <v>0</v>
      </c>
      <c r="F4" s="174">
        <f>F9-'50'!C32</f>
        <v>0</v>
      </c>
      <c r="G4" s="174">
        <f>G9-'50'!C33</f>
        <v>0</v>
      </c>
      <c r="H4" s="174">
        <f>H9-'50'!C34</f>
        <v>0</v>
      </c>
      <c r="I4" s="208">
        <f>I9-'50'!C35</f>
        <v>0</v>
      </c>
      <c r="J4" s="208">
        <f>J9-'50'!C36</f>
        <v>0</v>
      </c>
      <c r="K4" s="208">
        <f>K9-'50'!C37</f>
        <v>0</v>
      </c>
      <c r="L4" s="208">
        <f>L9-'50'!C38</f>
        <v>0</v>
      </c>
      <c r="M4" s="208">
        <f>M9-'50'!C39</f>
        <v>0</v>
      </c>
      <c r="N4" s="208"/>
      <c r="O4" s="208"/>
      <c r="P4" s="208">
        <f>P9-'50'!C40</f>
        <v>0</v>
      </c>
      <c r="Q4" s="208">
        <f>Q9-'50'!C41</f>
        <v>0</v>
      </c>
      <c r="R4" s="208">
        <f>R9-'50'!C42</f>
        <v>0</v>
      </c>
    </row>
    <row r="5" spans="1:19">
      <c r="A5" s="105"/>
      <c r="Q5" s="543" t="s">
        <v>3</v>
      </c>
      <c r="R5" s="543"/>
    </row>
    <row r="6" spans="1:19">
      <c r="A6" s="565" t="s">
        <v>4</v>
      </c>
      <c r="B6" s="565" t="s">
        <v>69</v>
      </c>
      <c r="C6" s="565" t="s">
        <v>45</v>
      </c>
      <c r="D6" s="565" t="s">
        <v>100</v>
      </c>
      <c r="E6" s="565" t="s">
        <v>101</v>
      </c>
      <c r="F6" s="565" t="s">
        <v>132</v>
      </c>
      <c r="G6" s="565" t="s">
        <v>276</v>
      </c>
      <c r="H6" s="565" t="s">
        <v>277</v>
      </c>
      <c r="I6" s="565" t="s">
        <v>135</v>
      </c>
      <c r="J6" s="565" t="s">
        <v>136</v>
      </c>
      <c r="K6" s="565" t="s">
        <v>278</v>
      </c>
      <c r="L6" s="565" t="s">
        <v>138</v>
      </c>
      <c r="M6" s="565" t="s">
        <v>139</v>
      </c>
      <c r="N6" s="567" t="s">
        <v>172</v>
      </c>
      <c r="O6" s="567"/>
      <c r="P6" s="565" t="s">
        <v>147</v>
      </c>
      <c r="Q6" s="565" t="s">
        <v>141</v>
      </c>
      <c r="R6" s="565" t="s">
        <v>148</v>
      </c>
      <c r="S6" s="153"/>
    </row>
    <row r="7" spans="1:19" ht="96.75" customHeight="1">
      <c r="A7" s="566"/>
      <c r="B7" s="566"/>
      <c r="C7" s="566"/>
      <c r="D7" s="566"/>
      <c r="E7" s="566"/>
      <c r="F7" s="566"/>
      <c r="G7" s="566"/>
      <c r="H7" s="566"/>
      <c r="I7" s="566"/>
      <c r="J7" s="566"/>
      <c r="K7" s="566"/>
      <c r="L7" s="566"/>
      <c r="M7" s="566"/>
      <c r="N7" s="149" t="s">
        <v>174</v>
      </c>
      <c r="O7" s="149" t="s">
        <v>175</v>
      </c>
      <c r="P7" s="566"/>
      <c r="Q7" s="566"/>
      <c r="R7" s="566"/>
      <c r="S7" s="153"/>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5"/>
      <c r="B9" s="156" t="s">
        <v>159</v>
      </c>
      <c r="C9" s="156">
        <f>C10+C49+C67+C68+C69+C70</f>
        <v>2038074</v>
      </c>
      <c r="D9" s="156">
        <f t="shared" ref="D9:R9" si="0">D10+D49+D67+D68+D69+D70</f>
        <v>633589</v>
      </c>
      <c r="E9" s="156">
        <f t="shared" si="0"/>
        <v>33308</v>
      </c>
      <c r="F9" s="156">
        <f t="shared" si="0"/>
        <v>65986</v>
      </c>
      <c r="G9" s="156">
        <f t="shared" si="0"/>
        <v>26037</v>
      </c>
      <c r="H9" s="156">
        <f t="shared" si="0"/>
        <v>193549</v>
      </c>
      <c r="I9" s="156">
        <f t="shared" si="0"/>
        <v>24077</v>
      </c>
      <c r="J9" s="156">
        <f t="shared" si="0"/>
        <v>7767</v>
      </c>
      <c r="K9" s="156">
        <f t="shared" si="0"/>
        <v>19057</v>
      </c>
      <c r="L9" s="156">
        <f t="shared" si="0"/>
        <v>18180</v>
      </c>
      <c r="M9" s="156">
        <f t="shared" si="0"/>
        <v>165675</v>
      </c>
      <c r="N9" s="156">
        <f t="shared" si="0"/>
        <v>41405</v>
      </c>
      <c r="O9" s="156">
        <f t="shared" si="0"/>
        <v>28952</v>
      </c>
      <c r="P9" s="156">
        <f t="shared" si="0"/>
        <v>309956</v>
      </c>
      <c r="Q9" s="156">
        <f t="shared" si="0"/>
        <v>301784</v>
      </c>
      <c r="R9" s="156">
        <f t="shared" si="0"/>
        <v>239109</v>
      </c>
    </row>
    <row r="10" spans="1:19">
      <c r="A10" s="123" t="s">
        <v>16</v>
      </c>
      <c r="B10" s="157" t="s">
        <v>469</v>
      </c>
      <c r="C10" s="124">
        <f>SUM(C11:C48)</f>
        <v>1310311</v>
      </c>
      <c r="D10" s="124">
        <f t="shared" ref="D10:R10" si="1">SUM(D11:D48)</f>
        <v>532531</v>
      </c>
      <c r="E10" s="124">
        <f t="shared" si="1"/>
        <v>30435</v>
      </c>
      <c r="F10" s="124">
        <f t="shared" si="1"/>
        <v>65986</v>
      </c>
      <c r="G10" s="124">
        <f t="shared" si="1"/>
        <v>26037</v>
      </c>
      <c r="H10" s="124">
        <f t="shared" si="1"/>
        <v>141861</v>
      </c>
      <c r="I10" s="124">
        <f t="shared" si="1"/>
        <v>24077</v>
      </c>
      <c r="J10" s="124">
        <f t="shared" si="1"/>
        <v>7767</v>
      </c>
      <c r="K10" s="124">
        <f t="shared" si="1"/>
        <v>19057</v>
      </c>
      <c r="L10" s="124">
        <f t="shared" si="1"/>
        <v>18180</v>
      </c>
      <c r="M10" s="124">
        <f t="shared" si="1"/>
        <v>92365</v>
      </c>
      <c r="N10" s="124">
        <f t="shared" si="1"/>
        <v>41405</v>
      </c>
      <c r="O10" s="124">
        <f t="shared" si="1"/>
        <v>28952</v>
      </c>
      <c r="P10" s="124">
        <f t="shared" si="1"/>
        <v>294339</v>
      </c>
      <c r="Q10" s="124">
        <f t="shared" si="1"/>
        <v>55546</v>
      </c>
      <c r="R10" s="124">
        <f t="shared" si="1"/>
        <v>2130</v>
      </c>
    </row>
    <row r="11" spans="1:19">
      <c r="A11" s="158">
        <v>1</v>
      </c>
      <c r="B11" s="159" t="s">
        <v>412</v>
      </c>
      <c r="C11" s="114">
        <f>SUM(D11:R11)-N11-O11</f>
        <v>11002</v>
      </c>
      <c r="D11" s="114"/>
      <c r="E11" s="114"/>
      <c r="F11" s="114"/>
      <c r="G11" s="114"/>
      <c r="H11" s="114"/>
      <c r="I11" s="114"/>
      <c r="J11" s="114"/>
      <c r="K11" s="114"/>
      <c r="L11" s="114"/>
      <c r="M11" s="114"/>
      <c r="N11" s="114"/>
      <c r="O11" s="114"/>
      <c r="P11" s="114">
        <v>11002</v>
      </c>
      <c r="Q11" s="114"/>
      <c r="R11" s="114"/>
    </row>
    <row r="12" spans="1:19">
      <c r="A12" s="158">
        <v>2</v>
      </c>
      <c r="B12" s="160" t="s">
        <v>413</v>
      </c>
      <c r="C12" s="114">
        <f t="shared" ref="C12:C76" si="2">SUM(D12:R12)-N12-O12</f>
        <v>28386</v>
      </c>
      <c r="D12" s="114"/>
      <c r="E12" s="114"/>
      <c r="F12" s="114"/>
      <c r="G12" s="114"/>
      <c r="H12" s="114"/>
      <c r="I12" s="114"/>
      <c r="J12" s="114"/>
      <c r="K12" s="114"/>
      <c r="L12" s="114"/>
      <c r="M12" s="114">
        <v>2201</v>
      </c>
      <c r="N12" s="114"/>
      <c r="O12" s="114"/>
      <c r="P12" s="114">
        <v>26185</v>
      </c>
      <c r="Q12" s="114"/>
      <c r="R12" s="114"/>
    </row>
    <row r="13" spans="1:19">
      <c r="A13" s="158">
        <v>3</v>
      </c>
      <c r="B13" s="160" t="s">
        <v>414</v>
      </c>
      <c r="C13" s="114">
        <f t="shared" si="2"/>
        <v>59534</v>
      </c>
      <c r="D13" s="114"/>
      <c r="E13" s="114"/>
      <c r="F13" s="114"/>
      <c r="G13" s="114"/>
      <c r="H13" s="114"/>
      <c r="I13" s="114"/>
      <c r="J13" s="114"/>
      <c r="K13" s="114"/>
      <c r="L13" s="114">
        <v>3969</v>
      </c>
      <c r="M13" s="114">
        <v>28854</v>
      </c>
      <c r="N13" s="114"/>
      <c r="O13" s="114">
        <v>28952</v>
      </c>
      <c r="P13" s="114">
        <v>25701</v>
      </c>
      <c r="Q13" s="114"/>
      <c r="R13" s="114">
        <v>1010</v>
      </c>
    </row>
    <row r="14" spans="1:19">
      <c r="A14" s="158">
        <v>4</v>
      </c>
      <c r="B14" s="160" t="s">
        <v>415</v>
      </c>
      <c r="C14" s="114">
        <f t="shared" si="2"/>
        <v>6918</v>
      </c>
      <c r="D14" s="114"/>
      <c r="E14" s="114"/>
      <c r="F14" s="114"/>
      <c r="G14" s="114"/>
      <c r="H14" s="114"/>
      <c r="I14" s="114"/>
      <c r="J14" s="114"/>
      <c r="K14" s="114"/>
      <c r="L14" s="114"/>
      <c r="M14" s="114">
        <v>765</v>
      </c>
      <c r="N14" s="114"/>
      <c r="O14" s="114"/>
      <c r="P14" s="114">
        <v>6153</v>
      </c>
      <c r="Q14" s="114"/>
      <c r="R14" s="114"/>
    </row>
    <row r="15" spans="1:19">
      <c r="A15" s="158">
        <v>5</v>
      </c>
      <c r="B15" s="160" t="s">
        <v>416</v>
      </c>
      <c r="C15" s="114">
        <f t="shared" si="2"/>
        <v>9343</v>
      </c>
      <c r="D15" s="114"/>
      <c r="E15" s="114"/>
      <c r="F15" s="114"/>
      <c r="G15" s="114"/>
      <c r="H15" s="114"/>
      <c r="I15" s="114"/>
      <c r="J15" s="114"/>
      <c r="K15" s="114"/>
      <c r="L15" s="114"/>
      <c r="M15" s="114">
        <v>3932</v>
      </c>
      <c r="N15" s="114"/>
      <c r="O15" s="114"/>
      <c r="P15" s="114">
        <v>5371</v>
      </c>
      <c r="Q15" s="114"/>
      <c r="R15" s="114">
        <v>40</v>
      </c>
    </row>
    <row r="16" spans="1:19">
      <c r="A16" s="158">
        <v>6</v>
      </c>
      <c r="B16" s="160" t="s">
        <v>417</v>
      </c>
      <c r="C16" s="114">
        <f t="shared" si="2"/>
        <v>12896</v>
      </c>
      <c r="D16" s="114"/>
      <c r="E16" s="114"/>
      <c r="F16" s="114"/>
      <c r="G16" s="114"/>
      <c r="H16" s="114"/>
      <c r="I16" s="114"/>
      <c r="J16" s="114"/>
      <c r="K16" s="114"/>
      <c r="L16" s="114">
        <v>75</v>
      </c>
      <c r="M16" s="114">
        <v>4337</v>
      </c>
      <c r="N16" s="114"/>
      <c r="O16" s="114"/>
      <c r="P16" s="114">
        <v>8334</v>
      </c>
      <c r="Q16" s="114"/>
      <c r="R16" s="212">
        <v>150</v>
      </c>
    </row>
    <row r="17" spans="1:18">
      <c r="A17" s="158">
        <v>7</v>
      </c>
      <c r="B17" s="160" t="s">
        <v>418</v>
      </c>
      <c r="C17" s="114">
        <f t="shared" si="2"/>
        <v>14157</v>
      </c>
      <c r="D17" s="114"/>
      <c r="E17" s="114">
        <v>7975</v>
      </c>
      <c r="F17" s="114"/>
      <c r="G17" s="114"/>
      <c r="H17" s="114"/>
      <c r="I17" s="114"/>
      <c r="J17" s="114"/>
      <c r="K17" s="114"/>
      <c r="L17" s="114"/>
      <c r="M17" s="114"/>
      <c r="N17" s="114"/>
      <c r="O17" s="114"/>
      <c r="P17" s="114">
        <v>6103</v>
      </c>
      <c r="Q17" s="114"/>
      <c r="R17" s="114">
        <v>79</v>
      </c>
    </row>
    <row r="18" spans="1:18">
      <c r="A18" s="158">
        <v>8</v>
      </c>
      <c r="B18" s="159" t="s">
        <v>419</v>
      </c>
      <c r="C18" s="114">
        <f t="shared" si="2"/>
        <v>12543</v>
      </c>
      <c r="D18" s="114"/>
      <c r="E18" s="114"/>
      <c r="F18" s="114"/>
      <c r="G18" s="114"/>
      <c r="H18" s="114"/>
      <c r="I18" s="114"/>
      <c r="J18" s="114"/>
      <c r="K18" s="114"/>
      <c r="L18" s="114"/>
      <c r="M18" s="114">
        <v>430</v>
      </c>
      <c r="N18" s="114"/>
      <c r="O18" s="114"/>
      <c r="P18" s="114">
        <v>12113</v>
      </c>
      <c r="Q18" s="114"/>
      <c r="R18" s="114"/>
    </row>
    <row r="19" spans="1:18">
      <c r="A19" s="158">
        <v>9</v>
      </c>
      <c r="B19" s="160" t="s">
        <v>420</v>
      </c>
      <c r="C19" s="114">
        <f t="shared" si="2"/>
        <v>6545</v>
      </c>
      <c r="D19" s="114"/>
      <c r="E19" s="114"/>
      <c r="F19" s="114"/>
      <c r="G19" s="114"/>
      <c r="H19" s="114"/>
      <c r="I19" s="114"/>
      <c r="J19" s="114"/>
      <c r="K19" s="114"/>
      <c r="L19" s="114"/>
      <c r="M19" s="114"/>
      <c r="N19" s="114"/>
      <c r="O19" s="114"/>
      <c r="P19" s="114">
        <v>6530</v>
      </c>
      <c r="Q19" s="114"/>
      <c r="R19" s="114">
        <v>15</v>
      </c>
    </row>
    <row r="20" spans="1:18">
      <c r="A20" s="158">
        <v>10</v>
      </c>
      <c r="B20" s="160" t="s">
        <v>421</v>
      </c>
      <c r="C20" s="114">
        <f t="shared" si="2"/>
        <v>58141</v>
      </c>
      <c r="D20" s="114"/>
      <c r="E20" s="114"/>
      <c r="F20" s="114"/>
      <c r="G20" s="114"/>
      <c r="H20" s="114"/>
      <c r="I20" s="114"/>
      <c r="J20" s="114"/>
      <c r="K20" s="114"/>
      <c r="L20" s="114"/>
      <c r="M20" s="114">
        <v>41405</v>
      </c>
      <c r="N20" s="114">
        <f>M20</f>
        <v>41405</v>
      </c>
      <c r="O20" s="114"/>
      <c r="P20" s="114">
        <v>16736</v>
      </c>
      <c r="Q20" s="114"/>
      <c r="R20" s="114"/>
    </row>
    <row r="21" spans="1:18">
      <c r="A21" s="158">
        <v>11</v>
      </c>
      <c r="B21" s="161" t="s">
        <v>422</v>
      </c>
      <c r="C21" s="114">
        <f t="shared" si="2"/>
        <v>397979</v>
      </c>
      <c r="D21" s="114">
        <v>389546</v>
      </c>
      <c r="E21" s="114"/>
      <c r="F21" s="114"/>
      <c r="G21" s="114"/>
      <c r="H21" s="114"/>
      <c r="I21" s="114"/>
      <c r="J21" s="114"/>
      <c r="K21" s="114"/>
      <c r="L21" s="114"/>
      <c r="M21" s="114"/>
      <c r="N21" s="114"/>
      <c r="O21" s="114"/>
      <c r="P21" s="114">
        <v>8433</v>
      </c>
      <c r="Q21" s="114"/>
      <c r="R21" s="114"/>
    </row>
    <row r="22" spans="1:18">
      <c r="A22" s="158">
        <v>12</v>
      </c>
      <c r="B22" s="159" t="s">
        <v>423</v>
      </c>
      <c r="C22" s="114">
        <f t="shared" si="2"/>
        <v>146568</v>
      </c>
      <c r="D22" s="114"/>
      <c r="E22" s="114"/>
      <c r="F22" s="114"/>
      <c r="G22" s="114"/>
      <c r="H22" s="114">
        <v>136861</v>
      </c>
      <c r="I22" s="114"/>
      <c r="J22" s="114"/>
      <c r="K22" s="114"/>
      <c r="L22" s="114"/>
      <c r="M22" s="114"/>
      <c r="N22" s="114"/>
      <c r="O22" s="114"/>
      <c r="P22" s="114">
        <v>9626</v>
      </c>
      <c r="Q22" s="114"/>
      <c r="R22" s="114">
        <v>81</v>
      </c>
    </row>
    <row r="23" spans="1:18">
      <c r="A23" s="158">
        <v>13</v>
      </c>
      <c r="B23" s="162" t="s">
        <v>424</v>
      </c>
      <c r="C23" s="114">
        <f t="shared" si="2"/>
        <v>105684</v>
      </c>
      <c r="D23" s="114">
        <v>36484</v>
      </c>
      <c r="E23" s="114"/>
      <c r="F23" s="114"/>
      <c r="G23" s="114"/>
      <c r="H23" s="114"/>
      <c r="I23" s="114"/>
      <c r="J23" s="114"/>
      <c r="K23" s="114"/>
      <c r="L23" s="114"/>
      <c r="M23" s="114">
        <v>1396</v>
      </c>
      <c r="N23" s="114"/>
      <c r="O23" s="114"/>
      <c r="P23" s="114">
        <v>12143</v>
      </c>
      <c r="Q23" s="114">
        <v>55546</v>
      </c>
      <c r="R23" s="114">
        <v>115</v>
      </c>
    </row>
    <row r="24" spans="1:18">
      <c r="A24" s="158">
        <v>14</v>
      </c>
      <c r="B24" s="160" t="s">
        <v>425</v>
      </c>
      <c r="C24" s="114">
        <f t="shared" si="2"/>
        <v>63744</v>
      </c>
      <c r="D24" s="114">
        <v>13011</v>
      </c>
      <c r="E24" s="114"/>
      <c r="F24" s="114"/>
      <c r="G24" s="114"/>
      <c r="H24" s="114"/>
      <c r="I24" s="114">
        <v>23357</v>
      </c>
      <c r="J24" s="114"/>
      <c r="K24" s="114">
        <v>19057</v>
      </c>
      <c r="L24" s="114"/>
      <c r="M24" s="114">
        <v>650</v>
      </c>
      <c r="N24" s="114"/>
      <c r="O24" s="114"/>
      <c r="P24" s="114">
        <v>7579</v>
      </c>
      <c r="Q24" s="114"/>
      <c r="R24" s="114">
        <v>90</v>
      </c>
    </row>
    <row r="25" spans="1:18">
      <c r="A25" s="158">
        <v>15</v>
      </c>
      <c r="B25" s="160" t="s">
        <v>426</v>
      </c>
      <c r="C25" s="114">
        <f t="shared" si="2"/>
        <v>21300</v>
      </c>
      <c r="D25" s="114"/>
      <c r="E25" s="114"/>
      <c r="F25" s="114"/>
      <c r="G25" s="114"/>
      <c r="H25" s="114"/>
      <c r="I25" s="114"/>
      <c r="J25" s="114"/>
      <c r="K25" s="114"/>
      <c r="L25" s="114">
        <v>13536</v>
      </c>
      <c r="M25" s="114"/>
      <c r="N25" s="114"/>
      <c r="O25" s="114"/>
      <c r="P25" s="114">
        <v>7264</v>
      </c>
      <c r="Q25" s="114"/>
      <c r="R25" s="114">
        <v>500</v>
      </c>
    </row>
    <row r="26" spans="1:18">
      <c r="A26" s="158">
        <v>16</v>
      </c>
      <c r="B26" s="159" t="s">
        <v>427</v>
      </c>
      <c r="C26" s="114">
        <f t="shared" si="2"/>
        <v>11072</v>
      </c>
      <c r="D26" s="114"/>
      <c r="E26" s="114"/>
      <c r="F26" s="114"/>
      <c r="G26" s="114"/>
      <c r="H26" s="114"/>
      <c r="I26" s="114">
        <v>320</v>
      </c>
      <c r="J26" s="114"/>
      <c r="K26" s="114"/>
      <c r="L26" s="114"/>
      <c r="M26" s="114">
        <v>5019</v>
      </c>
      <c r="N26" s="114"/>
      <c r="O26" s="114"/>
      <c r="P26" s="114">
        <v>5683</v>
      </c>
      <c r="Q26" s="114"/>
      <c r="R26" s="114">
        <v>50</v>
      </c>
    </row>
    <row r="27" spans="1:18">
      <c r="A27" s="158">
        <v>17</v>
      </c>
      <c r="B27" s="160" t="s">
        <v>428</v>
      </c>
      <c r="C27" s="114">
        <f t="shared" si="2"/>
        <v>52790</v>
      </c>
      <c r="D27" s="114">
        <v>30000</v>
      </c>
      <c r="E27" s="114"/>
      <c r="F27" s="114"/>
      <c r="G27" s="114"/>
      <c r="H27" s="114"/>
      <c r="I27" s="114"/>
      <c r="J27" s="114"/>
      <c r="K27" s="114"/>
      <c r="L27" s="114"/>
      <c r="M27" s="114">
        <v>849</v>
      </c>
      <c r="N27" s="114"/>
      <c r="O27" s="114"/>
      <c r="P27" s="114">
        <v>21941</v>
      </c>
      <c r="Q27" s="114"/>
      <c r="R27" s="114"/>
    </row>
    <row r="28" spans="1:18">
      <c r="A28" s="158">
        <v>18</v>
      </c>
      <c r="B28" s="160" t="s">
        <v>429</v>
      </c>
      <c r="C28" s="114">
        <f t="shared" si="2"/>
        <v>6692</v>
      </c>
      <c r="D28" s="114"/>
      <c r="E28" s="114"/>
      <c r="F28" s="114"/>
      <c r="G28" s="114"/>
      <c r="H28" s="114"/>
      <c r="I28" s="114"/>
      <c r="J28" s="114"/>
      <c r="K28" s="114"/>
      <c r="L28" s="114"/>
      <c r="M28" s="114">
        <v>387</v>
      </c>
      <c r="N28" s="114"/>
      <c r="O28" s="114"/>
      <c r="P28" s="114">
        <v>6305</v>
      </c>
      <c r="Q28" s="114"/>
      <c r="R28" s="114"/>
    </row>
    <row r="29" spans="1:18">
      <c r="A29" s="158">
        <v>19</v>
      </c>
      <c r="B29" s="159" t="s">
        <v>430</v>
      </c>
      <c r="C29" s="114">
        <f t="shared" si="2"/>
        <v>7795</v>
      </c>
      <c r="D29" s="114"/>
      <c r="E29" s="114"/>
      <c r="F29" s="114"/>
      <c r="G29" s="114"/>
      <c r="H29" s="114"/>
      <c r="I29" s="114"/>
      <c r="J29" s="114"/>
      <c r="K29" s="114"/>
      <c r="L29" s="114"/>
      <c r="M29" s="114"/>
      <c r="N29" s="114"/>
      <c r="O29" s="114"/>
      <c r="P29" s="114">
        <v>7795</v>
      </c>
      <c r="Q29" s="114"/>
      <c r="R29" s="114"/>
    </row>
    <row r="30" spans="1:18">
      <c r="A30" s="158">
        <v>20</v>
      </c>
      <c r="B30" s="159" t="s">
        <v>431</v>
      </c>
      <c r="C30" s="114">
        <f t="shared" si="2"/>
        <v>7767</v>
      </c>
      <c r="D30" s="114"/>
      <c r="E30" s="114"/>
      <c r="F30" s="114"/>
      <c r="G30" s="114"/>
      <c r="H30" s="114"/>
      <c r="I30" s="114"/>
      <c r="J30" s="114">
        <v>7767</v>
      </c>
      <c r="K30" s="114"/>
      <c r="L30" s="114"/>
      <c r="M30" s="114"/>
      <c r="N30" s="114"/>
      <c r="O30" s="114"/>
      <c r="P30" s="114"/>
      <c r="Q30" s="114"/>
      <c r="R30" s="114"/>
    </row>
    <row r="31" spans="1:18">
      <c r="A31" s="158">
        <v>21</v>
      </c>
      <c r="B31" s="160" t="s">
        <v>432</v>
      </c>
      <c r="C31" s="114">
        <f t="shared" si="2"/>
        <v>3381</v>
      </c>
      <c r="D31" s="114"/>
      <c r="E31" s="114"/>
      <c r="F31" s="114"/>
      <c r="G31" s="114"/>
      <c r="H31" s="114"/>
      <c r="I31" s="114"/>
      <c r="J31" s="114"/>
      <c r="K31" s="114"/>
      <c r="L31" s="114"/>
      <c r="M31" s="114"/>
      <c r="N31" s="114"/>
      <c r="O31" s="114"/>
      <c r="P31" s="114">
        <v>3381</v>
      </c>
      <c r="Q31" s="114"/>
      <c r="R31" s="114"/>
    </row>
    <row r="32" spans="1:18">
      <c r="A32" s="158">
        <v>22</v>
      </c>
      <c r="B32" s="160" t="s">
        <v>433</v>
      </c>
      <c r="C32" s="114">
        <f t="shared" si="2"/>
        <v>63360</v>
      </c>
      <c r="D32" s="114">
        <v>900</v>
      </c>
      <c r="E32" s="114"/>
      <c r="F32" s="114"/>
      <c r="G32" s="114"/>
      <c r="H32" s="114">
        <v>5000</v>
      </c>
      <c r="I32" s="114"/>
      <c r="J32" s="114"/>
      <c r="K32" s="114"/>
      <c r="L32" s="114"/>
      <c r="M32" s="114"/>
      <c r="N32" s="114"/>
      <c r="O32" s="114"/>
      <c r="P32" s="114">
        <v>57460</v>
      </c>
      <c r="Q32" s="114"/>
      <c r="R32" s="114"/>
    </row>
    <row r="33" spans="1:18">
      <c r="A33" s="158">
        <v>23</v>
      </c>
      <c r="B33" s="159" t="s">
        <v>434</v>
      </c>
      <c r="C33" s="114">
        <f t="shared" si="2"/>
        <v>5928</v>
      </c>
      <c r="D33" s="114"/>
      <c r="E33" s="114"/>
      <c r="F33" s="114"/>
      <c r="G33" s="114"/>
      <c r="H33" s="114"/>
      <c r="I33" s="114"/>
      <c r="J33" s="114"/>
      <c r="K33" s="114"/>
      <c r="L33" s="114"/>
      <c r="M33" s="114"/>
      <c r="N33" s="114"/>
      <c r="O33" s="114"/>
      <c r="P33" s="114">
        <v>5928</v>
      </c>
      <c r="Q33" s="114"/>
      <c r="R33" s="114"/>
    </row>
    <row r="34" spans="1:18">
      <c r="A34" s="158">
        <v>24</v>
      </c>
      <c r="B34" s="159" t="s">
        <v>435</v>
      </c>
      <c r="C34" s="114">
        <f t="shared" si="2"/>
        <v>6111</v>
      </c>
      <c r="D34" s="114"/>
      <c r="E34" s="114"/>
      <c r="F34" s="114"/>
      <c r="G34" s="114"/>
      <c r="H34" s="114"/>
      <c r="I34" s="114">
        <v>400</v>
      </c>
      <c r="J34" s="114"/>
      <c r="K34" s="114"/>
      <c r="L34" s="114"/>
      <c r="M34" s="114"/>
      <c r="N34" s="114"/>
      <c r="O34" s="114"/>
      <c r="P34" s="114">
        <v>5711</v>
      </c>
      <c r="Q34" s="114"/>
      <c r="R34" s="114"/>
    </row>
    <row r="35" spans="1:18">
      <c r="A35" s="158">
        <v>25</v>
      </c>
      <c r="B35" s="159" t="s">
        <v>436</v>
      </c>
      <c r="C35" s="114">
        <f t="shared" si="2"/>
        <v>4645</v>
      </c>
      <c r="D35" s="114"/>
      <c r="E35" s="114"/>
      <c r="F35" s="114"/>
      <c r="G35" s="114"/>
      <c r="H35" s="114"/>
      <c r="I35" s="114"/>
      <c r="J35" s="114"/>
      <c r="K35" s="114"/>
      <c r="L35" s="114"/>
      <c r="M35" s="114"/>
      <c r="N35" s="114"/>
      <c r="O35" s="114"/>
      <c r="P35" s="114">
        <v>4645</v>
      </c>
      <c r="Q35" s="114"/>
      <c r="R35" s="114"/>
    </row>
    <row r="36" spans="1:18">
      <c r="A36" s="158">
        <v>26</v>
      </c>
      <c r="B36" s="159" t="s">
        <v>437</v>
      </c>
      <c r="C36" s="114">
        <f t="shared" si="2"/>
        <v>4808</v>
      </c>
      <c r="D36" s="114"/>
      <c r="E36" s="114"/>
      <c r="F36" s="114"/>
      <c r="G36" s="114"/>
      <c r="H36" s="114"/>
      <c r="I36" s="114"/>
      <c r="J36" s="114"/>
      <c r="K36" s="114"/>
      <c r="L36" s="114"/>
      <c r="M36" s="114">
        <v>584</v>
      </c>
      <c r="N36" s="114"/>
      <c r="O36" s="114"/>
      <c r="P36" s="114">
        <v>4224</v>
      </c>
      <c r="Q36" s="114"/>
      <c r="R36" s="114"/>
    </row>
    <row r="37" spans="1:18">
      <c r="A37" s="158">
        <v>27</v>
      </c>
      <c r="B37" s="159" t="s">
        <v>438</v>
      </c>
      <c r="C37" s="114">
        <f t="shared" si="2"/>
        <v>1993</v>
      </c>
      <c r="D37" s="114"/>
      <c r="E37" s="114"/>
      <c r="F37" s="114"/>
      <c r="G37" s="114"/>
      <c r="H37" s="114"/>
      <c r="I37" s="114"/>
      <c r="J37" s="114"/>
      <c r="K37" s="114"/>
      <c r="L37" s="114"/>
      <c r="M37" s="114"/>
      <c r="N37" s="114"/>
      <c r="O37" s="114"/>
      <c r="P37" s="114">
        <v>1993</v>
      </c>
      <c r="Q37" s="114"/>
      <c r="R37" s="114"/>
    </row>
    <row r="38" spans="1:18">
      <c r="A38" s="158">
        <v>28</v>
      </c>
      <c r="B38" s="159" t="s">
        <v>439</v>
      </c>
      <c r="C38" s="114">
        <f t="shared" si="2"/>
        <v>33921</v>
      </c>
      <c r="D38" s="114">
        <v>33921</v>
      </c>
      <c r="E38" s="114"/>
      <c r="F38" s="114"/>
      <c r="G38" s="114"/>
      <c r="H38" s="114"/>
      <c r="I38" s="114"/>
      <c r="J38" s="114"/>
      <c r="K38" s="114"/>
      <c r="L38" s="114"/>
      <c r="M38" s="114"/>
      <c r="N38" s="114"/>
      <c r="O38" s="114"/>
      <c r="P38" s="114"/>
      <c r="Q38" s="114"/>
      <c r="R38" s="114"/>
    </row>
    <row r="39" spans="1:18">
      <c r="A39" s="158">
        <v>29</v>
      </c>
      <c r="B39" s="159" t="s">
        <v>440</v>
      </c>
      <c r="C39" s="114">
        <f t="shared" si="2"/>
        <v>7024</v>
      </c>
      <c r="D39" s="114">
        <v>7024</v>
      </c>
      <c r="E39" s="114"/>
      <c r="F39" s="114"/>
      <c r="G39" s="114"/>
      <c r="H39" s="114"/>
      <c r="I39" s="114"/>
      <c r="J39" s="114"/>
      <c r="K39" s="114"/>
      <c r="L39" s="114"/>
      <c r="M39" s="114"/>
      <c r="N39" s="114"/>
      <c r="O39" s="114"/>
      <c r="P39" s="114"/>
      <c r="Q39" s="114"/>
      <c r="R39" s="114"/>
    </row>
    <row r="40" spans="1:18">
      <c r="A40" s="158">
        <v>30</v>
      </c>
      <c r="B40" s="159" t="s">
        <v>441</v>
      </c>
      <c r="C40" s="114">
        <f t="shared" si="2"/>
        <v>5258</v>
      </c>
      <c r="D40" s="114">
        <v>5258</v>
      </c>
      <c r="E40" s="114"/>
      <c r="F40" s="114"/>
      <c r="G40" s="114"/>
      <c r="H40" s="114"/>
      <c r="I40" s="114"/>
      <c r="J40" s="114"/>
      <c r="K40" s="114"/>
      <c r="L40" s="114"/>
      <c r="M40" s="114"/>
      <c r="N40" s="114"/>
      <c r="O40" s="114"/>
      <c r="P40" s="114"/>
      <c r="Q40" s="114"/>
      <c r="R40" s="114"/>
    </row>
    <row r="41" spans="1:18">
      <c r="A41" s="158">
        <v>31</v>
      </c>
      <c r="B41" s="159" t="s">
        <v>442</v>
      </c>
      <c r="C41" s="114">
        <f t="shared" si="2"/>
        <v>16387</v>
      </c>
      <c r="D41" s="114">
        <v>16387</v>
      </c>
      <c r="E41" s="114"/>
      <c r="F41" s="114"/>
      <c r="G41" s="114"/>
      <c r="H41" s="114"/>
      <c r="I41" s="114"/>
      <c r="J41" s="114"/>
      <c r="K41" s="114"/>
      <c r="L41" s="114"/>
      <c r="M41" s="114"/>
      <c r="N41" s="114"/>
      <c r="O41" s="114"/>
      <c r="P41" s="114"/>
      <c r="Q41" s="114"/>
      <c r="R41" s="114"/>
    </row>
    <row r="42" spans="1:18" ht="25.5">
      <c r="A42" s="158">
        <v>32</v>
      </c>
      <c r="B42" s="159" t="s">
        <v>443</v>
      </c>
      <c r="C42" s="114">
        <f t="shared" si="2"/>
        <v>1556</v>
      </c>
      <c r="D42" s="114"/>
      <c r="E42" s="114"/>
      <c r="F42" s="114"/>
      <c r="G42" s="114"/>
      <c r="H42" s="114"/>
      <c r="I42" s="114"/>
      <c r="J42" s="114"/>
      <c r="K42" s="114"/>
      <c r="L42" s="114"/>
      <c r="M42" s="114">
        <v>1556</v>
      </c>
      <c r="N42" s="114"/>
      <c r="O42" s="114"/>
      <c r="P42" s="114"/>
      <c r="Q42" s="114"/>
      <c r="R42" s="114"/>
    </row>
    <row r="43" spans="1:18">
      <c r="A43" s="158">
        <v>33</v>
      </c>
      <c r="B43" s="159" t="s">
        <v>444</v>
      </c>
      <c r="C43" s="114">
        <f t="shared" si="2"/>
        <v>0</v>
      </c>
      <c r="D43" s="114"/>
      <c r="E43" s="114"/>
      <c r="F43" s="114"/>
      <c r="G43" s="114"/>
      <c r="H43" s="114"/>
      <c r="I43" s="114"/>
      <c r="J43" s="114"/>
      <c r="K43" s="114"/>
      <c r="L43" s="114"/>
      <c r="M43" s="114"/>
      <c r="N43" s="114"/>
      <c r="O43" s="114"/>
      <c r="P43" s="114"/>
      <c r="Q43" s="114"/>
      <c r="R43" s="114"/>
    </row>
    <row r="44" spans="1:18">
      <c r="A44" s="158">
        <v>34</v>
      </c>
      <c r="B44" s="159" t="s">
        <v>462</v>
      </c>
      <c r="C44" s="114">
        <f>SUM(D44:R44)-N44-O44</f>
        <v>58411</v>
      </c>
      <c r="D44" s="114"/>
      <c r="E44" s="114"/>
      <c r="F44" s="114">
        <v>58411</v>
      </c>
      <c r="G44" s="114"/>
      <c r="H44" s="114"/>
      <c r="I44" s="114"/>
      <c r="J44" s="114"/>
      <c r="K44" s="114"/>
      <c r="L44" s="114"/>
      <c r="M44" s="114"/>
      <c r="N44" s="114"/>
      <c r="O44" s="114"/>
      <c r="P44" s="114"/>
      <c r="Q44" s="114"/>
      <c r="R44" s="114"/>
    </row>
    <row r="45" spans="1:18">
      <c r="A45" s="158">
        <v>35</v>
      </c>
      <c r="B45" s="159" t="s">
        <v>463</v>
      </c>
      <c r="C45" s="114">
        <f>SUM(D45:R45)-N45-O45</f>
        <v>7575</v>
      </c>
      <c r="D45" s="114"/>
      <c r="E45" s="114"/>
      <c r="F45" s="114">
        <v>7575</v>
      </c>
      <c r="G45" s="114"/>
      <c r="H45" s="114"/>
      <c r="I45" s="114"/>
      <c r="J45" s="114"/>
      <c r="K45" s="114"/>
      <c r="L45" s="114"/>
      <c r="M45" s="114"/>
      <c r="N45" s="114"/>
      <c r="O45" s="114"/>
      <c r="P45" s="114"/>
      <c r="Q45" s="114"/>
      <c r="R45" s="114"/>
    </row>
    <row r="46" spans="1:18">
      <c r="A46" s="158">
        <v>36</v>
      </c>
      <c r="B46" s="159" t="s">
        <v>464</v>
      </c>
      <c r="C46" s="114">
        <f>SUM(D46:R46)-N46-O46</f>
        <v>26637</v>
      </c>
      <c r="D46" s="114"/>
      <c r="E46" s="114"/>
      <c r="F46" s="114"/>
      <c r="G46" s="114">
        <v>26037</v>
      </c>
      <c r="H46" s="114"/>
      <c r="I46" s="114"/>
      <c r="J46" s="114"/>
      <c r="K46" s="114"/>
      <c r="L46" s="114">
        <v>600</v>
      </c>
      <c r="M46" s="114"/>
      <c r="N46" s="114"/>
      <c r="O46" s="114"/>
      <c r="P46" s="114"/>
      <c r="Q46" s="114"/>
      <c r="R46" s="114"/>
    </row>
    <row r="47" spans="1:18">
      <c r="A47" s="158">
        <v>37</v>
      </c>
      <c r="B47" s="159" t="s">
        <v>465</v>
      </c>
      <c r="C47" s="114">
        <f>SUM(D47:R47)-N47-O47</f>
        <v>22460</v>
      </c>
      <c r="D47" s="114"/>
      <c r="E47" s="114">
        <v>22460</v>
      </c>
      <c r="F47" s="114"/>
      <c r="G47" s="114"/>
      <c r="H47" s="114"/>
      <c r="I47" s="114"/>
      <c r="J47" s="114"/>
      <c r="K47" s="114"/>
      <c r="L47" s="114"/>
      <c r="M47" s="114"/>
      <c r="N47" s="114"/>
      <c r="O47" s="114"/>
      <c r="P47" s="114"/>
      <c r="Q47" s="114"/>
      <c r="R47" s="114"/>
    </row>
    <row r="48" spans="1:18">
      <c r="A48" s="158">
        <v>38</v>
      </c>
      <c r="B48" s="159" t="s">
        <v>467</v>
      </c>
      <c r="C48" s="114">
        <f>SUM(D48:R48)-N48-O48</f>
        <v>0</v>
      </c>
      <c r="D48" s="114"/>
      <c r="E48" s="114"/>
      <c r="F48" s="114"/>
      <c r="G48" s="114"/>
      <c r="H48" s="114"/>
      <c r="I48" s="114"/>
      <c r="J48" s="114"/>
      <c r="K48" s="114"/>
      <c r="L48" s="114"/>
      <c r="M48" s="114"/>
      <c r="N48" s="114"/>
      <c r="O48" s="114"/>
      <c r="P48" s="114"/>
      <c r="Q48" s="114"/>
      <c r="R48" s="114"/>
    </row>
    <row r="49" spans="1:18" s="110" customFormat="1" ht="25.5">
      <c r="A49" s="163" t="s">
        <v>26</v>
      </c>
      <c r="B49" s="164" t="s">
        <v>468</v>
      </c>
      <c r="C49" s="124">
        <f>SUM(C50:C66)</f>
        <v>18490</v>
      </c>
      <c r="D49" s="124">
        <f t="shared" ref="D49:R49" si="3">SUM(D50:D66)</f>
        <v>0</v>
      </c>
      <c r="E49" s="124">
        <f t="shared" si="3"/>
        <v>2873</v>
      </c>
      <c r="F49" s="124">
        <f t="shared" si="3"/>
        <v>0</v>
      </c>
      <c r="G49" s="124">
        <f t="shared" si="3"/>
        <v>0</v>
      </c>
      <c r="H49" s="124">
        <f t="shared" si="3"/>
        <v>0</v>
      </c>
      <c r="I49" s="124">
        <f t="shared" si="3"/>
        <v>0</v>
      </c>
      <c r="J49" s="124">
        <f t="shared" si="3"/>
        <v>0</v>
      </c>
      <c r="K49" s="124">
        <f t="shared" si="3"/>
        <v>0</v>
      </c>
      <c r="L49" s="124">
        <f t="shared" si="3"/>
        <v>0</v>
      </c>
      <c r="M49" s="124">
        <f t="shared" si="3"/>
        <v>0</v>
      </c>
      <c r="N49" s="124">
        <f t="shared" si="3"/>
        <v>0</v>
      </c>
      <c r="O49" s="124">
        <f t="shared" si="3"/>
        <v>0</v>
      </c>
      <c r="P49" s="124">
        <f t="shared" si="3"/>
        <v>15617</v>
      </c>
      <c r="Q49" s="124">
        <f t="shared" si="3"/>
        <v>0</v>
      </c>
      <c r="R49" s="124">
        <f t="shared" si="3"/>
        <v>0</v>
      </c>
    </row>
    <row r="50" spans="1:18">
      <c r="A50" s="158">
        <v>1</v>
      </c>
      <c r="B50" s="165" t="s">
        <v>445</v>
      </c>
      <c r="C50" s="114">
        <f t="shared" si="2"/>
        <v>4265</v>
      </c>
      <c r="D50" s="114"/>
      <c r="E50" s="114">
        <v>2873</v>
      </c>
      <c r="F50" s="114"/>
      <c r="G50" s="114"/>
      <c r="H50" s="114"/>
      <c r="I50" s="114"/>
      <c r="J50" s="114"/>
      <c r="K50" s="114"/>
      <c r="L50" s="114"/>
      <c r="M50" s="114"/>
      <c r="N50" s="114"/>
      <c r="O50" s="114"/>
      <c r="P50" s="114">
        <v>1392</v>
      </c>
      <c r="Q50" s="114"/>
      <c r="R50" s="114"/>
    </row>
    <row r="51" spans="1:18">
      <c r="A51" s="158">
        <v>2</v>
      </c>
      <c r="B51" s="166" t="s">
        <v>446</v>
      </c>
      <c r="C51" s="114">
        <f t="shared" si="2"/>
        <v>774</v>
      </c>
      <c r="D51" s="114"/>
      <c r="E51" s="114"/>
      <c r="F51" s="114"/>
      <c r="G51" s="114"/>
      <c r="H51" s="114"/>
      <c r="I51" s="114"/>
      <c r="J51" s="114"/>
      <c r="K51" s="114"/>
      <c r="L51" s="114"/>
      <c r="M51" s="114"/>
      <c r="N51" s="114"/>
      <c r="O51" s="114"/>
      <c r="P51" s="114">
        <v>774</v>
      </c>
      <c r="Q51" s="114"/>
      <c r="R51" s="114"/>
    </row>
    <row r="52" spans="1:18">
      <c r="A52" s="158">
        <v>3</v>
      </c>
      <c r="B52" s="165" t="s">
        <v>447</v>
      </c>
      <c r="C52" s="114">
        <f t="shared" si="2"/>
        <v>770</v>
      </c>
      <c r="D52" s="114"/>
      <c r="E52" s="114"/>
      <c r="F52" s="114"/>
      <c r="G52" s="114"/>
      <c r="H52" s="114"/>
      <c r="I52" s="114"/>
      <c r="J52" s="114"/>
      <c r="K52" s="114"/>
      <c r="L52" s="114"/>
      <c r="M52" s="114"/>
      <c r="N52" s="114"/>
      <c r="O52" s="114"/>
      <c r="P52" s="114">
        <v>770</v>
      </c>
      <c r="Q52" s="114"/>
      <c r="R52" s="114"/>
    </row>
    <row r="53" spans="1:18">
      <c r="A53" s="158">
        <v>4</v>
      </c>
      <c r="B53" s="165" t="s">
        <v>448</v>
      </c>
      <c r="C53" s="114">
        <f t="shared" si="2"/>
        <v>596</v>
      </c>
      <c r="D53" s="114"/>
      <c r="E53" s="114"/>
      <c r="F53" s="114"/>
      <c r="G53" s="114"/>
      <c r="H53" s="114"/>
      <c r="I53" s="114"/>
      <c r="J53" s="114"/>
      <c r="K53" s="114"/>
      <c r="L53" s="114"/>
      <c r="M53" s="114"/>
      <c r="N53" s="114"/>
      <c r="O53" s="114"/>
      <c r="P53" s="114">
        <v>596</v>
      </c>
      <c r="Q53" s="114"/>
      <c r="R53" s="114"/>
    </row>
    <row r="54" spans="1:18">
      <c r="A54" s="158">
        <v>5</v>
      </c>
      <c r="B54" s="165" t="s">
        <v>449</v>
      </c>
      <c r="C54" s="114">
        <f t="shared" si="2"/>
        <v>687</v>
      </c>
      <c r="D54" s="114"/>
      <c r="E54" s="114"/>
      <c r="F54" s="114"/>
      <c r="G54" s="114"/>
      <c r="H54" s="114"/>
      <c r="I54" s="114"/>
      <c r="J54" s="114"/>
      <c r="K54" s="114"/>
      <c r="L54" s="114"/>
      <c r="M54" s="114"/>
      <c r="N54" s="114"/>
      <c r="O54" s="114"/>
      <c r="P54" s="114">
        <v>687</v>
      </c>
      <c r="Q54" s="114"/>
      <c r="R54" s="114"/>
    </row>
    <row r="55" spans="1:18">
      <c r="A55" s="158">
        <v>6</v>
      </c>
      <c r="B55" s="165" t="s">
        <v>450</v>
      </c>
      <c r="C55" s="114">
        <f t="shared" si="2"/>
        <v>733</v>
      </c>
      <c r="D55" s="114"/>
      <c r="E55" s="114"/>
      <c r="F55" s="114"/>
      <c r="G55" s="114"/>
      <c r="H55" s="114"/>
      <c r="I55" s="114"/>
      <c r="J55" s="114"/>
      <c r="K55" s="114"/>
      <c r="L55" s="114"/>
      <c r="M55" s="114"/>
      <c r="N55" s="114"/>
      <c r="O55" s="114"/>
      <c r="P55" s="114">
        <v>733</v>
      </c>
      <c r="Q55" s="114"/>
      <c r="R55" s="114"/>
    </row>
    <row r="56" spans="1:18">
      <c r="A56" s="158">
        <v>7</v>
      </c>
      <c r="B56" s="166" t="s">
        <v>451</v>
      </c>
      <c r="C56" s="114">
        <f t="shared" si="2"/>
        <v>1426</v>
      </c>
      <c r="D56" s="114"/>
      <c r="E56" s="114"/>
      <c r="F56" s="114"/>
      <c r="G56" s="114"/>
      <c r="H56" s="114"/>
      <c r="I56" s="114"/>
      <c r="J56" s="114"/>
      <c r="K56" s="114"/>
      <c r="L56" s="114"/>
      <c r="M56" s="114"/>
      <c r="N56" s="114"/>
      <c r="O56" s="114"/>
      <c r="P56" s="114">
        <v>1426</v>
      </c>
      <c r="Q56" s="114"/>
      <c r="R56" s="114"/>
    </row>
    <row r="57" spans="1:18">
      <c r="A57" s="158">
        <v>8</v>
      </c>
      <c r="B57" s="165" t="s">
        <v>452</v>
      </c>
      <c r="C57" s="114">
        <f t="shared" si="2"/>
        <v>2289</v>
      </c>
      <c r="D57" s="114"/>
      <c r="E57" s="114"/>
      <c r="F57" s="114"/>
      <c r="G57" s="114"/>
      <c r="H57" s="114"/>
      <c r="I57" s="114"/>
      <c r="J57" s="114"/>
      <c r="K57" s="114"/>
      <c r="L57" s="114"/>
      <c r="M57" s="114"/>
      <c r="N57" s="114"/>
      <c r="O57" s="114"/>
      <c r="P57" s="114">
        <v>2289</v>
      </c>
      <c r="Q57" s="114"/>
      <c r="R57" s="114"/>
    </row>
    <row r="58" spans="1:18">
      <c r="A58" s="158">
        <v>9</v>
      </c>
      <c r="B58" s="165" t="s">
        <v>453</v>
      </c>
      <c r="C58" s="114">
        <f t="shared" si="2"/>
        <v>1751</v>
      </c>
      <c r="D58" s="114"/>
      <c r="E58" s="114"/>
      <c r="F58" s="114"/>
      <c r="G58" s="114"/>
      <c r="H58" s="114"/>
      <c r="I58" s="114"/>
      <c r="J58" s="114"/>
      <c r="K58" s="114"/>
      <c r="L58" s="114"/>
      <c r="M58" s="114"/>
      <c r="N58" s="114"/>
      <c r="O58" s="114"/>
      <c r="P58" s="114">
        <v>1751</v>
      </c>
      <c r="Q58" s="114"/>
      <c r="R58" s="114"/>
    </row>
    <row r="59" spans="1:18">
      <c r="A59" s="158">
        <v>10</v>
      </c>
      <c r="B59" s="165" t="s">
        <v>454</v>
      </c>
      <c r="C59" s="114">
        <f t="shared" si="2"/>
        <v>462</v>
      </c>
      <c r="D59" s="114"/>
      <c r="E59" s="114"/>
      <c r="F59" s="114"/>
      <c r="G59" s="114"/>
      <c r="H59" s="114"/>
      <c r="I59" s="114"/>
      <c r="J59" s="114"/>
      <c r="K59" s="114"/>
      <c r="L59" s="114"/>
      <c r="M59" s="114"/>
      <c r="N59" s="114"/>
      <c r="O59" s="114"/>
      <c r="P59" s="114">
        <v>462</v>
      </c>
      <c r="Q59" s="114"/>
      <c r="R59" s="114"/>
    </row>
    <row r="60" spans="1:18">
      <c r="A60" s="158">
        <v>11</v>
      </c>
      <c r="B60" s="165" t="s">
        <v>455</v>
      </c>
      <c r="C60" s="114">
        <f t="shared" si="2"/>
        <v>784</v>
      </c>
      <c r="D60" s="114"/>
      <c r="E60" s="114"/>
      <c r="F60" s="114"/>
      <c r="G60" s="114"/>
      <c r="H60" s="114"/>
      <c r="I60" s="114"/>
      <c r="J60" s="114"/>
      <c r="K60" s="114"/>
      <c r="L60" s="114"/>
      <c r="M60" s="114"/>
      <c r="N60" s="114"/>
      <c r="O60" s="114"/>
      <c r="P60" s="114">
        <v>784</v>
      </c>
      <c r="Q60" s="114"/>
      <c r="R60" s="114"/>
    </row>
    <row r="61" spans="1:18">
      <c r="A61" s="158">
        <v>12</v>
      </c>
      <c r="B61" s="165" t="s">
        <v>456</v>
      </c>
      <c r="C61" s="114">
        <f t="shared" si="2"/>
        <v>1044</v>
      </c>
      <c r="D61" s="114"/>
      <c r="E61" s="114"/>
      <c r="F61" s="114"/>
      <c r="G61" s="114"/>
      <c r="H61" s="114"/>
      <c r="I61" s="114"/>
      <c r="J61" s="114"/>
      <c r="K61" s="114"/>
      <c r="L61" s="114"/>
      <c r="M61" s="114"/>
      <c r="N61" s="114"/>
      <c r="O61" s="114"/>
      <c r="P61" s="114">
        <v>1044</v>
      </c>
      <c r="Q61" s="114"/>
      <c r="R61" s="114"/>
    </row>
    <row r="62" spans="1:18">
      <c r="A62" s="158">
        <v>13</v>
      </c>
      <c r="B62" s="165" t="s">
        <v>457</v>
      </c>
      <c r="C62" s="114">
        <f t="shared" si="2"/>
        <v>669</v>
      </c>
      <c r="D62" s="114"/>
      <c r="E62" s="114"/>
      <c r="F62" s="114"/>
      <c r="G62" s="114"/>
      <c r="H62" s="114"/>
      <c r="I62" s="114"/>
      <c r="J62" s="114"/>
      <c r="K62" s="114"/>
      <c r="L62" s="114"/>
      <c r="M62" s="114"/>
      <c r="N62" s="114"/>
      <c r="O62" s="114"/>
      <c r="P62" s="114">
        <v>669</v>
      </c>
      <c r="Q62" s="114"/>
      <c r="R62" s="114"/>
    </row>
    <row r="63" spans="1:18">
      <c r="A63" s="158">
        <v>14</v>
      </c>
      <c r="B63" s="165" t="s">
        <v>458</v>
      </c>
      <c r="C63" s="114">
        <f t="shared" si="2"/>
        <v>725</v>
      </c>
      <c r="D63" s="114"/>
      <c r="E63" s="114"/>
      <c r="F63" s="114"/>
      <c r="G63" s="114"/>
      <c r="H63" s="114"/>
      <c r="I63" s="114"/>
      <c r="J63" s="114"/>
      <c r="K63" s="114"/>
      <c r="L63" s="114"/>
      <c r="M63" s="114"/>
      <c r="N63" s="114"/>
      <c r="O63" s="114"/>
      <c r="P63" s="114">
        <v>725</v>
      </c>
      <c r="Q63" s="114"/>
      <c r="R63" s="114"/>
    </row>
    <row r="64" spans="1:18">
      <c r="A64" s="158">
        <v>15</v>
      </c>
      <c r="B64" s="165" t="s">
        <v>459</v>
      </c>
      <c r="C64" s="114">
        <f t="shared" si="2"/>
        <v>384</v>
      </c>
      <c r="D64" s="114"/>
      <c r="E64" s="114"/>
      <c r="F64" s="114"/>
      <c r="G64" s="114"/>
      <c r="H64" s="114"/>
      <c r="I64" s="114"/>
      <c r="J64" s="114"/>
      <c r="K64" s="114"/>
      <c r="L64" s="114"/>
      <c r="M64" s="114"/>
      <c r="N64" s="114"/>
      <c r="O64" s="114"/>
      <c r="P64" s="114">
        <v>384</v>
      </c>
      <c r="Q64" s="114"/>
      <c r="R64" s="114"/>
    </row>
    <row r="65" spans="1:18">
      <c r="A65" s="158">
        <v>16</v>
      </c>
      <c r="B65" s="165" t="s">
        <v>460</v>
      </c>
      <c r="C65" s="114">
        <f t="shared" si="2"/>
        <v>580</v>
      </c>
      <c r="D65" s="114"/>
      <c r="E65" s="114"/>
      <c r="F65" s="114"/>
      <c r="G65" s="114"/>
      <c r="H65" s="114"/>
      <c r="I65" s="114"/>
      <c r="J65" s="114"/>
      <c r="K65" s="114"/>
      <c r="L65" s="114"/>
      <c r="M65" s="114"/>
      <c r="N65" s="114"/>
      <c r="O65" s="114"/>
      <c r="P65" s="114">
        <v>580</v>
      </c>
      <c r="Q65" s="114"/>
      <c r="R65" s="114"/>
    </row>
    <row r="66" spans="1:18">
      <c r="A66" s="158">
        <v>17</v>
      </c>
      <c r="B66" s="165" t="s">
        <v>461</v>
      </c>
      <c r="C66" s="114">
        <f t="shared" si="2"/>
        <v>551</v>
      </c>
      <c r="D66" s="114"/>
      <c r="E66" s="114"/>
      <c r="F66" s="114"/>
      <c r="G66" s="114"/>
      <c r="H66" s="114"/>
      <c r="I66" s="114"/>
      <c r="J66" s="114"/>
      <c r="K66" s="114"/>
      <c r="L66" s="114"/>
      <c r="M66" s="114"/>
      <c r="N66" s="114"/>
      <c r="O66" s="114"/>
      <c r="P66" s="114">
        <v>551</v>
      </c>
      <c r="Q66" s="114"/>
      <c r="R66" s="114"/>
    </row>
    <row r="67" spans="1:18" s="110" customFormat="1">
      <c r="A67" s="163" t="s">
        <v>33</v>
      </c>
      <c r="B67" s="164" t="s">
        <v>470</v>
      </c>
      <c r="C67" s="124">
        <f t="shared" si="2"/>
        <v>43310</v>
      </c>
      <c r="D67" s="124"/>
      <c r="E67" s="124"/>
      <c r="F67" s="124"/>
      <c r="G67" s="124"/>
      <c r="H67" s="124"/>
      <c r="I67" s="124"/>
      <c r="J67" s="124"/>
      <c r="K67" s="124"/>
      <c r="L67" s="124"/>
      <c r="M67" s="124">
        <v>43310</v>
      </c>
      <c r="N67" s="124"/>
      <c r="O67" s="124"/>
      <c r="P67" s="124"/>
      <c r="Q67" s="124"/>
      <c r="R67" s="124"/>
    </row>
    <row r="68" spans="1:18" s="110" customFormat="1">
      <c r="A68" s="163" t="s">
        <v>110</v>
      </c>
      <c r="B68" s="164" t="s">
        <v>471</v>
      </c>
      <c r="C68" s="124">
        <f t="shared" si="2"/>
        <v>30000</v>
      </c>
      <c r="D68" s="124"/>
      <c r="E68" s="124"/>
      <c r="F68" s="124"/>
      <c r="G68" s="124"/>
      <c r="H68" s="124"/>
      <c r="I68" s="124"/>
      <c r="J68" s="124"/>
      <c r="K68" s="124"/>
      <c r="L68" s="124"/>
      <c r="M68" s="124">
        <v>30000</v>
      </c>
      <c r="N68" s="124"/>
      <c r="O68" s="124"/>
      <c r="P68" s="124"/>
      <c r="Q68" s="124"/>
      <c r="R68" s="124"/>
    </row>
    <row r="69" spans="1:18" s="110" customFormat="1" ht="38.25">
      <c r="A69" s="163" t="s">
        <v>112</v>
      </c>
      <c r="B69" s="164" t="s">
        <v>466</v>
      </c>
      <c r="C69" s="124">
        <f t="shared" si="2"/>
        <v>246238</v>
      </c>
      <c r="D69" s="124"/>
      <c r="E69" s="124"/>
      <c r="F69" s="124"/>
      <c r="G69" s="124"/>
      <c r="H69" s="124"/>
      <c r="I69" s="124"/>
      <c r="J69" s="124"/>
      <c r="K69" s="124"/>
      <c r="L69" s="124"/>
      <c r="M69" s="124"/>
      <c r="N69" s="124"/>
      <c r="O69" s="124"/>
      <c r="P69" s="124"/>
      <c r="Q69" s="124">
        <v>246238</v>
      </c>
      <c r="R69" s="124"/>
    </row>
    <row r="70" spans="1:18" s="110" customFormat="1">
      <c r="A70" s="163" t="s">
        <v>114</v>
      </c>
      <c r="B70" s="164" t="s">
        <v>476</v>
      </c>
      <c r="C70" s="124">
        <f>SUM(D70:R70)-N70-O70</f>
        <v>389725</v>
      </c>
      <c r="D70" s="124">
        <v>101058</v>
      </c>
      <c r="E70" s="124"/>
      <c r="F70" s="124"/>
      <c r="G70" s="124"/>
      <c r="H70" s="124">
        <v>51688</v>
      </c>
      <c r="I70" s="124"/>
      <c r="J70" s="124"/>
      <c r="K70" s="124"/>
      <c r="L70" s="124"/>
      <c r="M70" s="124"/>
      <c r="N70" s="124"/>
      <c r="O70" s="124"/>
      <c r="P70" s="124"/>
      <c r="Q70" s="124"/>
      <c r="R70" s="124">
        <v>236979</v>
      </c>
    </row>
    <row r="71" spans="1:18" s="154" customFormat="1" hidden="1">
      <c r="A71" s="167"/>
      <c r="B71" s="168" t="s">
        <v>475</v>
      </c>
      <c r="C71" s="124">
        <f t="shared" si="2"/>
        <v>0</v>
      </c>
      <c r="D71" s="138"/>
      <c r="E71" s="138"/>
      <c r="F71" s="138"/>
      <c r="G71" s="138"/>
      <c r="H71" s="138"/>
      <c r="I71" s="138"/>
      <c r="J71" s="138"/>
      <c r="K71" s="138"/>
      <c r="L71" s="138"/>
      <c r="M71" s="138"/>
      <c r="N71" s="138"/>
      <c r="O71" s="138"/>
      <c r="P71" s="138"/>
      <c r="Q71" s="138"/>
      <c r="R71" s="138"/>
    </row>
    <row r="72" spans="1:18" s="179" customFormat="1" ht="13.5" hidden="1">
      <c r="A72" s="175"/>
      <c r="B72" s="176" t="s">
        <v>474</v>
      </c>
      <c r="C72" s="177">
        <f>SUM(D72:R72)-N72-O72</f>
        <v>0</v>
      </c>
      <c r="D72" s="178"/>
      <c r="E72" s="178"/>
      <c r="F72" s="178"/>
      <c r="G72" s="178"/>
      <c r="H72" s="178"/>
      <c r="I72" s="178"/>
      <c r="J72" s="178"/>
      <c r="K72" s="178"/>
      <c r="L72" s="178"/>
      <c r="M72" s="178"/>
      <c r="N72" s="178"/>
      <c r="O72" s="178"/>
      <c r="P72" s="178"/>
      <c r="Q72" s="178"/>
      <c r="R72" s="178"/>
    </row>
    <row r="73" spans="1:18" s="179" customFormat="1" ht="13.5" hidden="1">
      <c r="A73" s="175"/>
      <c r="B73" s="180" t="s">
        <v>472</v>
      </c>
      <c r="C73" s="177">
        <f t="shared" ref="C73:C75" si="4">SUM(D73:R73)-N73-O73</f>
        <v>5500</v>
      </c>
      <c r="D73" s="178"/>
      <c r="E73" s="178"/>
      <c r="F73" s="178"/>
      <c r="G73" s="178"/>
      <c r="H73" s="178"/>
      <c r="I73" s="178"/>
      <c r="J73" s="178"/>
      <c r="K73" s="178"/>
      <c r="L73" s="178"/>
      <c r="M73" s="178"/>
      <c r="N73" s="178"/>
      <c r="O73" s="178"/>
      <c r="P73" s="178"/>
      <c r="Q73" s="178"/>
      <c r="R73" s="178">
        <f>3000+2500</f>
        <v>5500</v>
      </c>
    </row>
    <row r="74" spans="1:18" s="179" customFormat="1" ht="27" hidden="1">
      <c r="A74" s="175"/>
      <c r="B74" s="180" t="s">
        <v>473</v>
      </c>
      <c r="C74" s="177">
        <f t="shared" si="4"/>
        <v>30000</v>
      </c>
      <c r="D74" s="178"/>
      <c r="E74" s="178"/>
      <c r="F74" s="178"/>
      <c r="G74" s="178"/>
      <c r="H74" s="178"/>
      <c r="I74" s="178"/>
      <c r="J74" s="178"/>
      <c r="K74" s="178"/>
      <c r="L74" s="178"/>
      <c r="M74" s="178"/>
      <c r="N74" s="178"/>
      <c r="O74" s="178"/>
      <c r="P74" s="178"/>
      <c r="Q74" s="178"/>
      <c r="R74" s="178">
        <v>30000</v>
      </c>
    </row>
    <row r="75" spans="1:18" s="179" customFormat="1" ht="40.5" hidden="1">
      <c r="A75" s="175"/>
      <c r="B75" s="180" t="s">
        <v>517</v>
      </c>
      <c r="C75" s="177">
        <f t="shared" si="4"/>
        <v>30000</v>
      </c>
      <c r="D75" s="178"/>
      <c r="E75" s="178"/>
      <c r="F75" s="178"/>
      <c r="G75" s="178"/>
      <c r="H75" s="178"/>
      <c r="I75" s="178"/>
      <c r="J75" s="178"/>
      <c r="K75" s="178"/>
      <c r="L75" s="178"/>
      <c r="M75" s="178"/>
      <c r="N75" s="178"/>
      <c r="O75" s="178"/>
      <c r="P75" s="178"/>
      <c r="Q75" s="178"/>
      <c r="R75" s="178">
        <v>30000</v>
      </c>
    </row>
    <row r="76" spans="1:18" s="179" customFormat="1" ht="27" hidden="1">
      <c r="A76" s="175"/>
      <c r="B76" s="180" t="s">
        <v>484</v>
      </c>
      <c r="C76" s="177">
        <f t="shared" si="2"/>
        <v>0</v>
      </c>
      <c r="D76" s="178"/>
      <c r="E76" s="178"/>
      <c r="F76" s="178"/>
      <c r="G76" s="178"/>
      <c r="H76" s="178"/>
      <c r="I76" s="178"/>
      <c r="J76" s="178"/>
      <c r="K76" s="178"/>
      <c r="L76" s="178"/>
      <c r="M76" s="178"/>
      <c r="N76" s="178"/>
      <c r="O76" s="178"/>
      <c r="P76" s="178"/>
      <c r="Q76" s="178"/>
      <c r="R76" s="178"/>
    </row>
    <row r="77" spans="1:18" s="154" customFormat="1" ht="13.5">
      <c r="A77" s="151"/>
      <c r="B77" s="169"/>
      <c r="C77" s="170"/>
      <c r="D77" s="152"/>
      <c r="E77" s="152"/>
      <c r="F77" s="152"/>
      <c r="G77" s="152"/>
      <c r="H77" s="152"/>
      <c r="I77" s="152"/>
      <c r="J77" s="152"/>
      <c r="K77" s="152"/>
      <c r="L77" s="152"/>
      <c r="M77" s="152"/>
      <c r="N77" s="152"/>
      <c r="O77" s="152"/>
      <c r="P77" s="152"/>
      <c r="Q77" s="152"/>
      <c r="R77" s="152"/>
    </row>
  </sheetData>
  <mergeCells count="22">
    <mergeCell ref="A1:B1"/>
    <mergeCell ref="P1:R1"/>
    <mergeCell ref="A2:R2"/>
    <mergeCell ref="A3:R3"/>
    <mergeCell ref="Q5:R5"/>
    <mergeCell ref="A6:A7"/>
    <mergeCell ref="B6:B7"/>
    <mergeCell ref="C6:C7"/>
    <mergeCell ref="D6:D7"/>
    <mergeCell ref="E6:E7"/>
    <mergeCell ref="Q6:Q7"/>
    <mergeCell ref="R6:R7"/>
    <mergeCell ref="N6:O6"/>
    <mergeCell ref="P6:P7"/>
    <mergeCell ref="F6:F7"/>
    <mergeCell ref="G6:G7"/>
    <mergeCell ref="H6:H7"/>
    <mergeCell ref="I6:I7"/>
    <mergeCell ref="J6:J7"/>
    <mergeCell ref="K6:K7"/>
    <mergeCell ref="L6:L7"/>
    <mergeCell ref="M6:M7"/>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topLeftCell="A7" workbookViewId="0">
      <selection activeCell="A3" sqref="A3:C3"/>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563" t="str">
        <f>'47'!A1:B1</f>
        <v>UBND TỈNH TIỀN GIANG</v>
      </c>
      <c r="B1" s="563"/>
      <c r="C1" s="563"/>
      <c r="L1" s="542" t="s">
        <v>531</v>
      </c>
      <c r="M1" s="542"/>
    </row>
    <row r="2" spans="1:16" ht="21" customHeight="1">
      <c r="A2" s="542" t="s">
        <v>527</v>
      </c>
      <c r="B2" s="542"/>
      <c r="C2" s="542"/>
      <c r="D2" s="542"/>
      <c r="E2" s="542"/>
      <c r="F2" s="542"/>
      <c r="G2" s="542"/>
      <c r="H2" s="542"/>
      <c r="I2" s="542"/>
      <c r="J2" s="542"/>
      <c r="K2" s="542"/>
      <c r="L2" s="542"/>
      <c r="M2" s="542"/>
    </row>
    <row r="3" spans="1:16">
      <c r="A3" s="544" t="str">
        <f>'46,'!A4:C4</f>
        <v>(Kèm theo Quyết định số ………../QĐ-UBND ngày    /12/2018 của Ủy ban nhân dân tỉnh Tiền Giang)</v>
      </c>
      <c r="B3" s="544"/>
      <c r="C3" s="544"/>
      <c r="D3" s="544"/>
      <c r="E3" s="544"/>
      <c r="F3" s="544"/>
      <c r="G3" s="544"/>
      <c r="H3" s="544"/>
      <c r="I3" s="544"/>
      <c r="J3" s="544"/>
      <c r="K3" s="544"/>
      <c r="L3" s="544"/>
      <c r="M3" s="544"/>
    </row>
    <row r="4" spans="1:16" ht="27" customHeight="1">
      <c r="A4" s="105"/>
      <c r="L4" s="543" t="s">
        <v>3</v>
      </c>
      <c r="M4" s="543"/>
    </row>
    <row r="5" spans="1:16" ht="15" customHeight="1">
      <c r="A5" s="545" t="s">
        <v>4</v>
      </c>
      <c r="B5" s="545" t="s">
        <v>69</v>
      </c>
      <c r="C5" s="545" t="s">
        <v>70</v>
      </c>
      <c r="D5" s="545" t="s">
        <v>281</v>
      </c>
      <c r="E5" s="545" t="s">
        <v>282</v>
      </c>
      <c r="F5" s="545"/>
      <c r="G5" s="545"/>
      <c r="H5" s="545" t="s">
        <v>283</v>
      </c>
      <c r="I5" s="545" t="s">
        <v>284</v>
      </c>
      <c r="J5" s="545" t="s">
        <v>411</v>
      </c>
      <c r="K5" s="545" t="s">
        <v>516</v>
      </c>
      <c r="L5" s="545" t="s">
        <v>489</v>
      </c>
      <c r="M5" s="545" t="s">
        <v>285</v>
      </c>
    </row>
    <row r="6" spans="1:16" hidden="1">
      <c r="A6" s="545"/>
      <c r="B6" s="545"/>
      <c r="C6" s="545"/>
      <c r="D6" s="545"/>
      <c r="E6" s="545" t="s">
        <v>286</v>
      </c>
      <c r="F6" s="568"/>
      <c r="G6" s="569"/>
      <c r="H6" s="545"/>
      <c r="I6" s="545"/>
      <c r="J6" s="545"/>
      <c r="K6" s="545"/>
      <c r="L6" s="545"/>
      <c r="M6" s="545"/>
    </row>
    <row r="7" spans="1:16" ht="63.75" customHeight="1">
      <c r="A7" s="545"/>
      <c r="B7" s="545"/>
      <c r="C7" s="545"/>
      <c r="D7" s="545"/>
      <c r="E7" s="545"/>
      <c r="F7" s="213" t="s">
        <v>45</v>
      </c>
      <c r="G7" s="213" t="s">
        <v>287</v>
      </c>
      <c r="H7" s="545"/>
      <c r="I7" s="545"/>
      <c r="J7" s="545"/>
      <c r="K7" s="545"/>
      <c r="L7" s="545"/>
      <c r="M7" s="545"/>
    </row>
    <row r="8" spans="1:16" s="183" customFormat="1" ht="25.5">
      <c r="A8" s="181" t="s">
        <v>11</v>
      </c>
      <c r="B8" s="181" t="s">
        <v>12</v>
      </c>
      <c r="C8" s="181">
        <v>1</v>
      </c>
      <c r="D8" s="213" t="s">
        <v>1331</v>
      </c>
      <c r="E8" s="181">
        <v>3</v>
      </c>
      <c r="F8" s="181">
        <v>4</v>
      </c>
      <c r="G8" s="181">
        <v>4</v>
      </c>
      <c r="H8" s="181">
        <v>5</v>
      </c>
      <c r="I8" s="181">
        <v>6</v>
      </c>
      <c r="J8" s="181">
        <v>7</v>
      </c>
      <c r="K8" s="207">
        <v>8</v>
      </c>
      <c r="L8" s="181">
        <v>9</v>
      </c>
      <c r="M8" s="213" t="s">
        <v>1332</v>
      </c>
      <c r="N8" s="183">
        <f>M9-'03'!E9</f>
        <v>0</v>
      </c>
    </row>
    <row r="9" spans="1:16" s="125" customFormat="1" ht="14.25">
      <c r="A9" s="107"/>
      <c r="B9" s="109" t="s">
        <v>159</v>
      </c>
      <c r="C9" s="109">
        <f>SUM(C10:C20)</f>
        <v>1628500</v>
      </c>
      <c r="D9" s="109">
        <f t="shared" ref="D9:L9" si="0">SUM(D10:D20)</f>
        <v>1558625</v>
      </c>
      <c r="E9" s="109">
        <f t="shared" si="0"/>
        <v>763262</v>
      </c>
      <c r="F9" s="109">
        <f t="shared" si="0"/>
        <v>795363</v>
      </c>
      <c r="G9" s="109">
        <f t="shared" si="0"/>
        <v>795363</v>
      </c>
      <c r="H9" s="109">
        <f t="shared" si="0"/>
        <v>3089500</v>
      </c>
      <c r="I9" s="109">
        <f t="shared" si="0"/>
        <v>168404</v>
      </c>
      <c r="J9" s="109">
        <f t="shared" si="0"/>
        <v>414165</v>
      </c>
      <c r="K9" s="109">
        <f t="shared" ref="K9" si="1">SUM(K10:K20)</f>
        <v>37167</v>
      </c>
      <c r="L9" s="109">
        <f t="shared" si="0"/>
        <v>359649</v>
      </c>
      <c r="M9" s="109">
        <f>SUM(M10:M20)</f>
        <v>5627510</v>
      </c>
      <c r="P9" s="125">
        <f>M9-'03'!E9</f>
        <v>0</v>
      </c>
    </row>
    <row r="10" spans="1:16">
      <c r="A10" s="112">
        <v>1</v>
      </c>
      <c r="B10" s="102" t="s">
        <v>382</v>
      </c>
      <c r="C10" s="114">
        <f>'02'!C11</f>
        <v>754600</v>
      </c>
      <c r="D10" s="114">
        <f>E10+G10</f>
        <v>743265</v>
      </c>
      <c r="E10" s="114">
        <v>461295</v>
      </c>
      <c r="F10" s="114">
        <v>281970</v>
      </c>
      <c r="G10" s="114">
        <f>F10</f>
        <v>281970</v>
      </c>
      <c r="H10" s="114">
        <v>71563</v>
      </c>
      <c r="I10" s="114">
        <v>0</v>
      </c>
      <c r="J10" s="114">
        <f>21174+3850</f>
        <v>25024</v>
      </c>
      <c r="K10" s="114">
        <f>'09'!J9</f>
        <v>2076</v>
      </c>
      <c r="L10" s="114">
        <v>32037</v>
      </c>
      <c r="M10" s="114">
        <f>D10+H10+I10+J10+L10+K10</f>
        <v>873965</v>
      </c>
      <c r="N10" s="122">
        <f>M10-'08'!E11</f>
        <v>0</v>
      </c>
    </row>
    <row r="11" spans="1:16">
      <c r="A11" s="112">
        <v>2</v>
      </c>
      <c r="B11" s="101" t="s">
        <v>380</v>
      </c>
      <c r="C11" s="114">
        <f>'02'!C12</f>
        <v>95000</v>
      </c>
      <c r="D11" s="114">
        <f t="shared" ref="D11:D20" si="2">E11+G11</f>
        <v>86630</v>
      </c>
      <c r="E11" s="114">
        <v>33935</v>
      </c>
      <c r="F11" s="114">
        <v>52695</v>
      </c>
      <c r="G11" s="114">
        <f t="shared" ref="G11:G20" si="3">F11</f>
        <v>52695</v>
      </c>
      <c r="H11" s="114">
        <v>224998</v>
      </c>
      <c r="I11" s="195">
        <v>10858</v>
      </c>
      <c r="J11" s="114">
        <f>5795+19750</f>
        <v>25545</v>
      </c>
      <c r="K11" s="114">
        <f>'09'!J10</f>
        <v>1956</v>
      </c>
      <c r="L11" s="114">
        <v>34016</v>
      </c>
      <c r="M11" s="114">
        <f t="shared" ref="M11:M20" si="4">D11+H11+I11+J11+L11+K11</f>
        <v>384003</v>
      </c>
      <c r="N11" s="122">
        <f>M11-'08'!E12</f>
        <v>0</v>
      </c>
    </row>
    <row r="12" spans="1:16">
      <c r="A12" s="112">
        <v>3</v>
      </c>
      <c r="B12" s="100" t="s">
        <v>381</v>
      </c>
      <c r="C12" s="114">
        <f>'02'!C13</f>
        <v>100200</v>
      </c>
      <c r="D12" s="114">
        <f>E12+G12+1</f>
        <v>92531</v>
      </c>
      <c r="E12" s="114">
        <v>30680</v>
      </c>
      <c r="F12" s="114">
        <v>61850</v>
      </c>
      <c r="G12" s="114">
        <f t="shared" si="3"/>
        <v>61850</v>
      </c>
      <c r="H12" s="114">
        <v>265919</v>
      </c>
      <c r="I12" s="195">
        <v>13866</v>
      </c>
      <c r="J12" s="114">
        <f>7482+26100</f>
        <v>33582</v>
      </c>
      <c r="K12" s="114">
        <f>'09'!J11</f>
        <v>3859</v>
      </c>
      <c r="L12" s="114">
        <v>36831</v>
      </c>
      <c r="M12" s="114">
        <f t="shared" si="4"/>
        <v>446588</v>
      </c>
      <c r="N12" s="122">
        <f>M12-'08'!E13</f>
        <v>0</v>
      </c>
    </row>
    <row r="13" spans="1:16">
      <c r="A13" s="112">
        <v>4</v>
      </c>
      <c r="B13" s="100" t="s">
        <v>372</v>
      </c>
      <c r="C13" s="114">
        <f>'02'!C14</f>
        <v>163300</v>
      </c>
      <c r="D13" s="114">
        <f t="shared" si="2"/>
        <v>156400</v>
      </c>
      <c r="E13" s="114">
        <v>55060</v>
      </c>
      <c r="F13" s="114">
        <v>101340</v>
      </c>
      <c r="G13" s="114">
        <f t="shared" si="3"/>
        <v>101340</v>
      </c>
      <c r="H13" s="114">
        <v>492819</v>
      </c>
      <c r="I13" s="195">
        <v>20618</v>
      </c>
      <c r="J13" s="114">
        <f>11024+38350</f>
        <v>49374</v>
      </c>
      <c r="K13" s="114">
        <f>'09'!J12</f>
        <v>8006</v>
      </c>
      <c r="L13" s="114">
        <v>33055</v>
      </c>
      <c r="M13" s="114">
        <f t="shared" si="4"/>
        <v>760272</v>
      </c>
      <c r="N13" s="122">
        <f>M13-'08'!E14</f>
        <v>0</v>
      </c>
    </row>
    <row r="14" spans="1:16">
      <c r="A14" s="112">
        <v>5</v>
      </c>
      <c r="B14" s="100" t="s">
        <v>373</v>
      </c>
      <c r="C14" s="114">
        <f>'02'!C15</f>
        <v>81300</v>
      </c>
      <c r="D14" s="114">
        <f t="shared" si="2"/>
        <v>75970</v>
      </c>
      <c r="E14" s="114">
        <v>27210</v>
      </c>
      <c r="F14" s="114">
        <v>48760</v>
      </c>
      <c r="G14" s="114">
        <f t="shared" si="3"/>
        <v>48760</v>
      </c>
      <c r="H14" s="114">
        <v>352718</v>
      </c>
      <c r="I14" s="195">
        <v>20448</v>
      </c>
      <c r="J14" s="114">
        <f>6440+34000</f>
        <v>40440</v>
      </c>
      <c r="K14" s="114">
        <f>'09'!J13</f>
        <v>3419</v>
      </c>
      <c r="L14" s="114">
        <v>41556</v>
      </c>
      <c r="M14" s="114">
        <f t="shared" si="4"/>
        <v>534551</v>
      </c>
      <c r="N14" s="122">
        <f>M14-'08'!E15</f>
        <v>0</v>
      </c>
    </row>
    <row r="15" spans="1:16">
      <c r="A15" s="112">
        <v>6</v>
      </c>
      <c r="B15" s="100" t="s">
        <v>374</v>
      </c>
      <c r="C15" s="114">
        <f>'02'!C16</f>
        <v>158000</v>
      </c>
      <c r="D15" s="114">
        <f t="shared" si="2"/>
        <v>147935</v>
      </c>
      <c r="E15" s="114">
        <v>51135</v>
      </c>
      <c r="F15" s="114">
        <v>96800</v>
      </c>
      <c r="G15" s="114">
        <f t="shared" si="3"/>
        <v>96800</v>
      </c>
      <c r="H15" s="114">
        <v>399574</v>
      </c>
      <c r="I15" s="195">
        <v>22962</v>
      </c>
      <c r="J15" s="114">
        <f>8126+56350</f>
        <v>64476</v>
      </c>
      <c r="K15" s="114">
        <f>'09'!J14</f>
        <v>3989</v>
      </c>
      <c r="L15" s="114">
        <v>44157</v>
      </c>
      <c r="M15" s="114">
        <f t="shared" si="4"/>
        <v>683093</v>
      </c>
      <c r="N15" s="122">
        <f>M15-'08'!E16</f>
        <v>0</v>
      </c>
    </row>
    <row r="16" spans="1:16">
      <c r="A16" s="112">
        <v>7</v>
      </c>
      <c r="B16" s="100" t="s">
        <v>375</v>
      </c>
      <c r="C16" s="114">
        <f>'02'!C17</f>
        <v>87500</v>
      </c>
      <c r="D16" s="114">
        <f t="shared" si="2"/>
        <v>80930</v>
      </c>
      <c r="E16" s="114">
        <v>30045</v>
      </c>
      <c r="F16" s="114">
        <v>50885</v>
      </c>
      <c r="G16" s="114">
        <f t="shared" si="3"/>
        <v>50885</v>
      </c>
      <c r="H16" s="114">
        <v>380585</v>
      </c>
      <c r="I16" s="195">
        <v>22077</v>
      </c>
      <c r="J16" s="114">
        <f>5615+66350</f>
        <v>71965</v>
      </c>
      <c r="K16" s="114">
        <f>'09'!J15</f>
        <v>4384</v>
      </c>
      <c r="L16" s="114">
        <v>18160</v>
      </c>
      <c r="M16" s="114">
        <f t="shared" si="4"/>
        <v>578101</v>
      </c>
      <c r="N16" s="122">
        <f>M16-'08'!E17</f>
        <v>0</v>
      </c>
    </row>
    <row r="17" spans="1:14">
      <c r="A17" s="112">
        <v>8</v>
      </c>
      <c r="B17" s="100" t="s">
        <v>376</v>
      </c>
      <c r="C17" s="114">
        <f>'02'!C18</f>
        <v>60600</v>
      </c>
      <c r="D17" s="114">
        <f t="shared" si="2"/>
        <v>56090</v>
      </c>
      <c r="E17" s="114">
        <v>23127</v>
      </c>
      <c r="F17" s="114">
        <v>32963</v>
      </c>
      <c r="G17" s="114">
        <f t="shared" si="3"/>
        <v>32963</v>
      </c>
      <c r="H17" s="114">
        <v>295519</v>
      </c>
      <c r="I17" s="195">
        <v>14719</v>
      </c>
      <c r="J17" s="114">
        <f>7063+28350</f>
        <v>35413</v>
      </c>
      <c r="K17" s="114">
        <f>'09'!J16</f>
        <v>1385</v>
      </c>
      <c r="L17" s="114">
        <v>18836</v>
      </c>
      <c r="M17" s="114">
        <f t="shared" si="4"/>
        <v>421962</v>
      </c>
      <c r="N17" s="122">
        <f>M17-'08'!E18</f>
        <v>0</v>
      </c>
    </row>
    <row r="18" spans="1:14">
      <c r="A18" s="112">
        <v>9</v>
      </c>
      <c r="B18" s="100" t="s">
        <v>377</v>
      </c>
      <c r="C18" s="114">
        <f>'02'!C19</f>
        <v>55700</v>
      </c>
      <c r="D18" s="114">
        <f t="shared" si="2"/>
        <v>52120</v>
      </c>
      <c r="E18" s="114">
        <v>22820</v>
      </c>
      <c r="F18" s="114">
        <v>29300</v>
      </c>
      <c r="G18" s="114">
        <f t="shared" si="3"/>
        <v>29300</v>
      </c>
      <c r="H18" s="114">
        <v>316658</v>
      </c>
      <c r="I18" s="195">
        <v>18697</v>
      </c>
      <c r="J18" s="114">
        <f>6116+32700</f>
        <v>38816</v>
      </c>
      <c r="K18" s="114">
        <f>'09'!J17</f>
        <v>4618</v>
      </c>
      <c r="L18" s="114">
        <v>36324</v>
      </c>
      <c r="M18" s="114">
        <f t="shared" si="4"/>
        <v>467233</v>
      </c>
      <c r="N18" s="122">
        <f>M18-'08'!E19</f>
        <v>0</v>
      </c>
    </row>
    <row r="19" spans="1:14">
      <c r="A19" s="112">
        <v>10</v>
      </c>
      <c r="B19" s="100" t="s">
        <v>378</v>
      </c>
      <c r="C19" s="114">
        <f>'02'!C20</f>
        <v>51400</v>
      </c>
      <c r="D19" s="114">
        <f>E19+G19-1</f>
        <v>47524</v>
      </c>
      <c r="E19" s="114">
        <v>20765</v>
      </c>
      <c r="F19" s="114">
        <v>26760</v>
      </c>
      <c r="G19" s="114">
        <f t="shared" si="3"/>
        <v>26760</v>
      </c>
      <c r="H19" s="114">
        <v>173843</v>
      </c>
      <c r="I19" s="195">
        <v>12887</v>
      </c>
      <c r="J19" s="114">
        <f>3861+18350</f>
        <v>22211</v>
      </c>
      <c r="K19" s="114">
        <f>'09'!J18</f>
        <v>1433</v>
      </c>
      <c r="L19" s="114">
        <v>28924</v>
      </c>
      <c r="M19" s="114">
        <f t="shared" si="4"/>
        <v>286822</v>
      </c>
      <c r="N19" s="122">
        <f>M19-'08'!E20</f>
        <v>0</v>
      </c>
    </row>
    <row r="20" spans="1:14">
      <c r="A20" s="112">
        <v>11</v>
      </c>
      <c r="B20" s="100" t="s">
        <v>379</v>
      </c>
      <c r="C20" s="114">
        <f>'02'!C21</f>
        <v>20900</v>
      </c>
      <c r="D20" s="114">
        <f t="shared" si="2"/>
        <v>19230</v>
      </c>
      <c r="E20" s="114">
        <v>7190</v>
      </c>
      <c r="F20" s="114">
        <v>12040</v>
      </c>
      <c r="G20" s="114">
        <f t="shared" si="3"/>
        <v>12040</v>
      </c>
      <c r="H20" s="114">
        <v>115304</v>
      </c>
      <c r="I20" s="195">
        <v>11272</v>
      </c>
      <c r="J20" s="114">
        <f>3319+4000</f>
        <v>7319</v>
      </c>
      <c r="K20" s="114">
        <f>'09'!J19</f>
        <v>2042</v>
      </c>
      <c r="L20" s="114">
        <v>35753</v>
      </c>
      <c r="M20" s="114">
        <f t="shared" si="4"/>
        <v>190920</v>
      </c>
      <c r="N20" s="122">
        <f>M20-'08'!E21</f>
        <v>0</v>
      </c>
    </row>
    <row r="21" spans="1:14">
      <c r="A21" s="117"/>
      <c r="B21" s="119"/>
      <c r="C21" s="119"/>
      <c r="D21" s="119"/>
      <c r="E21" s="119"/>
      <c r="F21" s="119"/>
      <c r="G21" s="119"/>
      <c r="H21" s="119"/>
      <c r="I21" s="119"/>
      <c r="J21" s="119"/>
      <c r="K21" s="119"/>
      <c r="L21" s="119"/>
      <c r="M21" s="119"/>
    </row>
    <row r="22" spans="1:14">
      <c r="A22" s="121"/>
    </row>
  </sheetData>
  <mergeCells count="18">
    <mergeCell ref="A5:A7"/>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7"/>
      <c r="T1" s="571" t="s">
        <v>492</v>
      </c>
      <c r="U1" s="571"/>
      <c r="V1" s="571"/>
    </row>
    <row r="2" spans="1:22" ht="21" customHeight="1">
      <c r="A2" s="571" t="s">
        <v>523</v>
      </c>
      <c r="B2" s="571"/>
      <c r="C2" s="571"/>
      <c r="D2" s="571"/>
      <c r="E2" s="571"/>
      <c r="F2" s="571"/>
      <c r="G2" s="571"/>
      <c r="H2" s="571"/>
      <c r="I2" s="571"/>
      <c r="J2" s="571"/>
      <c r="K2" s="571"/>
      <c r="L2" s="571"/>
      <c r="M2" s="571"/>
      <c r="N2" s="571"/>
      <c r="O2" s="571"/>
      <c r="P2" s="571"/>
      <c r="Q2" s="571"/>
      <c r="R2" s="571"/>
      <c r="S2" s="571"/>
      <c r="T2" s="571"/>
      <c r="U2" s="571"/>
      <c r="V2" s="571"/>
    </row>
    <row r="3" spans="1:22">
      <c r="A3" s="572" t="str">
        <f>'47'!A3:C3</f>
        <v>(Kèm theo Quyết định số ………../QĐ-UBND ngày    /12/2018 của Ủy ban nhân dân tỉnh Tiền Giang)</v>
      </c>
      <c r="B3" s="572"/>
      <c r="C3" s="572"/>
      <c r="D3" s="572"/>
      <c r="E3" s="572"/>
      <c r="F3" s="572"/>
      <c r="G3" s="572"/>
      <c r="H3" s="572"/>
      <c r="I3" s="572"/>
      <c r="J3" s="572"/>
      <c r="K3" s="572"/>
      <c r="L3" s="572"/>
      <c r="M3" s="572"/>
      <c r="N3" s="572"/>
      <c r="O3" s="572"/>
      <c r="P3" s="572"/>
      <c r="Q3" s="572"/>
      <c r="R3" s="572"/>
      <c r="S3" s="572"/>
      <c r="T3" s="572"/>
      <c r="U3" s="572"/>
      <c r="V3" s="572"/>
    </row>
    <row r="4" spans="1:22">
      <c r="A4" s="188"/>
      <c r="U4" s="573" t="s">
        <v>3</v>
      </c>
      <c r="V4" s="573"/>
    </row>
    <row r="5" spans="1:22">
      <c r="A5" s="570" t="s">
        <v>4</v>
      </c>
      <c r="B5" s="570" t="s">
        <v>42</v>
      </c>
      <c r="C5" s="190"/>
      <c r="D5" s="570" t="s">
        <v>289</v>
      </c>
      <c r="E5" s="570" t="s">
        <v>290</v>
      </c>
      <c r="F5" s="570"/>
      <c r="G5" s="570"/>
      <c r="H5" s="570"/>
      <c r="I5" s="570"/>
      <c r="J5" s="570"/>
      <c r="K5" s="570"/>
      <c r="L5" s="570"/>
      <c r="M5" s="570"/>
      <c r="N5" s="570"/>
      <c r="O5" s="570"/>
      <c r="P5" s="570"/>
      <c r="Q5" s="570"/>
      <c r="R5" s="570" t="s">
        <v>291</v>
      </c>
      <c r="S5" s="570"/>
      <c r="T5" s="570"/>
      <c r="U5" s="570"/>
      <c r="V5" s="570" t="s">
        <v>32</v>
      </c>
    </row>
    <row r="6" spans="1:22">
      <c r="A6" s="570"/>
      <c r="B6" s="570"/>
      <c r="C6" s="190"/>
      <c r="D6" s="570"/>
      <c r="E6" s="570" t="s">
        <v>45</v>
      </c>
      <c r="F6" s="570" t="s">
        <v>97</v>
      </c>
      <c r="G6" s="570"/>
      <c r="H6" s="570"/>
      <c r="I6" s="570"/>
      <c r="J6" s="570"/>
      <c r="K6" s="570"/>
      <c r="L6" s="570" t="s">
        <v>107</v>
      </c>
      <c r="M6" s="570"/>
      <c r="N6" s="570"/>
      <c r="O6" s="570" t="s">
        <v>111</v>
      </c>
      <c r="P6" s="570" t="s">
        <v>113</v>
      </c>
      <c r="Q6" s="570" t="s">
        <v>292</v>
      </c>
      <c r="R6" s="570" t="s">
        <v>45</v>
      </c>
      <c r="S6" s="570" t="s">
        <v>293</v>
      </c>
      <c r="T6" s="570" t="s">
        <v>294</v>
      </c>
      <c r="U6" s="570" t="s">
        <v>295</v>
      </c>
      <c r="V6" s="570"/>
    </row>
    <row r="7" spans="1:22">
      <c r="A7" s="570"/>
      <c r="B7" s="570"/>
      <c r="C7" s="190"/>
      <c r="D7" s="570"/>
      <c r="E7" s="570"/>
      <c r="F7" s="570" t="s">
        <v>45</v>
      </c>
      <c r="G7" s="570" t="s">
        <v>172</v>
      </c>
      <c r="H7" s="570"/>
      <c r="I7" s="570" t="s">
        <v>184</v>
      </c>
      <c r="J7" s="570" t="s">
        <v>185</v>
      </c>
      <c r="K7" s="570" t="s">
        <v>103</v>
      </c>
      <c r="L7" s="570" t="s">
        <v>45</v>
      </c>
      <c r="M7" s="570" t="s">
        <v>172</v>
      </c>
      <c r="N7" s="570"/>
      <c r="O7" s="570"/>
      <c r="P7" s="570"/>
      <c r="Q7" s="570"/>
      <c r="R7" s="570"/>
      <c r="S7" s="570"/>
      <c r="T7" s="570"/>
      <c r="U7" s="570"/>
      <c r="V7" s="570"/>
    </row>
    <row r="8" spans="1:22" ht="145.5" customHeight="1">
      <c r="A8" s="570"/>
      <c r="B8" s="570"/>
      <c r="C8" s="190"/>
      <c r="D8" s="570"/>
      <c r="E8" s="570"/>
      <c r="F8" s="570"/>
      <c r="G8" s="190" t="s">
        <v>186</v>
      </c>
      <c r="H8" s="190" t="s">
        <v>101</v>
      </c>
      <c r="I8" s="570"/>
      <c r="J8" s="570"/>
      <c r="K8" s="570"/>
      <c r="L8" s="570"/>
      <c r="M8" s="190" t="s">
        <v>186</v>
      </c>
      <c r="N8" s="190" t="s">
        <v>144</v>
      </c>
      <c r="O8" s="570"/>
      <c r="P8" s="570"/>
      <c r="Q8" s="570"/>
      <c r="R8" s="570"/>
      <c r="S8" s="570"/>
      <c r="T8" s="570"/>
      <c r="U8" s="570"/>
      <c r="V8" s="570"/>
    </row>
    <row r="9" spans="1:22" s="183" customFormat="1" ht="28.5">
      <c r="A9" s="190" t="s">
        <v>11</v>
      </c>
      <c r="B9" s="190" t="s">
        <v>12</v>
      </c>
      <c r="C9" s="190"/>
      <c r="D9" s="210" t="s">
        <v>519</v>
      </c>
      <c r="E9" s="210" t="s">
        <v>520</v>
      </c>
      <c r="F9" s="190" t="s">
        <v>296</v>
      </c>
      <c r="G9" s="190">
        <v>4</v>
      </c>
      <c r="H9" s="190">
        <v>5</v>
      </c>
      <c r="I9" s="190">
        <v>6</v>
      </c>
      <c r="J9" s="190">
        <v>7</v>
      </c>
      <c r="K9" s="190">
        <v>8</v>
      </c>
      <c r="L9" s="190">
        <v>9</v>
      </c>
      <c r="M9" s="190">
        <v>10</v>
      </c>
      <c r="N9" s="190">
        <v>11</v>
      </c>
      <c r="O9" s="190">
        <v>12</v>
      </c>
      <c r="P9" s="190">
        <v>12</v>
      </c>
      <c r="Q9" s="190">
        <v>13</v>
      </c>
      <c r="R9" s="210" t="s">
        <v>518</v>
      </c>
      <c r="S9" s="190">
        <v>15</v>
      </c>
      <c r="T9" s="190">
        <v>16</v>
      </c>
      <c r="U9" s="190">
        <v>17</v>
      </c>
      <c r="V9" s="190">
        <v>18</v>
      </c>
    </row>
    <row r="10" spans="1:22" s="125" customFormat="1" ht="14.25">
      <c r="A10" s="191"/>
      <c r="B10" s="192" t="s">
        <v>159</v>
      </c>
      <c r="C10" s="192"/>
      <c r="D10" s="199">
        <f>SUM(D11:D21)</f>
        <v>5657867</v>
      </c>
      <c r="E10" s="199">
        <f t="shared" ref="E10:V10" si="0">SUM(E11:E21)</f>
        <v>5627510</v>
      </c>
      <c r="F10" s="199">
        <f t="shared" si="0"/>
        <v>722255</v>
      </c>
      <c r="G10" s="199">
        <f t="shared" si="0"/>
        <v>0</v>
      </c>
      <c r="H10" s="199">
        <f t="shared" si="0"/>
        <v>0</v>
      </c>
      <c r="I10" s="199">
        <f t="shared" si="0"/>
        <v>86015</v>
      </c>
      <c r="J10" s="199">
        <f t="shared" si="0"/>
        <v>328150</v>
      </c>
      <c r="K10" s="199">
        <f t="shared" si="0"/>
        <v>308090</v>
      </c>
      <c r="L10" s="199">
        <f t="shared" si="0"/>
        <v>4755825</v>
      </c>
      <c r="M10" s="199">
        <f t="shared" si="0"/>
        <v>2327233</v>
      </c>
      <c r="N10" s="199">
        <f t="shared" si="0"/>
        <v>316</v>
      </c>
      <c r="O10" s="199">
        <f t="shared" si="0"/>
        <v>0</v>
      </c>
      <c r="P10" s="199">
        <f t="shared" si="0"/>
        <v>103117</v>
      </c>
      <c r="Q10" s="199">
        <f t="shared" si="0"/>
        <v>46313</v>
      </c>
      <c r="R10" s="199">
        <f t="shared" si="0"/>
        <v>30357</v>
      </c>
      <c r="S10" s="199">
        <f t="shared" si="0"/>
        <v>0</v>
      </c>
      <c r="T10" s="199">
        <f t="shared" si="0"/>
        <v>30357</v>
      </c>
      <c r="U10" s="199">
        <f t="shared" si="0"/>
        <v>0</v>
      </c>
      <c r="V10" s="199">
        <f t="shared" si="0"/>
        <v>0</v>
      </c>
    </row>
    <row r="11" spans="1:22">
      <c r="A11" s="193">
        <v>1</v>
      </c>
      <c r="B11" s="200" t="s">
        <v>382</v>
      </c>
      <c r="C11" s="201">
        <f>D11-'55'!M10</f>
        <v>6013</v>
      </c>
      <c r="D11" s="202">
        <f>E11+R11+V11</f>
        <v>879978</v>
      </c>
      <c r="E11" s="202">
        <f>F11+L11+O11+P11+Q11</f>
        <v>873965</v>
      </c>
      <c r="F11" s="202">
        <f>I11+J11+K11</f>
        <v>230024</v>
      </c>
      <c r="G11" s="202"/>
      <c r="H11" s="202"/>
      <c r="I11" s="202">
        <f>'55'!J10-J11</f>
        <v>21174</v>
      </c>
      <c r="J11" s="202">
        <v>3850</v>
      </c>
      <c r="K11" s="202">
        <f>'02'!N11</f>
        <v>205000</v>
      </c>
      <c r="L11" s="202">
        <v>615803</v>
      </c>
      <c r="M11" s="202">
        <f>271935+1917</f>
        <v>273852</v>
      </c>
      <c r="N11" s="202">
        <v>19</v>
      </c>
      <c r="O11" s="202"/>
      <c r="P11" s="202">
        <v>16917</v>
      </c>
      <c r="Q11" s="202">
        <v>11221</v>
      </c>
      <c r="R11" s="202">
        <f>SUM(S11:V11)</f>
        <v>6013</v>
      </c>
      <c r="S11" s="202"/>
      <c r="T11" s="202">
        <f>'09'!F9</f>
        <v>6013</v>
      </c>
      <c r="U11" s="202"/>
      <c r="V11" s="202"/>
    </row>
    <row r="12" spans="1:22">
      <c r="A12" s="193">
        <v>2</v>
      </c>
      <c r="B12" s="203" t="s">
        <v>380</v>
      </c>
      <c r="C12" s="201">
        <f>D12-'55'!M11</f>
        <v>5793</v>
      </c>
      <c r="D12" s="202">
        <f t="shared" ref="D12:D21" si="1">E12+R12+V12</f>
        <v>389796</v>
      </c>
      <c r="E12" s="202">
        <f>F12+L12+O12+P12+Q12</f>
        <v>384003</v>
      </c>
      <c r="F12" s="202">
        <f t="shared" ref="F12:F21" si="2">I12+J12+K12</f>
        <v>40545</v>
      </c>
      <c r="G12" s="202"/>
      <c r="H12" s="202"/>
      <c r="I12" s="202">
        <f>'55'!J11-J12</f>
        <v>5795</v>
      </c>
      <c r="J12" s="202">
        <v>19750</v>
      </c>
      <c r="K12" s="202">
        <f>'02'!N12</f>
        <v>15000</v>
      </c>
      <c r="L12" s="202">
        <v>334447</v>
      </c>
      <c r="M12" s="202">
        <f>150541+1779</f>
        <v>152320</v>
      </c>
      <c r="N12" s="202">
        <v>41</v>
      </c>
      <c r="O12" s="202"/>
      <c r="P12" s="202">
        <v>7055</v>
      </c>
      <c r="Q12" s="202">
        <v>1956</v>
      </c>
      <c r="R12" s="202">
        <f t="shared" ref="R12:R21" si="3">SUM(S12:V12)</f>
        <v>5793</v>
      </c>
      <c r="S12" s="202"/>
      <c r="T12" s="202">
        <f>'09'!F10</f>
        <v>5793</v>
      </c>
      <c r="U12" s="202"/>
      <c r="V12" s="202"/>
    </row>
    <row r="13" spans="1:22">
      <c r="A13" s="193">
        <v>3</v>
      </c>
      <c r="B13" s="204" t="s">
        <v>381</v>
      </c>
      <c r="C13" s="201">
        <f>D13-'55'!M12</f>
        <v>2079</v>
      </c>
      <c r="D13" s="202">
        <f t="shared" si="1"/>
        <v>448667</v>
      </c>
      <c r="E13" s="202">
        <f t="shared" ref="E13:E21" si="4">F13+L13+O13+P13+Q13</f>
        <v>446588</v>
      </c>
      <c r="F13" s="202">
        <f t="shared" si="2"/>
        <v>44082</v>
      </c>
      <c r="G13" s="202"/>
      <c r="H13" s="202"/>
      <c r="I13" s="202">
        <f>'55'!J12-J13</f>
        <v>7482</v>
      </c>
      <c r="J13" s="202">
        <v>26100</v>
      </c>
      <c r="K13" s="202">
        <f>'02'!N13</f>
        <v>10500</v>
      </c>
      <c r="L13" s="202">
        <v>390436</v>
      </c>
      <c r="M13" s="202">
        <f>186300+1618</f>
        <v>187918</v>
      </c>
      <c r="N13" s="202">
        <v>29</v>
      </c>
      <c r="O13" s="202"/>
      <c r="P13" s="202">
        <v>8210</v>
      </c>
      <c r="Q13" s="202">
        <v>3860</v>
      </c>
      <c r="R13" s="202">
        <f t="shared" si="3"/>
        <v>2079</v>
      </c>
      <c r="S13" s="202"/>
      <c r="T13" s="202">
        <f>'09'!F11</f>
        <v>2079</v>
      </c>
      <c r="U13" s="202"/>
      <c r="V13" s="202"/>
    </row>
    <row r="14" spans="1:22">
      <c r="A14" s="193">
        <v>4</v>
      </c>
      <c r="B14" s="204" t="s">
        <v>372</v>
      </c>
      <c r="C14" s="201">
        <f>D14-'55'!M13</f>
        <v>4030</v>
      </c>
      <c r="D14" s="202">
        <f t="shared" si="1"/>
        <v>764302</v>
      </c>
      <c r="E14" s="202">
        <f>F14+L14+O14+P14+Q14</f>
        <v>760272</v>
      </c>
      <c r="F14" s="202">
        <f t="shared" si="2"/>
        <v>66874</v>
      </c>
      <c r="G14" s="202"/>
      <c r="H14" s="202"/>
      <c r="I14" s="202">
        <f>'55'!J13-J14</f>
        <v>11024</v>
      </c>
      <c r="J14" s="202">
        <v>38350</v>
      </c>
      <c r="K14" s="202">
        <f>'02'!N14</f>
        <v>17500</v>
      </c>
      <c r="L14" s="202">
        <v>671387</v>
      </c>
      <c r="M14" s="202">
        <f>342427+2160</f>
        <v>344587</v>
      </c>
      <c r="N14" s="202">
        <v>26</v>
      </c>
      <c r="O14" s="202"/>
      <c r="P14" s="202">
        <v>14005</v>
      </c>
      <c r="Q14" s="202">
        <v>8006</v>
      </c>
      <c r="R14" s="202">
        <f t="shared" si="3"/>
        <v>4030</v>
      </c>
      <c r="S14" s="202"/>
      <c r="T14" s="202">
        <f>'09'!F12</f>
        <v>4030</v>
      </c>
      <c r="U14" s="202"/>
      <c r="V14" s="202"/>
    </row>
    <row r="15" spans="1:22">
      <c r="A15" s="193">
        <v>5</v>
      </c>
      <c r="B15" s="204" t="s">
        <v>373</v>
      </c>
      <c r="C15" s="201">
        <f>D15-'55'!M14</f>
        <v>1945</v>
      </c>
      <c r="D15" s="202">
        <f>E15+R15+V15</f>
        <v>536496</v>
      </c>
      <c r="E15" s="202">
        <f t="shared" si="4"/>
        <v>534551</v>
      </c>
      <c r="F15" s="202">
        <f t="shared" si="2"/>
        <v>46640</v>
      </c>
      <c r="G15" s="202"/>
      <c r="H15" s="202"/>
      <c r="I15" s="202">
        <f>'55'!J14-J15</f>
        <v>6440</v>
      </c>
      <c r="J15" s="202">
        <v>34000</v>
      </c>
      <c r="K15" s="202">
        <f>'02'!N15</f>
        <v>6200</v>
      </c>
      <c r="L15" s="202">
        <v>474744</v>
      </c>
      <c r="M15" s="202">
        <f>248309+1764</f>
        <v>250073</v>
      </c>
      <c r="N15" s="202">
        <v>24</v>
      </c>
      <c r="O15" s="202"/>
      <c r="P15" s="202">
        <v>9748</v>
      </c>
      <c r="Q15" s="202">
        <v>3419</v>
      </c>
      <c r="R15" s="202">
        <f t="shared" si="3"/>
        <v>1945</v>
      </c>
      <c r="S15" s="205"/>
      <c r="T15" s="202">
        <f>'09'!F13</f>
        <v>1945</v>
      </c>
      <c r="U15" s="205"/>
      <c r="V15" s="205"/>
    </row>
    <row r="16" spans="1:22">
      <c r="A16" s="193">
        <v>6</v>
      </c>
      <c r="B16" s="204" t="s">
        <v>374</v>
      </c>
      <c r="C16" s="201">
        <f>D16-'55'!M15</f>
        <v>2587</v>
      </c>
      <c r="D16" s="202">
        <f t="shared" si="1"/>
        <v>685680</v>
      </c>
      <c r="E16" s="202">
        <f t="shared" si="4"/>
        <v>683093</v>
      </c>
      <c r="F16" s="202">
        <f t="shared" si="2"/>
        <v>81476</v>
      </c>
      <c r="G16" s="202"/>
      <c r="H16" s="202"/>
      <c r="I16" s="202">
        <f>'55'!J15-J16</f>
        <v>8126</v>
      </c>
      <c r="J16" s="202">
        <v>56350</v>
      </c>
      <c r="K16" s="202">
        <f>'02'!N16</f>
        <v>17000</v>
      </c>
      <c r="L16" s="202">
        <v>585410</v>
      </c>
      <c r="M16" s="202">
        <f>298164+4459</f>
        <v>302623</v>
      </c>
      <c r="N16" s="202">
        <v>21</v>
      </c>
      <c r="O16" s="202"/>
      <c r="P16" s="202">
        <v>12218</v>
      </c>
      <c r="Q16" s="202">
        <v>3989</v>
      </c>
      <c r="R16" s="202">
        <f t="shared" si="3"/>
        <v>2587</v>
      </c>
      <c r="S16" s="205"/>
      <c r="T16" s="202">
        <f>'09'!F14</f>
        <v>2587</v>
      </c>
      <c r="U16" s="205"/>
      <c r="V16" s="205"/>
    </row>
    <row r="17" spans="1:22">
      <c r="A17" s="193">
        <v>7</v>
      </c>
      <c r="B17" s="204" t="s">
        <v>375</v>
      </c>
      <c r="C17" s="201">
        <f>D17-'55'!M16</f>
        <v>2393</v>
      </c>
      <c r="D17" s="202">
        <f t="shared" si="1"/>
        <v>580494</v>
      </c>
      <c r="E17" s="202">
        <f t="shared" si="4"/>
        <v>578101</v>
      </c>
      <c r="F17" s="202">
        <f t="shared" si="2"/>
        <v>80965</v>
      </c>
      <c r="G17" s="202"/>
      <c r="H17" s="202"/>
      <c r="I17" s="202">
        <f>'55'!J16-J17</f>
        <v>5615</v>
      </c>
      <c r="J17" s="202">
        <v>66350</v>
      </c>
      <c r="K17" s="202">
        <f>'02'!N17</f>
        <v>9000</v>
      </c>
      <c r="L17" s="202">
        <v>482797</v>
      </c>
      <c r="M17" s="202">
        <f>251290+5353</f>
        <v>256643</v>
      </c>
      <c r="N17" s="202">
        <v>18</v>
      </c>
      <c r="O17" s="202"/>
      <c r="P17" s="202">
        <v>9955</v>
      </c>
      <c r="Q17" s="202">
        <v>4384</v>
      </c>
      <c r="R17" s="202">
        <f t="shared" si="3"/>
        <v>2393</v>
      </c>
      <c r="S17" s="205"/>
      <c r="T17" s="202">
        <f>'09'!F15</f>
        <v>2393</v>
      </c>
      <c r="U17" s="205"/>
      <c r="V17" s="205"/>
    </row>
    <row r="18" spans="1:22">
      <c r="A18" s="193">
        <v>8</v>
      </c>
      <c r="B18" s="204" t="s">
        <v>376</v>
      </c>
      <c r="C18" s="201">
        <f>D18-'55'!M17</f>
        <v>1177</v>
      </c>
      <c r="D18" s="202">
        <f t="shared" si="1"/>
        <v>423139</v>
      </c>
      <c r="E18" s="202">
        <f t="shared" si="4"/>
        <v>421962</v>
      </c>
      <c r="F18" s="202">
        <f t="shared" si="2"/>
        <v>40413</v>
      </c>
      <c r="G18" s="202"/>
      <c r="H18" s="202"/>
      <c r="I18" s="202">
        <f>'55'!J17-J18</f>
        <v>7063</v>
      </c>
      <c r="J18" s="202">
        <v>28350</v>
      </c>
      <c r="K18" s="202">
        <f>'02'!N18</f>
        <v>5000</v>
      </c>
      <c r="L18" s="202">
        <v>372466</v>
      </c>
      <c r="M18" s="202">
        <f>183835+4524</f>
        <v>188359</v>
      </c>
      <c r="N18" s="202">
        <v>11</v>
      </c>
      <c r="O18" s="202"/>
      <c r="P18" s="202">
        <v>7698</v>
      </c>
      <c r="Q18" s="202">
        <v>1385</v>
      </c>
      <c r="R18" s="202">
        <f t="shared" si="3"/>
        <v>1177</v>
      </c>
      <c r="S18" s="205"/>
      <c r="T18" s="202">
        <f>'09'!F16</f>
        <v>1177</v>
      </c>
      <c r="U18" s="205"/>
      <c r="V18" s="205"/>
    </row>
    <row r="19" spans="1:22">
      <c r="A19" s="193">
        <v>9</v>
      </c>
      <c r="B19" s="204" t="s">
        <v>377</v>
      </c>
      <c r="C19" s="201">
        <f>D19-'55'!M18</f>
        <v>2363</v>
      </c>
      <c r="D19" s="202">
        <f t="shared" si="1"/>
        <v>469596</v>
      </c>
      <c r="E19" s="202">
        <f t="shared" si="4"/>
        <v>467233</v>
      </c>
      <c r="F19" s="202">
        <f t="shared" si="2"/>
        <v>47816</v>
      </c>
      <c r="G19" s="202"/>
      <c r="H19" s="202"/>
      <c r="I19" s="202">
        <f>'55'!J18-J19</f>
        <v>6116</v>
      </c>
      <c r="J19" s="202">
        <v>32700</v>
      </c>
      <c r="K19" s="202">
        <f>'02'!N19</f>
        <v>9000</v>
      </c>
      <c r="L19" s="202">
        <v>406356</v>
      </c>
      <c r="M19" s="202">
        <f>198592+5660</f>
        <v>204252</v>
      </c>
      <c r="N19" s="202">
        <v>63</v>
      </c>
      <c r="O19" s="202"/>
      <c r="P19" s="202">
        <v>8443</v>
      </c>
      <c r="Q19" s="202">
        <v>4618</v>
      </c>
      <c r="R19" s="202">
        <f t="shared" si="3"/>
        <v>2363</v>
      </c>
      <c r="S19" s="205"/>
      <c r="T19" s="202">
        <f>'09'!F17</f>
        <v>2363</v>
      </c>
      <c r="U19" s="205"/>
      <c r="V19" s="205"/>
    </row>
    <row r="20" spans="1:22">
      <c r="A20" s="193">
        <v>10</v>
      </c>
      <c r="B20" s="204" t="s">
        <v>378</v>
      </c>
      <c r="C20" s="201">
        <f>D20-'55'!M19</f>
        <v>887</v>
      </c>
      <c r="D20" s="202">
        <f t="shared" si="1"/>
        <v>287709</v>
      </c>
      <c r="E20" s="202">
        <f t="shared" si="4"/>
        <v>286822</v>
      </c>
      <c r="F20" s="202">
        <f t="shared" si="2"/>
        <v>34501</v>
      </c>
      <c r="G20" s="202"/>
      <c r="H20" s="202"/>
      <c r="I20" s="202">
        <f>'55'!J19-J20</f>
        <v>3861</v>
      </c>
      <c r="J20" s="202">
        <v>18350</v>
      </c>
      <c r="K20" s="202">
        <f>'02'!N20</f>
        <v>12290</v>
      </c>
      <c r="L20" s="202">
        <v>245645</v>
      </c>
      <c r="M20" s="202">
        <f>93999+4433</f>
        <v>98432</v>
      </c>
      <c r="N20" s="202">
        <v>40</v>
      </c>
      <c r="O20" s="202"/>
      <c r="P20" s="202">
        <v>5243</v>
      </c>
      <c r="Q20" s="202">
        <v>1433</v>
      </c>
      <c r="R20" s="202">
        <f t="shared" si="3"/>
        <v>887</v>
      </c>
      <c r="S20" s="205"/>
      <c r="T20" s="202">
        <f>'09'!F18</f>
        <v>887</v>
      </c>
      <c r="U20" s="205"/>
      <c r="V20" s="205"/>
    </row>
    <row r="21" spans="1:22">
      <c r="A21" s="193">
        <v>11</v>
      </c>
      <c r="B21" s="204" t="s">
        <v>379</v>
      </c>
      <c r="C21" s="201">
        <f>D21-'55'!M20</f>
        <v>1090</v>
      </c>
      <c r="D21" s="202">
        <f t="shared" si="1"/>
        <v>192010</v>
      </c>
      <c r="E21" s="202">
        <f t="shared" si="4"/>
        <v>190920</v>
      </c>
      <c r="F21" s="202">
        <f t="shared" si="2"/>
        <v>8919</v>
      </c>
      <c r="G21" s="202"/>
      <c r="H21" s="202"/>
      <c r="I21" s="202">
        <f>'55'!J20-J21</f>
        <v>3319</v>
      </c>
      <c r="J21" s="202">
        <v>4000</v>
      </c>
      <c r="K21" s="202">
        <f>'02'!N21</f>
        <v>1600</v>
      </c>
      <c r="L21" s="202">
        <v>176334</v>
      </c>
      <c r="M21" s="202">
        <f>65555+2619</f>
        <v>68174</v>
      </c>
      <c r="N21" s="202">
        <v>24</v>
      </c>
      <c r="O21" s="202"/>
      <c r="P21" s="202">
        <v>3625</v>
      </c>
      <c r="Q21" s="202">
        <v>2042</v>
      </c>
      <c r="R21" s="202">
        <f t="shared" si="3"/>
        <v>1090</v>
      </c>
      <c r="S21" s="205"/>
      <c r="T21" s="202">
        <f>'09'!F19</f>
        <v>1090</v>
      </c>
      <c r="U21" s="205"/>
      <c r="V21" s="205"/>
    </row>
    <row r="22" spans="1:22">
      <c r="A22" s="196"/>
      <c r="B22" s="197"/>
      <c r="C22" s="197"/>
      <c r="D22" s="196"/>
      <c r="E22" s="196"/>
      <c r="F22" s="196"/>
      <c r="G22" s="196"/>
      <c r="H22" s="196"/>
      <c r="I22" s="196"/>
      <c r="J22" s="196"/>
      <c r="K22" s="196"/>
      <c r="L22" s="196"/>
      <c r="M22" s="196"/>
      <c r="N22" s="196"/>
      <c r="O22" s="196"/>
      <c r="P22" s="196"/>
      <c r="Q22" s="196"/>
      <c r="R22" s="196"/>
      <c r="S22" s="196"/>
      <c r="T22" s="196"/>
      <c r="U22" s="196"/>
      <c r="V22" s="196"/>
    </row>
    <row r="23" spans="1:22" hidden="1">
      <c r="A23" s="575" t="s">
        <v>493</v>
      </c>
      <c r="B23" s="575"/>
      <c r="C23" s="575"/>
      <c r="D23" s="575"/>
      <c r="E23" s="575"/>
      <c r="F23" s="575"/>
      <c r="G23" s="575"/>
      <c r="H23" s="575"/>
      <c r="I23" s="575"/>
      <c r="J23" s="575"/>
      <c r="K23" s="575"/>
      <c r="L23" s="575"/>
      <c r="M23" s="575"/>
      <c r="N23" s="575"/>
      <c r="O23" s="575"/>
      <c r="P23" s="575"/>
      <c r="Q23" s="575"/>
      <c r="R23" s="575"/>
      <c r="S23" s="575"/>
      <c r="T23" s="575"/>
      <c r="U23" s="575"/>
      <c r="V23" s="575"/>
    </row>
    <row r="24" spans="1:22" hidden="1">
      <c r="A24" s="574" t="s">
        <v>298</v>
      </c>
      <c r="B24" s="574"/>
      <c r="C24" s="574"/>
      <c r="D24" s="574"/>
      <c r="E24" s="574"/>
      <c r="F24" s="574"/>
      <c r="G24" s="574"/>
      <c r="H24" s="574"/>
      <c r="I24" s="574"/>
      <c r="J24" s="574"/>
      <c r="K24" s="574"/>
      <c r="L24" s="574"/>
      <c r="M24" s="574"/>
      <c r="N24" s="574"/>
      <c r="O24" s="574"/>
      <c r="P24" s="574"/>
      <c r="Q24" s="574"/>
      <c r="R24" s="574"/>
      <c r="S24" s="574"/>
      <c r="T24" s="574"/>
      <c r="U24" s="574"/>
      <c r="V24" s="574"/>
    </row>
    <row r="25" spans="1:22">
      <c r="A25" s="198"/>
    </row>
  </sheetData>
  <mergeCells count="29">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 ref="S6:S8"/>
    <mergeCell ref="T6:T8"/>
    <mergeCell ref="U6:U8"/>
    <mergeCell ref="M7:N7"/>
    <mergeCell ref="F7:F8"/>
    <mergeCell ref="G7:H7"/>
    <mergeCell ref="I7:I8"/>
    <mergeCell ref="J7:J8"/>
    <mergeCell ref="L6:N6"/>
    <mergeCell ref="O6:O8"/>
    <mergeCell ref="P6:P8"/>
    <mergeCell ref="Q6:Q8"/>
    <mergeCell ref="R6:R8"/>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7"/>
      <c r="F1" s="571"/>
      <c r="G1" s="571"/>
      <c r="H1" s="580" t="s">
        <v>494</v>
      </c>
      <c r="I1" s="580"/>
      <c r="J1" s="580"/>
      <c r="K1" s="580"/>
    </row>
    <row r="2" spans="1:12" ht="19.5" customHeight="1">
      <c r="A2" s="571" t="s">
        <v>524</v>
      </c>
      <c r="B2" s="571"/>
      <c r="C2" s="571"/>
      <c r="D2" s="571"/>
      <c r="E2" s="571"/>
      <c r="F2" s="571"/>
      <c r="G2" s="571"/>
      <c r="H2" s="571"/>
      <c r="I2" s="571"/>
      <c r="J2" s="571"/>
      <c r="K2" s="571"/>
    </row>
    <row r="3" spans="1:12" ht="15" customHeight="1">
      <c r="A3" s="544" t="str">
        <f>'47'!A3:C3</f>
        <v>(Kèm theo Quyết định số ………../QĐ-UBND ngày    /12/2018 của Ủy ban nhân dân tỉnh Tiền Giang)</v>
      </c>
      <c r="B3" s="544"/>
      <c r="C3" s="544"/>
      <c r="D3" s="544"/>
      <c r="E3" s="544"/>
      <c r="F3" s="544"/>
      <c r="G3" s="544"/>
      <c r="H3" s="544"/>
      <c r="I3" s="544"/>
      <c r="J3" s="544"/>
      <c r="K3" s="544"/>
    </row>
    <row r="4" spans="1:12" ht="15" customHeight="1">
      <c r="A4" s="188"/>
      <c r="F4" s="581"/>
      <c r="G4" s="581"/>
      <c r="H4" s="579" t="s">
        <v>3</v>
      </c>
      <c r="I4" s="579"/>
      <c r="J4" s="579"/>
      <c r="K4" s="579"/>
    </row>
    <row r="5" spans="1:12" s="184" customFormat="1" ht="29.25" customHeight="1">
      <c r="A5" s="570" t="s">
        <v>4</v>
      </c>
      <c r="B5" s="570" t="s">
        <v>69</v>
      </c>
      <c r="C5" s="570" t="s">
        <v>45</v>
      </c>
      <c r="D5" s="570" t="s">
        <v>485</v>
      </c>
      <c r="E5" s="577" t="s">
        <v>495</v>
      </c>
      <c r="F5" s="570" t="s">
        <v>514</v>
      </c>
      <c r="G5" s="570"/>
      <c r="H5" s="570"/>
      <c r="I5" s="570"/>
      <c r="J5" s="577" t="s">
        <v>515</v>
      </c>
      <c r="K5" s="577" t="s">
        <v>507</v>
      </c>
      <c r="L5" s="189"/>
    </row>
    <row r="6" spans="1:12" s="184" customFormat="1" ht="123.75" customHeight="1">
      <c r="A6" s="570"/>
      <c r="B6" s="570"/>
      <c r="C6" s="570"/>
      <c r="D6" s="570"/>
      <c r="E6" s="578"/>
      <c r="F6" s="190" t="s">
        <v>486</v>
      </c>
      <c r="G6" s="190" t="s">
        <v>487</v>
      </c>
      <c r="H6" s="190" t="s">
        <v>488</v>
      </c>
      <c r="I6" s="209" t="s">
        <v>513</v>
      </c>
      <c r="J6" s="578"/>
      <c r="K6" s="578"/>
    </row>
    <row r="7" spans="1:12" s="184" customFormat="1" ht="18" customHeight="1">
      <c r="A7" s="190" t="s">
        <v>11</v>
      </c>
      <c r="B7" s="190" t="s">
        <v>12</v>
      </c>
      <c r="C7" s="211" t="s">
        <v>522</v>
      </c>
      <c r="D7" s="211">
        <v>2</v>
      </c>
      <c r="E7" s="211">
        <v>3</v>
      </c>
      <c r="F7" s="211" t="s">
        <v>521</v>
      </c>
      <c r="G7" s="211">
        <v>5</v>
      </c>
      <c r="H7" s="211">
        <v>6</v>
      </c>
      <c r="I7" s="211">
        <v>7</v>
      </c>
      <c r="J7" s="211">
        <v>8</v>
      </c>
      <c r="K7" s="211">
        <v>9</v>
      </c>
    </row>
    <row r="8" spans="1:12">
      <c r="A8" s="191"/>
      <c r="B8" s="192" t="s">
        <v>159</v>
      </c>
      <c r="C8" s="192">
        <f>SUM(C9:C19)</f>
        <v>1009742</v>
      </c>
      <c r="D8" s="192">
        <f t="shared" ref="D8:K8" si="0">SUM(D9:D19)</f>
        <v>414165</v>
      </c>
      <c r="E8" s="192">
        <f t="shared" si="0"/>
        <v>168404</v>
      </c>
      <c r="F8" s="192">
        <f t="shared" si="0"/>
        <v>30357</v>
      </c>
      <c r="G8" s="192">
        <f t="shared" si="0"/>
        <v>5368</v>
      </c>
      <c r="H8" s="192">
        <f t="shared" si="0"/>
        <v>4250</v>
      </c>
      <c r="I8" s="192">
        <f t="shared" si="0"/>
        <v>20739</v>
      </c>
      <c r="J8" s="192">
        <f t="shared" ref="J8" si="1">SUM(J9:J19)</f>
        <v>37167</v>
      </c>
      <c r="K8" s="192">
        <f t="shared" si="0"/>
        <v>359649</v>
      </c>
    </row>
    <row r="9" spans="1:12">
      <c r="A9" s="193">
        <v>1</v>
      </c>
      <c r="B9" s="194" t="s">
        <v>382</v>
      </c>
      <c r="C9" s="195">
        <f>D9+F9+E9+K9+J9</f>
        <v>65150</v>
      </c>
      <c r="D9" s="195">
        <f>'55'!J10</f>
        <v>25024</v>
      </c>
      <c r="E9" s="195">
        <f>'55'!I10</f>
        <v>0</v>
      </c>
      <c r="F9" s="195">
        <f>SUM(G9:I9)</f>
        <v>6013</v>
      </c>
      <c r="G9" s="195">
        <v>987</v>
      </c>
      <c r="H9" s="185"/>
      <c r="I9" s="185">
        <v>5026</v>
      </c>
      <c r="J9" s="185">
        <f>11221-9145</f>
        <v>2076</v>
      </c>
      <c r="K9" s="195">
        <f>'55'!L10</f>
        <v>32037</v>
      </c>
    </row>
    <row r="10" spans="1:12">
      <c r="A10" s="193">
        <v>2</v>
      </c>
      <c r="B10" s="194" t="s">
        <v>380</v>
      </c>
      <c r="C10" s="195">
        <f t="shared" ref="C10:C19" si="2">D10+F10+E10+K10+J10</f>
        <v>78168</v>
      </c>
      <c r="D10" s="195">
        <f>'55'!J11</f>
        <v>25545</v>
      </c>
      <c r="E10" s="195">
        <f>'55'!I11</f>
        <v>10858</v>
      </c>
      <c r="F10" s="195">
        <f t="shared" ref="F10:F19" si="3">SUM(G10:I10)</f>
        <v>5793</v>
      </c>
      <c r="G10" s="195">
        <v>667</v>
      </c>
      <c r="H10" s="185">
        <v>4250</v>
      </c>
      <c r="I10" s="185">
        <v>876</v>
      </c>
      <c r="J10" s="185">
        <v>1956</v>
      </c>
      <c r="K10" s="195">
        <f>'55'!L11</f>
        <v>34016</v>
      </c>
    </row>
    <row r="11" spans="1:12">
      <c r="A11" s="193">
        <v>3</v>
      </c>
      <c r="B11" s="194" t="s">
        <v>381</v>
      </c>
      <c r="C11" s="195">
        <f t="shared" si="2"/>
        <v>90217</v>
      </c>
      <c r="D11" s="195">
        <f>'55'!J12</f>
        <v>33582</v>
      </c>
      <c r="E11" s="195">
        <f>'55'!I12</f>
        <v>13866</v>
      </c>
      <c r="F11" s="195">
        <f t="shared" si="3"/>
        <v>2079</v>
      </c>
      <c r="G11" s="195">
        <v>351</v>
      </c>
      <c r="H11" s="185"/>
      <c r="I11" s="185">
        <v>1728</v>
      </c>
      <c r="J11" s="185">
        <v>3859</v>
      </c>
      <c r="K11" s="195">
        <f>'55'!L12</f>
        <v>36831</v>
      </c>
    </row>
    <row r="12" spans="1:12">
      <c r="A12" s="193">
        <v>4</v>
      </c>
      <c r="B12" s="194" t="s">
        <v>372</v>
      </c>
      <c r="C12" s="195">
        <f t="shared" si="2"/>
        <v>115083</v>
      </c>
      <c r="D12" s="195">
        <f>'55'!J13</f>
        <v>49374</v>
      </c>
      <c r="E12" s="195">
        <f>'55'!I13</f>
        <v>20618</v>
      </c>
      <c r="F12" s="195">
        <f t="shared" si="3"/>
        <v>4030</v>
      </c>
      <c r="G12" s="195">
        <v>445</v>
      </c>
      <c r="H12" s="185"/>
      <c r="I12" s="185">
        <v>3585</v>
      </c>
      <c r="J12" s="185">
        <v>8006</v>
      </c>
      <c r="K12" s="195">
        <f>'55'!L13</f>
        <v>33055</v>
      </c>
    </row>
    <row r="13" spans="1:12">
      <c r="A13" s="193">
        <v>5</v>
      </c>
      <c r="B13" s="194" t="s">
        <v>373</v>
      </c>
      <c r="C13" s="195">
        <f t="shared" si="2"/>
        <v>107808</v>
      </c>
      <c r="D13" s="195">
        <f>'55'!J14</f>
        <v>40440</v>
      </c>
      <c r="E13" s="195">
        <f>'55'!I14</f>
        <v>20448</v>
      </c>
      <c r="F13" s="195">
        <f t="shared" si="3"/>
        <v>1945</v>
      </c>
      <c r="G13" s="195">
        <v>414</v>
      </c>
      <c r="H13" s="185"/>
      <c r="I13" s="185">
        <v>1531</v>
      </c>
      <c r="J13" s="185">
        <v>3419</v>
      </c>
      <c r="K13" s="195">
        <f>'55'!L14</f>
        <v>41556</v>
      </c>
    </row>
    <row r="14" spans="1:12">
      <c r="A14" s="193">
        <v>6</v>
      </c>
      <c r="B14" s="194" t="s">
        <v>374</v>
      </c>
      <c r="C14" s="195">
        <f t="shared" si="2"/>
        <v>138171</v>
      </c>
      <c r="D14" s="195">
        <f>'55'!J15</f>
        <v>64476</v>
      </c>
      <c r="E14" s="195">
        <f>'55'!I15</f>
        <v>22962</v>
      </c>
      <c r="F14" s="195">
        <f t="shared" si="3"/>
        <v>2587</v>
      </c>
      <c r="G14" s="195">
        <v>801</v>
      </c>
      <c r="H14" s="185"/>
      <c r="I14" s="185">
        <v>1786</v>
      </c>
      <c r="J14" s="185">
        <v>3989</v>
      </c>
      <c r="K14" s="195">
        <f>'55'!L15</f>
        <v>44157</v>
      </c>
    </row>
    <row r="15" spans="1:12">
      <c r="A15" s="193">
        <v>7</v>
      </c>
      <c r="B15" s="194" t="s">
        <v>375</v>
      </c>
      <c r="C15" s="195">
        <f t="shared" si="2"/>
        <v>118979</v>
      </c>
      <c r="D15" s="195">
        <f>'55'!J16</f>
        <v>71965</v>
      </c>
      <c r="E15" s="195">
        <f>'55'!I16</f>
        <v>22077</v>
      </c>
      <c r="F15" s="195">
        <f t="shared" si="3"/>
        <v>2393</v>
      </c>
      <c r="G15" s="195">
        <v>430</v>
      </c>
      <c r="H15" s="185"/>
      <c r="I15" s="185">
        <v>1963</v>
      </c>
      <c r="J15" s="185">
        <v>4384</v>
      </c>
      <c r="K15" s="195">
        <f>'55'!L16</f>
        <v>18160</v>
      </c>
    </row>
    <row r="16" spans="1:12">
      <c r="A16" s="193">
        <v>8</v>
      </c>
      <c r="B16" s="194" t="s">
        <v>376</v>
      </c>
      <c r="C16" s="195">
        <f t="shared" si="2"/>
        <v>71530</v>
      </c>
      <c r="D16" s="195">
        <f>'55'!J17</f>
        <v>35413</v>
      </c>
      <c r="E16" s="195">
        <f>'55'!I17</f>
        <v>14719</v>
      </c>
      <c r="F16" s="195">
        <f t="shared" si="3"/>
        <v>1177</v>
      </c>
      <c r="G16" s="195">
        <v>557</v>
      </c>
      <c r="H16" s="185"/>
      <c r="I16" s="185">
        <v>620</v>
      </c>
      <c r="J16" s="185">
        <v>1385</v>
      </c>
      <c r="K16" s="195">
        <f>'55'!L17</f>
        <v>18836</v>
      </c>
    </row>
    <row r="17" spans="1:11">
      <c r="A17" s="193">
        <v>9</v>
      </c>
      <c r="B17" s="194" t="s">
        <v>377</v>
      </c>
      <c r="C17" s="195">
        <f t="shared" si="2"/>
        <v>100818</v>
      </c>
      <c r="D17" s="195">
        <f>'55'!J18</f>
        <v>38816</v>
      </c>
      <c r="E17" s="195">
        <f>'55'!I18</f>
        <v>18697</v>
      </c>
      <c r="F17" s="195">
        <f t="shared" si="3"/>
        <v>2363</v>
      </c>
      <c r="G17" s="195">
        <v>295</v>
      </c>
      <c r="H17" s="185"/>
      <c r="I17" s="185">
        <v>2068</v>
      </c>
      <c r="J17" s="185">
        <v>4618</v>
      </c>
      <c r="K17" s="195">
        <f>'55'!L18</f>
        <v>36324</v>
      </c>
    </row>
    <row r="18" spans="1:11">
      <c r="A18" s="193">
        <v>10</v>
      </c>
      <c r="B18" s="194" t="s">
        <v>378</v>
      </c>
      <c r="C18" s="195">
        <f t="shared" si="2"/>
        <v>66342</v>
      </c>
      <c r="D18" s="195">
        <f>'55'!J19</f>
        <v>22211</v>
      </c>
      <c r="E18" s="195">
        <f>'55'!I19</f>
        <v>12887</v>
      </c>
      <c r="F18" s="195">
        <f t="shared" si="3"/>
        <v>887</v>
      </c>
      <c r="G18" s="195">
        <v>245</v>
      </c>
      <c r="H18" s="185"/>
      <c r="I18" s="185">
        <v>642</v>
      </c>
      <c r="J18" s="185">
        <v>1433</v>
      </c>
      <c r="K18" s="195">
        <f>'55'!L19</f>
        <v>28924</v>
      </c>
    </row>
    <row r="19" spans="1:11">
      <c r="A19" s="193">
        <v>11</v>
      </c>
      <c r="B19" s="194" t="s">
        <v>379</v>
      </c>
      <c r="C19" s="195">
        <f t="shared" si="2"/>
        <v>57476</v>
      </c>
      <c r="D19" s="195">
        <f>'55'!J20</f>
        <v>7319</v>
      </c>
      <c r="E19" s="195">
        <f>'55'!I20</f>
        <v>11272</v>
      </c>
      <c r="F19" s="195">
        <f t="shared" si="3"/>
        <v>1090</v>
      </c>
      <c r="G19" s="195">
        <v>176</v>
      </c>
      <c r="H19" s="185"/>
      <c r="I19" s="185">
        <v>914</v>
      </c>
      <c r="J19" s="185">
        <v>2042</v>
      </c>
      <c r="K19" s="195">
        <f>'55'!L20</f>
        <v>35753</v>
      </c>
    </row>
    <row r="20" spans="1:11">
      <c r="A20" s="196"/>
      <c r="B20" s="197"/>
      <c r="C20" s="196"/>
      <c r="D20" s="196"/>
      <c r="E20" s="196"/>
      <c r="F20" s="196"/>
      <c r="G20" s="196"/>
      <c r="H20" s="186"/>
      <c r="I20" s="186"/>
      <c r="J20" s="186"/>
      <c r="K20" s="196"/>
    </row>
    <row r="21" spans="1:11" ht="31.5" hidden="1" customHeight="1">
      <c r="A21" s="576" t="s">
        <v>299</v>
      </c>
      <c r="B21" s="576"/>
      <c r="C21" s="576"/>
      <c r="D21" s="576"/>
      <c r="E21" s="576"/>
      <c r="F21" s="576"/>
      <c r="G21" s="576"/>
    </row>
    <row r="22" spans="1:11">
      <c r="A22" s="198"/>
    </row>
    <row r="23" spans="1:11">
      <c r="A23" s="148"/>
    </row>
  </sheetData>
  <mergeCells count="15">
    <mergeCell ref="K5:K6"/>
    <mergeCell ref="H4:K4"/>
    <mergeCell ref="H1:K1"/>
    <mergeCell ref="F1:G1"/>
    <mergeCell ref="F4:G4"/>
    <mergeCell ref="A2:K2"/>
    <mergeCell ref="A3:K3"/>
    <mergeCell ref="J5:J6"/>
    <mergeCell ref="A21:G21"/>
    <mergeCell ref="A5:A6"/>
    <mergeCell ref="B5:B6"/>
    <mergeCell ref="C5:C6"/>
    <mergeCell ref="D5:D6"/>
    <mergeCell ref="F5:I5"/>
    <mergeCell ref="E5:E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511" t="s">
        <v>268</v>
      </c>
      <c r="Q1" s="511"/>
      <c r="R1" s="511"/>
    </row>
    <row r="2" spans="1:18">
      <c r="A2" s="511" t="s">
        <v>269</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row>
    <row r="4" spans="1:18" ht="15" customHeight="1">
      <c r="A4" s="3"/>
      <c r="P4" s="512" t="s">
        <v>3</v>
      </c>
      <c r="Q4" s="512"/>
      <c r="R4" s="512"/>
    </row>
    <row r="5" spans="1:18" ht="24" customHeight="1">
      <c r="A5" s="514" t="s">
        <v>4</v>
      </c>
      <c r="B5" s="514" t="s">
        <v>69</v>
      </c>
      <c r="C5" s="514" t="s">
        <v>45</v>
      </c>
      <c r="D5" s="514" t="s">
        <v>100</v>
      </c>
      <c r="E5" s="514" t="s">
        <v>101</v>
      </c>
      <c r="F5" s="514" t="s">
        <v>132</v>
      </c>
      <c r="G5" s="514" t="s">
        <v>270</v>
      </c>
      <c r="H5" s="514" t="s">
        <v>145</v>
      </c>
      <c r="I5" s="514" t="s">
        <v>271</v>
      </c>
      <c r="J5" s="514" t="s">
        <v>136</v>
      </c>
      <c r="K5" s="514" t="s">
        <v>146</v>
      </c>
      <c r="L5" s="514" t="s">
        <v>138</v>
      </c>
      <c r="M5" s="514" t="s">
        <v>139</v>
      </c>
      <c r="N5" s="514" t="s">
        <v>172</v>
      </c>
      <c r="O5" s="514"/>
      <c r="P5" s="514" t="s">
        <v>272</v>
      </c>
      <c r="Q5" s="514" t="s">
        <v>273</v>
      </c>
      <c r="R5" s="514" t="s">
        <v>274</v>
      </c>
    </row>
    <row r="6" spans="1:18" ht="127.5" customHeight="1">
      <c r="A6" s="514"/>
      <c r="B6" s="514"/>
      <c r="C6" s="514"/>
      <c r="D6" s="514"/>
      <c r="E6" s="514"/>
      <c r="F6" s="514"/>
      <c r="G6" s="514"/>
      <c r="H6" s="514"/>
      <c r="I6" s="514"/>
      <c r="J6" s="514"/>
      <c r="K6" s="514"/>
      <c r="L6" s="514"/>
      <c r="M6" s="514"/>
      <c r="N6" s="15" t="s">
        <v>174</v>
      </c>
      <c r="O6" s="15" t="s">
        <v>275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H5:H6"/>
    <mergeCell ref="I5:I6"/>
    <mergeCell ref="J5:J6"/>
    <mergeCell ref="K5:K6"/>
    <mergeCell ref="L5:L6"/>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524" t="s">
        <v>316</v>
      </c>
      <c r="V1" s="524"/>
    </row>
    <row r="2" spans="1:22">
      <c r="A2" s="524" t="s">
        <v>317</v>
      </c>
      <c r="B2" s="524"/>
      <c r="C2" s="524"/>
      <c r="D2" s="524"/>
      <c r="E2" s="524"/>
      <c r="F2" s="524"/>
      <c r="G2" s="524"/>
      <c r="H2" s="524"/>
      <c r="I2" s="524"/>
      <c r="J2" s="524"/>
      <c r="K2" s="524"/>
      <c r="L2" s="524"/>
      <c r="M2" s="524"/>
      <c r="N2" s="524"/>
      <c r="O2" s="524"/>
      <c r="P2" s="524"/>
      <c r="Q2" s="524"/>
      <c r="R2" s="524"/>
      <c r="S2" s="524"/>
      <c r="T2" s="524"/>
      <c r="U2" s="524"/>
      <c r="V2" s="524"/>
    </row>
    <row r="3" spans="1:22">
      <c r="A3" s="524" t="s">
        <v>125</v>
      </c>
      <c r="B3" s="524"/>
      <c r="C3" s="524"/>
      <c r="D3" s="524"/>
      <c r="E3" s="524"/>
      <c r="F3" s="524"/>
      <c r="G3" s="524"/>
      <c r="H3" s="524"/>
      <c r="I3" s="524"/>
      <c r="J3" s="524"/>
      <c r="K3" s="524"/>
      <c r="L3" s="524"/>
      <c r="M3" s="524"/>
      <c r="N3" s="524"/>
      <c r="O3" s="524"/>
      <c r="P3" s="524"/>
      <c r="Q3" s="524"/>
      <c r="R3" s="524"/>
      <c r="S3" s="524"/>
      <c r="T3" s="524"/>
      <c r="U3" s="524"/>
      <c r="V3" s="524"/>
    </row>
    <row r="4" spans="1:22">
      <c r="A4" s="45"/>
      <c r="U4" s="525" t="s">
        <v>3</v>
      </c>
      <c r="V4" s="525"/>
    </row>
    <row r="5" spans="1:22">
      <c r="A5" s="515" t="s">
        <v>4</v>
      </c>
      <c r="B5" s="515" t="s">
        <v>318</v>
      </c>
      <c r="C5" s="515" t="s">
        <v>319</v>
      </c>
      <c r="D5" s="515" t="s">
        <v>320</v>
      </c>
      <c r="E5" s="515" t="s">
        <v>321</v>
      </c>
      <c r="F5" s="515" t="s">
        <v>322</v>
      </c>
      <c r="G5" s="515"/>
      <c r="H5" s="515"/>
      <c r="I5" s="515"/>
      <c r="J5" s="515"/>
      <c r="K5" s="515" t="s">
        <v>323</v>
      </c>
      <c r="L5" s="515"/>
      <c r="M5" s="515"/>
      <c r="N5" s="515"/>
      <c r="O5" s="515" t="s">
        <v>324</v>
      </c>
      <c r="P5" s="515"/>
      <c r="Q5" s="515"/>
      <c r="R5" s="515"/>
      <c r="S5" s="515" t="s">
        <v>325</v>
      </c>
      <c r="T5" s="515"/>
      <c r="U5" s="515"/>
      <c r="V5" s="515"/>
    </row>
    <row r="6" spans="1:22">
      <c r="A6" s="515"/>
      <c r="B6" s="515"/>
      <c r="C6" s="515"/>
      <c r="D6" s="515"/>
      <c r="E6" s="515"/>
      <c r="F6" s="515" t="s">
        <v>326</v>
      </c>
      <c r="G6" s="515" t="s">
        <v>327</v>
      </c>
      <c r="H6" s="515"/>
      <c r="I6" s="515"/>
      <c r="J6" s="515"/>
      <c r="K6" s="515"/>
      <c r="L6" s="515"/>
      <c r="M6" s="515"/>
      <c r="N6" s="515"/>
      <c r="O6" s="515"/>
      <c r="P6" s="515"/>
      <c r="Q6" s="515"/>
      <c r="R6" s="515"/>
      <c r="S6" s="515"/>
      <c r="T6" s="515"/>
      <c r="U6" s="515"/>
      <c r="V6" s="515"/>
    </row>
    <row r="7" spans="1:22">
      <c r="A7" s="515"/>
      <c r="B7" s="515"/>
      <c r="C7" s="515"/>
      <c r="D7" s="515"/>
      <c r="E7" s="515"/>
      <c r="F7" s="515"/>
      <c r="G7" s="515" t="s">
        <v>328</v>
      </c>
      <c r="H7" s="515" t="s">
        <v>329</v>
      </c>
      <c r="I7" s="515"/>
      <c r="J7" s="515"/>
      <c r="K7" s="515" t="s">
        <v>45</v>
      </c>
      <c r="L7" s="515" t="s">
        <v>329</v>
      </c>
      <c r="M7" s="515"/>
      <c r="N7" s="515"/>
      <c r="O7" s="515" t="s">
        <v>45</v>
      </c>
      <c r="P7" s="515" t="s">
        <v>329</v>
      </c>
      <c r="Q7" s="515"/>
      <c r="R7" s="515"/>
      <c r="S7" s="515" t="s">
        <v>45</v>
      </c>
      <c r="T7" s="515" t="s">
        <v>329</v>
      </c>
      <c r="U7" s="515"/>
      <c r="V7" s="515"/>
    </row>
    <row r="8" spans="1:22" ht="31.5">
      <c r="A8" s="515"/>
      <c r="B8" s="515"/>
      <c r="C8" s="515"/>
      <c r="D8" s="515"/>
      <c r="E8" s="515"/>
      <c r="F8" s="515"/>
      <c r="G8" s="515"/>
      <c r="H8" s="20" t="s">
        <v>330</v>
      </c>
      <c r="I8" s="20" t="s">
        <v>331</v>
      </c>
      <c r="J8" s="20" t="s">
        <v>73</v>
      </c>
      <c r="K8" s="515"/>
      <c r="L8" s="20" t="s">
        <v>330</v>
      </c>
      <c r="M8" s="20" t="s">
        <v>331</v>
      </c>
      <c r="N8" s="20" t="s">
        <v>73</v>
      </c>
      <c r="O8" s="515"/>
      <c r="P8" s="20" t="s">
        <v>330</v>
      </c>
      <c r="Q8" s="20" t="s">
        <v>331</v>
      </c>
      <c r="R8" s="20" t="s">
        <v>73</v>
      </c>
      <c r="S8" s="515"/>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584" t="s">
        <v>332</v>
      </c>
      <c r="C11" s="584"/>
      <c r="D11" s="584"/>
      <c r="E11" s="584"/>
      <c r="F11" s="584"/>
      <c r="G11" s="95"/>
      <c r="H11" s="95"/>
      <c r="I11" s="95"/>
      <c r="J11" s="95"/>
      <c r="K11" s="95"/>
      <c r="L11" s="95"/>
      <c r="M11" s="95"/>
      <c r="N11" s="95"/>
      <c r="O11" s="95"/>
      <c r="P11" s="95"/>
      <c r="Q11" s="95"/>
      <c r="R11" s="95"/>
      <c r="S11" s="95"/>
      <c r="T11" s="95"/>
      <c r="U11" s="95"/>
      <c r="V11" s="95"/>
    </row>
    <row r="12" spans="1:22">
      <c r="A12" s="94" t="s">
        <v>16</v>
      </c>
      <c r="B12" s="584" t="s">
        <v>333</v>
      </c>
      <c r="C12" s="584"/>
      <c r="D12" s="584"/>
      <c r="E12" s="584"/>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583"/>
      <c r="V14" s="583"/>
    </row>
    <row r="15" spans="1:22">
      <c r="A15" s="95" t="s">
        <v>20</v>
      </c>
      <c r="B15" s="97" t="s">
        <v>263</v>
      </c>
      <c r="C15" s="95"/>
      <c r="D15" s="95"/>
      <c r="E15" s="95"/>
      <c r="F15" s="95"/>
      <c r="G15" s="95"/>
      <c r="H15" s="95"/>
      <c r="I15" s="95"/>
      <c r="J15" s="95"/>
      <c r="K15" s="95"/>
      <c r="L15" s="95"/>
      <c r="M15" s="95"/>
      <c r="N15" s="95"/>
      <c r="O15" s="95"/>
      <c r="P15" s="95"/>
      <c r="Q15" s="95"/>
      <c r="R15" s="95"/>
      <c r="S15" s="95"/>
      <c r="T15" s="95"/>
      <c r="U15" s="583"/>
      <c r="V15" s="583"/>
    </row>
    <row r="16" spans="1:22" ht="21">
      <c r="A16" s="94">
        <v>2</v>
      </c>
      <c r="B16" s="96" t="s">
        <v>336</v>
      </c>
      <c r="C16" s="95"/>
      <c r="D16" s="95"/>
      <c r="E16" s="95"/>
      <c r="F16" s="95"/>
      <c r="G16" s="95"/>
      <c r="H16" s="95"/>
      <c r="I16" s="95"/>
      <c r="J16" s="95"/>
      <c r="K16" s="95"/>
      <c r="L16" s="95"/>
      <c r="M16" s="95"/>
      <c r="N16" s="95"/>
      <c r="O16" s="95"/>
      <c r="P16" s="95"/>
      <c r="Q16" s="95"/>
      <c r="R16" s="95"/>
      <c r="S16" s="95"/>
      <c r="T16" s="95"/>
      <c r="U16" s="583"/>
      <c r="V16" s="583"/>
    </row>
    <row r="17" spans="1:22">
      <c r="A17" s="94" t="s">
        <v>337</v>
      </c>
      <c r="B17" s="584" t="s">
        <v>338</v>
      </c>
      <c r="C17" s="584"/>
      <c r="D17" s="584"/>
      <c r="E17" s="584"/>
      <c r="F17" s="584"/>
      <c r="G17" s="584"/>
      <c r="H17" s="584"/>
      <c r="I17" s="95"/>
      <c r="J17" s="95"/>
      <c r="K17" s="95"/>
      <c r="L17" s="95"/>
      <c r="M17" s="95"/>
      <c r="N17" s="95"/>
      <c r="O17" s="95"/>
      <c r="P17" s="95"/>
      <c r="Q17" s="95"/>
      <c r="R17" s="95"/>
      <c r="S17" s="95"/>
      <c r="T17" s="95"/>
      <c r="U17" s="583"/>
      <c r="V17" s="583"/>
    </row>
    <row r="18" spans="1:22">
      <c r="A18" s="95" t="s">
        <v>20</v>
      </c>
      <c r="B18" s="97" t="s">
        <v>339</v>
      </c>
      <c r="C18" s="95"/>
      <c r="D18" s="95"/>
      <c r="E18" s="95"/>
      <c r="F18" s="95"/>
      <c r="G18" s="95"/>
      <c r="H18" s="95"/>
      <c r="I18" s="95"/>
      <c r="J18" s="95"/>
      <c r="K18" s="95"/>
      <c r="L18" s="95"/>
      <c r="M18" s="95"/>
      <c r="N18" s="95"/>
      <c r="O18" s="95"/>
      <c r="P18" s="95"/>
      <c r="Q18" s="95"/>
      <c r="R18" s="95"/>
      <c r="S18" s="95"/>
      <c r="T18" s="95"/>
      <c r="U18" s="583"/>
      <c r="V18" s="583"/>
    </row>
    <row r="19" spans="1:22">
      <c r="A19" s="95" t="s">
        <v>20</v>
      </c>
      <c r="B19" s="97" t="s">
        <v>288</v>
      </c>
      <c r="C19" s="95"/>
      <c r="D19" s="95"/>
      <c r="E19" s="95"/>
      <c r="F19" s="95"/>
      <c r="G19" s="95"/>
      <c r="H19" s="95"/>
      <c r="I19" s="95"/>
      <c r="J19" s="95"/>
      <c r="K19" s="95"/>
      <c r="L19" s="95"/>
      <c r="M19" s="95"/>
      <c r="N19" s="95"/>
      <c r="O19" s="95"/>
      <c r="P19" s="95"/>
      <c r="Q19" s="95"/>
      <c r="R19" s="95"/>
      <c r="S19" s="95"/>
      <c r="T19" s="95"/>
      <c r="U19" s="583"/>
      <c r="V19" s="583"/>
    </row>
    <row r="20" spans="1:22">
      <c r="A20" s="94" t="s">
        <v>340</v>
      </c>
      <c r="B20" s="584" t="s">
        <v>341</v>
      </c>
      <c r="C20" s="584"/>
      <c r="D20" s="584"/>
      <c r="E20" s="584"/>
      <c r="F20" s="584"/>
      <c r="G20" s="584"/>
      <c r="H20" s="95"/>
      <c r="I20" s="95"/>
      <c r="J20" s="95"/>
      <c r="K20" s="95"/>
      <c r="L20" s="95"/>
      <c r="M20" s="95"/>
      <c r="N20" s="95"/>
      <c r="O20" s="95"/>
      <c r="P20" s="95"/>
      <c r="Q20" s="95"/>
      <c r="R20" s="95"/>
      <c r="S20" s="95"/>
      <c r="T20" s="95"/>
      <c r="U20" s="583"/>
      <c r="V20" s="583"/>
    </row>
    <row r="21" spans="1:22">
      <c r="A21" s="95" t="s">
        <v>20</v>
      </c>
      <c r="B21" s="97" t="s">
        <v>342</v>
      </c>
      <c r="C21" s="95"/>
      <c r="D21" s="95"/>
      <c r="E21" s="95"/>
      <c r="F21" s="95"/>
      <c r="G21" s="95"/>
      <c r="H21" s="95"/>
      <c r="I21" s="95"/>
      <c r="J21" s="95"/>
      <c r="K21" s="95"/>
      <c r="L21" s="95"/>
      <c r="M21" s="95"/>
      <c r="N21" s="95"/>
      <c r="O21" s="95"/>
      <c r="P21" s="95"/>
      <c r="Q21" s="95"/>
      <c r="R21" s="95"/>
      <c r="S21" s="95"/>
      <c r="T21" s="95"/>
      <c r="U21" s="583"/>
      <c r="V21" s="583"/>
    </row>
    <row r="22" spans="1:22">
      <c r="A22" s="95" t="s">
        <v>20</v>
      </c>
      <c r="B22" s="97" t="s">
        <v>343</v>
      </c>
      <c r="C22" s="95"/>
      <c r="D22" s="95"/>
      <c r="E22" s="95"/>
      <c r="F22" s="95"/>
      <c r="G22" s="95"/>
      <c r="H22" s="95"/>
      <c r="I22" s="95"/>
      <c r="J22" s="95"/>
      <c r="K22" s="95"/>
      <c r="L22" s="95"/>
      <c r="M22" s="95"/>
      <c r="N22" s="95"/>
      <c r="O22" s="95"/>
      <c r="P22" s="95"/>
      <c r="Q22" s="95"/>
      <c r="R22" s="95"/>
      <c r="S22" s="95"/>
      <c r="T22" s="95"/>
      <c r="U22" s="583"/>
      <c r="V22" s="583"/>
    </row>
    <row r="23" spans="1:22">
      <c r="A23" s="94" t="s">
        <v>26</v>
      </c>
      <c r="B23" s="584" t="s">
        <v>333</v>
      </c>
      <c r="C23" s="584"/>
      <c r="D23" s="584"/>
      <c r="E23" s="584"/>
      <c r="F23" s="95"/>
      <c r="G23" s="95"/>
      <c r="H23" s="95"/>
      <c r="I23" s="95"/>
      <c r="J23" s="95"/>
      <c r="K23" s="95"/>
      <c r="L23" s="95"/>
      <c r="M23" s="95"/>
      <c r="N23" s="95"/>
      <c r="O23" s="95"/>
      <c r="P23" s="95"/>
      <c r="Q23" s="95"/>
      <c r="R23" s="95"/>
      <c r="S23" s="95"/>
      <c r="T23" s="95"/>
      <c r="U23" s="583"/>
      <c r="V23" s="583"/>
    </row>
    <row r="24" spans="1:22" ht="22.5">
      <c r="A24" s="95"/>
      <c r="B24" s="97" t="s">
        <v>344</v>
      </c>
      <c r="C24" s="95"/>
      <c r="D24" s="95"/>
      <c r="E24" s="95"/>
      <c r="F24" s="95"/>
      <c r="G24" s="95"/>
      <c r="H24" s="95"/>
      <c r="I24" s="95"/>
      <c r="J24" s="95"/>
      <c r="K24" s="95"/>
      <c r="L24" s="95"/>
      <c r="M24" s="95"/>
      <c r="N24" s="95"/>
      <c r="O24" s="95"/>
      <c r="P24" s="95"/>
      <c r="Q24" s="95"/>
      <c r="R24" s="95"/>
      <c r="S24" s="95"/>
      <c r="T24" s="95"/>
      <c r="U24" s="583"/>
      <c r="V24" s="583"/>
    </row>
    <row r="25" spans="1:22">
      <c r="A25" s="94" t="s">
        <v>12</v>
      </c>
      <c r="B25" s="584" t="s">
        <v>345</v>
      </c>
      <c r="C25" s="584"/>
      <c r="D25" s="584"/>
      <c r="E25" s="584"/>
      <c r="F25" s="584"/>
      <c r="G25" s="584"/>
      <c r="H25" s="95"/>
      <c r="I25" s="95"/>
      <c r="J25" s="95"/>
      <c r="K25" s="95"/>
      <c r="L25" s="95"/>
      <c r="M25" s="95"/>
      <c r="N25" s="95"/>
      <c r="O25" s="95"/>
      <c r="P25" s="95"/>
      <c r="Q25" s="95"/>
      <c r="R25" s="95"/>
      <c r="S25" s="95"/>
      <c r="T25" s="95"/>
      <c r="U25" s="583"/>
      <c r="V25" s="583"/>
    </row>
    <row r="26" spans="1:22" ht="33.75">
      <c r="A26" s="95"/>
      <c r="B26" s="97" t="s">
        <v>346</v>
      </c>
      <c r="C26" s="95"/>
      <c r="D26" s="95"/>
      <c r="E26" s="95"/>
      <c r="F26" s="95"/>
      <c r="G26" s="95"/>
      <c r="H26" s="95"/>
      <c r="I26" s="95"/>
      <c r="J26" s="95"/>
      <c r="K26" s="95"/>
      <c r="L26" s="95"/>
      <c r="M26" s="95"/>
      <c r="N26" s="95"/>
      <c r="O26" s="95"/>
      <c r="P26" s="95"/>
      <c r="Q26" s="95"/>
      <c r="R26" s="95"/>
      <c r="S26" s="95"/>
      <c r="T26" s="95"/>
      <c r="U26" s="583"/>
      <c r="V26" s="583"/>
    </row>
    <row r="27" spans="1:22">
      <c r="A27" s="98" t="s">
        <v>20</v>
      </c>
      <c r="B27" s="99" t="s">
        <v>65</v>
      </c>
      <c r="C27" s="98"/>
      <c r="D27" s="98"/>
      <c r="E27" s="98"/>
      <c r="F27" s="98"/>
      <c r="G27" s="98"/>
      <c r="H27" s="98"/>
      <c r="I27" s="98"/>
      <c r="J27" s="98"/>
      <c r="K27" s="98"/>
      <c r="L27" s="98"/>
      <c r="M27" s="98"/>
      <c r="N27" s="98"/>
      <c r="O27" s="98"/>
      <c r="P27" s="98"/>
      <c r="Q27" s="98"/>
      <c r="R27" s="98"/>
      <c r="S27" s="98"/>
      <c r="T27" s="98"/>
      <c r="U27" s="582"/>
      <c r="V27" s="582"/>
    </row>
  </sheetData>
  <mergeCells count="43">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 ref="H7:J7"/>
    <mergeCell ref="K7:K8"/>
    <mergeCell ref="L7:N7"/>
    <mergeCell ref="O7:O8"/>
    <mergeCell ref="P7:R7"/>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U27:V27"/>
    <mergeCell ref="U22:V22"/>
    <mergeCell ref="U24:V24"/>
    <mergeCell ref="B25:G25"/>
    <mergeCell ref="U25:V25"/>
    <mergeCell ref="U26:V26"/>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524" t="s">
        <v>300</v>
      </c>
      <c r="L1" s="524"/>
    </row>
    <row r="2" spans="1:12" ht="31.5" customHeight="1">
      <c r="A2" s="524" t="s">
        <v>301</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c r="A5" s="514" t="s">
        <v>4</v>
      </c>
      <c r="B5" s="514" t="s">
        <v>42</v>
      </c>
      <c r="C5" s="514" t="s">
        <v>45</v>
      </c>
      <c r="D5" s="514"/>
      <c r="E5" s="514"/>
      <c r="F5" s="514" t="s">
        <v>302</v>
      </c>
      <c r="G5" s="514"/>
      <c r="H5" s="514"/>
      <c r="I5" s="514" t="s">
        <v>302</v>
      </c>
      <c r="J5" s="514"/>
      <c r="K5" s="514"/>
      <c r="L5" s="514" t="s">
        <v>243</v>
      </c>
    </row>
    <row r="6" spans="1:12" ht="25.5">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585" t="s">
        <v>364</v>
      </c>
      <c r="B19" s="585"/>
      <c r="C19" s="585"/>
      <c r="D19" s="585"/>
      <c r="E19" s="585"/>
      <c r="F19" s="585"/>
      <c r="G19" s="585"/>
      <c r="H19" s="585"/>
      <c r="I19" s="585"/>
      <c r="J19" s="585"/>
      <c r="K19" s="585"/>
      <c r="L19" s="585"/>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524" t="s">
        <v>304</v>
      </c>
      <c r="L1" s="524"/>
    </row>
    <row r="2" spans="1:12" ht="30" customHeight="1">
      <c r="A2" s="524" t="s">
        <v>347</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ht="21" customHeight="1">
      <c r="A5" s="514" t="s">
        <v>4</v>
      </c>
      <c r="B5" s="514" t="s">
        <v>42</v>
      </c>
      <c r="C5" s="514" t="s">
        <v>45</v>
      </c>
      <c r="D5" s="514"/>
      <c r="E5" s="514"/>
      <c r="F5" s="514" t="s">
        <v>305</v>
      </c>
      <c r="G5" s="514"/>
      <c r="H5" s="514"/>
      <c r="I5" s="514" t="s">
        <v>305</v>
      </c>
      <c r="J5" s="514"/>
      <c r="K5" s="514"/>
      <c r="L5" s="514" t="s">
        <v>243</v>
      </c>
    </row>
    <row r="6" spans="1:12" ht="30.75" customHeight="1">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586" t="s">
        <v>365</v>
      </c>
      <c r="B21" s="586"/>
      <c r="C21" s="586"/>
      <c r="D21" s="586"/>
      <c r="E21" s="586"/>
      <c r="F21" s="586"/>
      <c r="G21" s="586"/>
      <c r="H21" s="586"/>
      <c r="I21" s="586"/>
      <c r="J21" s="586"/>
      <c r="K21" s="586"/>
      <c r="L21" s="586"/>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511" t="s">
        <v>307</v>
      </c>
      <c r="M1" s="511"/>
    </row>
    <row r="2" spans="1:13">
      <c r="A2" s="511" t="s">
        <v>308</v>
      </c>
      <c r="B2" s="511"/>
      <c r="C2" s="511"/>
      <c r="D2" s="511"/>
      <c r="E2" s="511"/>
      <c r="F2" s="511"/>
      <c r="G2" s="511"/>
      <c r="H2" s="511"/>
      <c r="I2" s="511"/>
      <c r="J2" s="511"/>
      <c r="K2" s="511"/>
      <c r="L2" s="511"/>
      <c r="M2" s="511"/>
    </row>
    <row r="3" spans="1:13">
      <c r="A3" s="511" t="s">
        <v>125</v>
      </c>
      <c r="B3" s="511"/>
      <c r="C3" s="511"/>
      <c r="D3" s="511"/>
      <c r="E3" s="511"/>
      <c r="F3" s="511"/>
      <c r="G3" s="511"/>
      <c r="H3" s="511"/>
      <c r="I3" s="511"/>
      <c r="J3" s="511"/>
      <c r="K3" s="511"/>
      <c r="L3" s="511"/>
      <c r="M3" s="511"/>
    </row>
    <row r="4" spans="1:13">
      <c r="A4" s="3"/>
      <c r="L4" s="512" t="s">
        <v>3</v>
      </c>
      <c r="M4" s="512"/>
    </row>
    <row r="5" spans="1:13">
      <c r="A5" s="587" t="s">
        <v>4</v>
      </c>
      <c r="B5" s="587" t="s">
        <v>206</v>
      </c>
      <c r="C5" s="587" t="s">
        <v>366</v>
      </c>
      <c r="D5" s="587" t="s">
        <v>7</v>
      </c>
      <c r="E5" s="587"/>
      <c r="F5" s="587"/>
      <c r="G5" s="587"/>
      <c r="H5" s="587" t="s">
        <v>367</v>
      </c>
      <c r="I5" s="587" t="s">
        <v>309</v>
      </c>
      <c r="J5" s="587"/>
      <c r="K5" s="587"/>
      <c r="L5" s="587"/>
      <c r="M5" s="587" t="s">
        <v>368</v>
      </c>
    </row>
    <row r="6" spans="1:13" ht="22.5" customHeight="1">
      <c r="A6" s="587"/>
      <c r="B6" s="587"/>
      <c r="C6" s="587"/>
      <c r="D6" s="587" t="s">
        <v>208</v>
      </c>
      <c r="E6" s="587"/>
      <c r="F6" s="587" t="s">
        <v>209</v>
      </c>
      <c r="G6" s="587" t="s">
        <v>210</v>
      </c>
      <c r="H6" s="587"/>
      <c r="I6" s="587" t="s">
        <v>208</v>
      </c>
      <c r="J6" s="587"/>
      <c r="K6" s="587" t="s">
        <v>310</v>
      </c>
      <c r="L6" s="587" t="s">
        <v>210</v>
      </c>
      <c r="M6" s="587"/>
    </row>
    <row r="7" spans="1:13" ht="44.25">
      <c r="A7" s="587"/>
      <c r="B7" s="587"/>
      <c r="C7" s="587"/>
      <c r="D7" s="86" t="s">
        <v>45</v>
      </c>
      <c r="E7" s="86" t="s">
        <v>369</v>
      </c>
      <c r="F7" s="587"/>
      <c r="G7" s="587"/>
      <c r="H7" s="587"/>
      <c r="I7" s="86" t="s">
        <v>45</v>
      </c>
      <c r="J7" s="86" t="s">
        <v>311</v>
      </c>
      <c r="K7" s="587"/>
      <c r="L7" s="587"/>
      <c r="M7" s="587"/>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1:M1"/>
    <mergeCell ref="L4:M4"/>
    <mergeCell ref="A5:A7"/>
    <mergeCell ref="B5:B7"/>
    <mergeCell ref="C5:C7"/>
    <mergeCell ref="D5:G5"/>
    <mergeCell ref="H5:H7"/>
    <mergeCell ref="I5:L5"/>
    <mergeCell ref="M5:M7"/>
    <mergeCell ref="D6:E6"/>
    <mergeCell ref="F6:F7"/>
    <mergeCell ref="G6:G7"/>
    <mergeCell ref="I6:J6"/>
    <mergeCell ref="K6:K7"/>
    <mergeCell ref="L6:L7"/>
    <mergeCell ref="A2:M2"/>
    <mergeCell ref="A3:M3"/>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511" t="s">
        <v>67</v>
      </c>
      <c r="O1" s="511"/>
    </row>
    <row r="2" spans="1:15">
      <c r="A2" s="511" t="s">
        <v>68</v>
      </c>
      <c r="B2" s="511"/>
      <c r="C2" s="511"/>
      <c r="D2" s="511"/>
      <c r="E2" s="511"/>
      <c r="F2" s="511"/>
      <c r="G2" s="511"/>
      <c r="H2" s="511"/>
      <c r="I2" s="511"/>
      <c r="J2" s="511"/>
      <c r="K2" s="511"/>
      <c r="L2" s="511"/>
      <c r="M2" s="511"/>
      <c r="N2" s="511"/>
      <c r="O2" s="511"/>
    </row>
    <row r="3" spans="1:15">
      <c r="A3" s="511" t="s">
        <v>2</v>
      </c>
      <c r="B3" s="511"/>
      <c r="C3" s="511"/>
      <c r="D3" s="511"/>
      <c r="E3" s="511"/>
      <c r="F3" s="511"/>
      <c r="G3" s="511"/>
      <c r="H3" s="511"/>
      <c r="I3" s="511"/>
      <c r="J3" s="511"/>
      <c r="K3" s="511"/>
      <c r="L3" s="511"/>
      <c r="M3" s="511"/>
      <c r="N3" s="511"/>
      <c r="O3" s="511"/>
    </row>
    <row r="4" spans="1:15">
      <c r="A4" s="3"/>
      <c r="N4" s="512" t="s">
        <v>3</v>
      </c>
      <c r="O4" s="512"/>
    </row>
    <row r="5" spans="1:15" ht="45" customHeight="1">
      <c r="A5" s="515" t="s">
        <v>4</v>
      </c>
      <c r="B5" s="518" t="s">
        <v>42</v>
      </c>
      <c r="C5" s="515" t="s">
        <v>70</v>
      </c>
      <c r="D5" s="518" t="s">
        <v>348</v>
      </c>
      <c r="E5" s="515" t="s">
        <v>46</v>
      </c>
      <c r="F5" s="515"/>
      <c r="G5" s="515"/>
      <c r="H5" s="518" t="s">
        <v>349</v>
      </c>
      <c r="I5" s="518" t="s">
        <v>350</v>
      </c>
      <c r="J5" s="515" t="s">
        <v>46</v>
      </c>
      <c r="K5" s="515"/>
      <c r="L5" s="515"/>
      <c r="M5" s="515"/>
      <c r="N5" s="515"/>
      <c r="O5" s="515"/>
    </row>
    <row r="6" spans="1:15" ht="63">
      <c r="A6" s="515"/>
      <c r="B6" s="519"/>
      <c r="C6" s="515"/>
      <c r="D6" s="519"/>
      <c r="E6" s="20" t="s">
        <v>71</v>
      </c>
      <c r="F6" s="20" t="s">
        <v>72</v>
      </c>
      <c r="G6" s="20" t="s">
        <v>73</v>
      </c>
      <c r="H6" s="519"/>
      <c r="I6" s="519"/>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516" t="s">
        <v>354</v>
      </c>
      <c r="B32" s="516"/>
      <c r="C32" s="516"/>
      <c r="D32" s="516"/>
      <c r="E32" s="516"/>
      <c r="F32" s="516"/>
      <c r="G32" s="516"/>
      <c r="H32" s="516"/>
      <c r="I32" s="516"/>
      <c r="J32" s="516"/>
      <c r="K32" s="516"/>
      <c r="L32" s="516"/>
      <c r="M32" s="516"/>
      <c r="N32" s="516"/>
      <c r="O32" s="516"/>
    </row>
    <row r="33" spans="1:15">
      <c r="A33" s="517" t="s">
        <v>80</v>
      </c>
      <c r="B33" s="517"/>
      <c r="C33" s="517"/>
      <c r="D33" s="517"/>
      <c r="E33" s="517"/>
      <c r="F33" s="517"/>
      <c r="G33" s="517"/>
      <c r="H33" s="517"/>
      <c r="I33" s="517"/>
      <c r="J33" s="517"/>
      <c r="K33" s="517"/>
      <c r="L33" s="517"/>
      <c r="M33" s="517"/>
      <c r="N33" s="517"/>
      <c r="O33" s="517"/>
    </row>
    <row r="34" spans="1:15">
      <c r="A34" s="517" t="s">
        <v>81</v>
      </c>
      <c r="B34" s="517"/>
      <c r="C34" s="517"/>
      <c r="D34" s="517"/>
      <c r="E34" s="517"/>
      <c r="F34" s="517"/>
      <c r="G34" s="517"/>
      <c r="H34" s="517"/>
      <c r="I34" s="517"/>
      <c r="J34" s="517"/>
      <c r="K34" s="517"/>
      <c r="L34" s="517"/>
      <c r="M34" s="517"/>
      <c r="N34" s="517"/>
      <c r="O34" s="517"/>
    </row>
    <row r="35" spans="1:15">
      <c r="A35" s="14"/>
    </row>
    <row r="36" spans="1:15">
      <c r="A36" s="19"/>
    </row>
  </sheetData>
  <mergeCells count="15">
    <mergeCell ref="N1:O1"/>
    <mergeCell ref="N4:O4"/>
    <mergeCell ref="A5:A6"/>
    <mergeCell ref="C5:C6"/>
    <mergeCell ref="E5:G5"/>
    <mergeCell ref="J5:O5"/>
    <mergeCell ref="A32:O32"/>
    <mergeCell ref="A33:O33"/>
    <mergeCell ref="A34:O34"/>
    <mergeCell ref="A2:O2"/>
    <mergeCell ref="A3:O3"/>
    <mergeCell ref="B5:B6"/>
    <mergeCell ref="D5:D6"/>
    <mergeCell ref="H5:H6"/>
    <mergeCell ref="I5:I6"/>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A3" sqref="A3:C3"/>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563" t="str">
        <f>'47'!A1:B1</f>
        <v>UBND TỈNH TIỀN GIANG</v>
      </c>
      <c r="B1" s="563"/>
      <c r="C1" s="563"/>
    </row>
    <row r="2" spans="1:12" ht="15" customHeight="1">
      <c r="A2" s="216"/>
      <c r="F2" s="571"/>
      <c r="G2" s="571"/>
      <c r="H2" s="542"/>
      <c r="I2" s="542"/>
      <c r="J2" s="542" t="s">
        <v>1333</v>
      </c>
      <c r="K2" s="542"/>
    </row>
    <row r="3" spans="1:12" ht="19.5" customHeight="1">
      <c r="A3" s="571" t="s">
        <v>524</v>
      </c>
      <c r="B3" s="571"/>
      <c r="C3" s="571"/>
      <c r="D3" s="571"/>
      <c r="E3" s="571"/>
      <c r="F3" s="571"/>
      <c r="G3" s="571"/>
      <c r="H3" s="571"/>
      <c r="I3" s="571"/>
      <c r="J3" s="571"/>
      <c r="K3" s="571"/>
    </row>
    <row r="4" spans="1:12" ht="15" customHeight="1">
      <c r="A4" s="544" t="str">
        <f>'46,'!A4:C4</f>
        <v>(Kèm theo Quyết định số ………../QĐ-UBND ngày    /12/2018 của Ủy ban nhân dân tỉnh Tiền Giang)</v>
      </c>
      <c r="B4" s="544"/>
      <c r="C4" s="544"/>
      <c r="D4" s="544"/>
      <c r="E4" s="544"/>
      <c r="F4" s="544"/>
      <c r="G4" s="544"/>
      <c r="H4" s="544"/>
      <c r="I4" s="544"/>
      <c r="J4" s="544"/>
      <c r="K4" s="544"/>
    </row>
    <row r="5" spans="1:12" ht="15" customHeight="1">
      <c r="A5" s="188"/>
      <c r="F5" s="581"/>
      <c r="G5" s="581"/>
      <c r="H5" s="579" t="s">
        <v>3</v>
      </c>
      <c r="I5" s="579"/>
      <c r="J5" s="579"/>
      <c r="K5" s="579"/>
    </row>
    <row r="6" spans="1:12" s="184" customFormat="1" ht="29.25" customHeight="1">
      <c r="A6" s="570" t="s">
        <v>4</v>
      </c>
      <c r="B6" s="570" t="s">
        <v>69</v>
      </c>
      <c r="C6" s="570" t="s">
        <v>45</v>
      </c>
      <c r="D6" s="570" t="s">
        <v>485</v>
      </c>
      <c r="E6" s="577" t="s">
        <v>495</v>
      </c>
      <c r="F6" s="570" t="s">
        <v>514</v>
      </c>
      <c r="G6" s="570"/>
      <c r="H6" s="570"/>
      <c r="I6" s="570"/>
      <c r="J6" s="577" t="s">
        <v>515</v>
      </c>
      <c r="K6" s="577" t="s">
        <v>507</v>
      </c>
      <c r="L6" s="189"/>
    </row>
    <row r="7" spans="1:12" s="184" customFormat="1" ht="123.75" customHeight="1">
      <c r="A7" s="570"/>
      <c r="B7" s="570"/>
      <c r="C7" s="570"/>
      <c r="D7" s="570"/>
      <c r="E7" s="578"/>
      <c r="F7" s="215" t="s">
        <v>486</v>
      </c>
      <c r="G7" s="215" t="s">
        <v>487</v>
      </c>
      <c r="H7" s="215" t="s">
        <v>488</v>
      </c>
      <c r="I7" s="215" t="s">
        <v>513</v>
      </c>
      <c r="J7" s="578"/>
      <c r="K7" s="578"/>
    </row>
    <row r="8" spans="1:12" s="184" customFormat="1" ht="18" customHeight="1">
      <c r="A8" s="215" t="s">
        <v>11</v>
      </c>
      <c r="B8" s="215" t="s">
        <v>12</v>
      </c>
      <c r="C8" s="213" t="s">
        <v>522</v>
      </c>
      <c r="D8" s="213">
        <v>2</v>
      </c>
      <c r="E8" s="213">
        <v>3</v>
      </c>
      <c r="F8" s="213" t="s">
        <v>521</v>
      </c>
      <c r="G8" s="213">
        <v>5</v>
      </c>
      <c r="H8" s="213">
        <v>6</v>
      </c>
      <c r="I8" s="213">
        <v>7</v>
      </c>
      <c r="J8" s="213">
        <v>8</v>
      </c>
      <c r="K8" s="213">
        <v>9</v>
      </c>
    </row>
    <row r="9" spans="1:12">
      <c r="A9" s="191"/>
      <c r="B9" s="192" t="s">
        <v>159</v>
      </c>
      <c r="C9" s="192">
        <f>SUM(C10:C20)</f>
        <v>1009742</v>
      </c>
      <c r="D9" s="192">
        <f t="shared" ref="D9:K9" si="0">SUM(D10:D20)</f>
        <v>414165</v>
      </c>
      <c r="E9" s="192">
        <f t="shared" si="0"/>
        <v>168404</v>
      </c>
      <c r="F9" s="192">
        <f t="shared" si="0"/>
        <v>30357</v>
      </c>
      <c r="G9" s="192">
        <f t="shared" si="0"/>
        <v>5368</v>
      </c>
      <c r="H9" s="192">
        <f t="shared" si="0"/>
        <v>4250</v>
      </c>
      <c r="I9" s="192">
        <f t="shared" si="0"/>
        <v>20739</v>
      </c>
      <c r="J9" s="192">
        <f t="shared" si="0"/>
        <v>37167</v>
      </c>
      <c r="K9" s="192">
        <f t="shared" si="0"/>
        <v>359649</v>
      </c>
    </row>
    <row r="10" spans="1:12">
      <c r="A10" s="193">
        <v>1</v>
      </c>
      <c r="B10" s="194" t="s">
        <v>382</v>
      </c>
      <c r="C10" s="195">
        <f>D10+F10+E10+K10+J10</f>
        <v>65150</v>
      </c>
      <c r="D10" s="195">
        <f>'[2]07'!J10</f>
        <v>25024</v>
      </c>
      <c r="E10" s="195">
        <f>'[2]07'!I10</f>
        <v>0</v>
      </c>
      <c r="F10" s="195">
        <f>SUM(G10:I10)</f>
        <v>6013</v>
      </c>
      <c r="G10" s="195">
        <v>987</v>
      </c>
      <c r="H10" s="185"/>
      <c r="I10" s="185">
        <v>5026</v>
      </c>
      <c r="J10" s="185">
        <f>11221-9145</f>
        <v>2076</v>
      </c>
      <c r="K10" s="195">
        <f>'[2]07'!L10</f>
        <v>32037</v>
      </c>
    </row>
    <row r="11" spans="1:12">
      <c r="A11" s="193">
        <v>2</v>
      </c>
      <c r="B11" s="194" t="s">
        <v>380</v>
      </c>
      <c r="C11" s="195">
        <f t="shared" ref="C11:C20" si="1">D11+F11+E11+K11+J11</f>
        <v>78168</v>
      </c>
      <c r="D11" s="195">
        <f>'[2]07'!J11</f>
        <v>25545</v>
      </c>
      <c r="E11" s="195">
        <f>'[2]07'!I11</f>
        <v>10858</v>
      </c>
      <c r="F11" s="195">
        <f t="shared" ref="F11:F20" si="2">SUM(G11:I11)</f>
        <v>5793</v>
      </c>
      <c r="G11" s="195">
        <v>667</v>
      </c>
      <c r="H11" s="185">
        <v>4250</v>
      </c>
      <c r="I11" s="185">
        <v>876</v>
      </c>
      <c r="J11" s="185">
        <v>1956</v>
      </c>
      <c r="K11" s="195">
        <f>'[2]07'!L11</f>
        <v>34016</v>
      </c>
    </row>
    <row r="12" spans="1:12">
      <c r="A12" s="193">
        <v>3</v>
      </c>
      <c r="B12" s="194" t="s">
        <v>381</v>
      </c>
      <c r="C12" s="195">
        <f t="shared" si="1"/>
        <v>90217</v>
      </c>
      <c r="D12" s="195">
        <f>'[2]07'!J12</f>
        <v>33582</v>
      </c>
      <c r="E12" s="195">
        <f>'[2]07'!I12</f>
        <v>13866</v>
      </c>
      <c r="F12" s="195">
        <f t="shared" si="2"/>
        <v>2079</v>
      </c>
      <c r="G12" s="195">
        <v>351</v>
      </c>
      <c r="H12" s="185"/>
      <c r="I12" s="185">
        <v>1728</v>
      </c>
      <c r="J12" s="185">
        <v>3859</v>
      </c>
      <c r="K12" s="195">
        <f>'[2]07'!L12</f>
        <v>36831</v>
      </c>
    </row>
    <row r="13" spans="1:12">
      <c r="A13" s="193">
        <v>4</v>
      </c>
      <c r="B13" s="194" t="s">
        <v>372</v>
      </c>
      <c r="C13" s="195">
        <f t="shared" si="1"/>
        <v>115083</v>
      </c>
      <c r="D13" s="195">
        <f>'[2]07'!J13</f>
        <v>49374</v>
      </c>
      <c r="E13" s="195">
        <f>'[2]07'!I13</f>
        <v>20618</v>
      </c>
      <c r="F13" s="195">
        <f t="shared" si="2"/>
        <v>4030</v>
      </c>
      <c r="G13" s="195">
        <v>445</v>
      </c>
      <c r="H13" s="185"/>
      <c r="I13" s="185">
        <v>3585</v>
      </c>
      <c r="J13" s="185">
        <v>8006</v>
      </c>
      <c r="K13" s="195">
        <f>'[2]07'!L13</f>
        <v>33055</v>
      </c>
    </row>
    <row r="14" spans="1:12">
      <c r="A14" s="193">
        <v>5</v>
      </c>
      <c r="B14" s="194" t="s">
        <v>373</v>
      </c>
      <c r="C14" s="195">
        <f t="shared" si="1"/>
        <v>107808</v>
      </c>
      <c r="D14" s="195">
        <f>'[2]07'!J14</f>
        <v>40440</v>
      </c>
      <c r="E14" s="195">
        <f>'[2]07'!I14</f>
        <v>20448</v>
      </c>
      <c r="F14" s="195">
        <f t="shared" si="2"/>
        <v>1945</v>
      </c>
      <c r="G14" s="195">
        <v>414</v>
      </c>
      <c r="H14" s="185"/>
      <c r="I14" s="185">
        <v>1531</v>
      </c>
      <c r="J14" s="185">
        <v>3419</v>
      </c>
      <c r="K14" s="195">
        <f>'[2]07'!L14</f>
        <v>41556</v>
      </c>
    </row>
    <row r="15" spans="1:12">
      <c r="A15" s="193">
        <v>6</v>
      </c>
      <c r="B15" s="194" t="s">
        <v>374</v>
      </c>
      <c r="C15" s="195">
        <f t="shared" si="1"/>
        <v>138171</v>
      </c>
      <c r="D15" s="195">
        <f>'[2]07'!J15</f>
        <v>64476</v>
      </c>
      <c r="E15" s="195">
        <f>'[2]07'!I15</f>
        <v>22962</v>
      </c>
      <c r="F15" s="195">
        <f t="shared" si="2"/>
        <v>2587</v>
      </c>
      <c r="G15" s="195">
        <v>801</v>
      </c>
      <c r="H15" s="185"/>
      <c r="I15" s="185">
        <v>1786</v>
      </c>
      <c r="J15" s="185">
        <v>3989</v>
      </c>
      <c r="K15" s="195">
        <f>'[2]07'!L15</f>
        <v>44157</v>
      </c>
    </row>
    <row r="16" spans="1:12">
      <c r="A16" s="193">
        <v>7</v>
      </c>
      <c r="B16" s="194" t="s">
        <v>375</v>
      </c>
      <c r="C16" s="195">
        <f t="shared" si="1"/>
        <v>118979</v>
      </c>
      <c r="D16" s="195">
        <f>'[2]07'!J16</f>
        <v>71965</v>
      </c>
      <c r="E16" s="195">
        <f>'[2]07'!I16</f>
        <v>22077</v>
      </c>
      <c r="F16" s="195">
        <f t="shared" si="2"/>
        <v>2393</v>
      </c>
      <c r="G16" s="195">
        <v>430</v>
      </c>
      <c r="H16" s="185"/>
      <c r="I16" s="185">
        <v>1963</v>
      </c>
      <c r="J16" s="185">
        <v>4384</v>
      </c>
      <c r="K16" s="195">
        <f>'[2]07'!L16</f>
        <v>18160</v>
      </c>
    </row>
    <row r="17" spans="1:11">
      <c r="A17" s="193">
        <v>8</v>
      </c>
      <c r="B17" s="194" t="s">
        <v>376</v>
      </c>
      <c r="C17" s="195">
        <f t="shared" si="1"/>
        <v>71530</v>
      </c>
      <c r="D17" s="195">
        <f>'[2]07'!J17</f>
        <v>35413</v>
      </c>
      <c r="E17" s="195">
        <f>'[2]07'!I17</f>
        <v>14719</v>
      </c>
      <c r="F17" s="195">
        <f t="shared" si="2"/>
        <v>1177</v>
      </c>
      <c r="G17" s="195">
        <v>557</v>
      </c>
      <c r="H17" s="185"/>
      <c r="I17" s="185">
        <v>620</v>
      </c>
      <c r="J17" s="185">
        <v>1385</v>
      </c>
      <c r="K17" s="195">
        <f>'[2]07'!L17</f>
        <v>18836</v>
      </c>
    </row>
    <row r="18" spans="1:11">
      <c r="A18" s="193">
        <v>9</v>
      </c>
      <c r="B18" s="194" t="s">
        <v>377</v>
      </c>
      <c r="C18" s="195">
        <f t="shared" si="1"/>
        <v>100818</v>
      </c>
      <c r="D18" s="195">
        <f>'[2]07'!J18</f>
        <v>38816</v>
      </c>
      <c r="E18" s="195">
        <f>'[2]07'!I18</f>
        <v>18697</v>
      </c>
      <c r="F18" s="195">
        <f t="shared" si="2"/>
        <v>2363</v>
      </c>
      <c r="G18" s="195">
        <v>295</v>
      </c>
      <c r="H18" s="185"/>
      <c r="I18" s="185">
        <v>2068</v>
      </c>
      <c r="J18" s="185">
        <v>4618</v>
      </c>
      <c r="K18" s="195">
        <f>'[2]07'!L18</f>
        <v>36324</v>
      </c>
    </row>
    <row r="19" spans="1:11">
      <c r="A19" s="193">
        <v>10</v>
      </c>
      <c r="B19" s="194" t="s">
        <v>378</v>
      </c>
      <c r="C19" s="195">
        <f t="shared" si="1"/>
        <v>66342</v>
      </c>
      <c r="D19" s="195">
        <f>'[2]07'!J19</f>
        <v>22211</v>
      </c>
      <c r="E19" s="195">
        <f>'[2]07'!I19</f>
        <v>12887</v>
      </c>
      <c r="F19" s="195">
        <f t="shared" si="2"/>
        <v>887</v>
      </c>
      <c r="G19" s="195">
        <v>245</v>
      </c>
      <c r="H19" s="185"/>
      <c r="I19" s="185">
        <v>642</v>
      </c>
      <c r="J19" s="185">
        <v>1433</v>
      </c>
      <c r="K19" s="195">
        <f>'[2]07'!L19</f>
        <v>28924</v>
      </c>
    </row>
    <row r="20" spans="1:11">
      <c r="A20" s="193">
        <v>11</v>
      </c>
      <c r="B20" s="194" t="s">
        <v>379</v>
      </c>
      <c r="C20" s="195">
        <f t="shared" si="1"/>
        <v>57476</v>
      </c>
      <c r="D20" s="195">
        <f>'[2]07'!J20</f>
        <v>7319</v>
      </c>
      <c r="E20" s="195">
        <f>'[2]07'!I20</f>
        <v>11272</v>
      </c>
      <c r="F20" s="195">
        <f t="shared" si="2"/>
        <v>1090</v>
      </c>
      <c r="G20" s="195">
        <v>176</v>
      </c>
      <c r="H20" s="185"/>
      <c r="I20" s="185">
        <v>914</v>
      </c>
      <c r="J20" s="185">
        <v>2042</v>
      </c>
      <c r="K20" s="195">
        <f>'[2]07'!L20</f>
        <v>35753</v>
      </c>
    </row>
    <row r="21" spans="1:11">
      <c r="A21" s="196"/>
      <c r="B21" s="197"/>
      <c r="C21" s="196"/>
      <c r="D21" s="196"/>
      <c r="E21" s="196"/>
      <c r="F21" s="196"/>
      <c r="G21" s="196"/>
      <c r="H21" s="186"/>
      <c r="I21" s="186"/>
      <c r="J21" s="186"/>
      <c r="K21" s="196"/>
    </row>
    <row r="22" spans="1:11" ht="31.5" hidden="1" customHeight="1">
      <c r="A22" s="576" t="s">
        <v>299</v>
      </c>
      <c r="B22" s="576"/>
      <c r="C22" s="576"/>
      <c r="D22" s="576"/>
      <c r="E22" s="576"/>
      <c r="F22" s="576"/>
      <c r="G22" s="576"/>
    </row>
    <row r="23" spans="1:11">
      <c r="A23" s="198"/>
    </row>
    <row r="24" spans="1:11">
      <c r="A24" s="148"/>
    </row>
  </sheetData>
  <mergeCells count="17">
    <mergeCell ref="A22:G22"/>
    <mergeCell ref="H2:I2"/>
    <mergeCell ref="J2:K2"/>
    <mergeCell ref="E6:E7"/>
    <mergeCell ref="F6:I6"/>
    <mergeCell ref="F2:G2"/>
    <mergeCell ref="A1:C1"/>
    <mergeCell ref="A6:A7"/>
    <mergeCell ref="B6:B7"/>
    <mergeCell ref="C6:C7"/>
    <mergeCell ref="D6:D7"/>
    <mergeCell ref="A3:K3"/>
    <mergeCell ref="A4:K4"/>
    <mergeCell ref="F5:G5"/>
    <mergeCell ref="H5:K5"/>
    <mergeCell ref="J6:J7"/>
    <mergeCell ref="K6:K7"/>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dimension ref="A1:AW498"/>
  <sheetViews>
    <sheetView workbookViewId="0">
      <selection activeCell="A3" sqref="A3:C3"/>
    </sheetView>
  </sheetViews>
  <sheetFormatPr defaultRowHeight="47.25" customHeight="1"/>
  <cols>
    <col min="1" max="1" width="5.42578125" style="245" customWidth="1"/>
    <col min="2" max="2" width="32.85546875" style="249" customWidth="1"/>
    <col min="3" max="3" width="11.5703125" style="245" customWidth="1"/>
    <col min="4" max="4" width="9.140625" style="245"/>
    <col min="5" max="5" width="0" style="245" hidden="1" customWidth="1"/>
    <col min="6" max="6" width="12.140625" style="245" customWidth="1"/>
    <col min="7" max="7" width="0" style="245" hidden="1" customWidth="1"/>
    <col min="8" max="8" width="13.28515625" style="246" customWidth="1"/>
    <col min="9" max="11" width="0" style="246" hidden="1" customWidth="1"/>
    <col min="12" max="43" width="0" style="247" hidden="1" customWidth="1"/>
    <col min="44" max="44" width="11.5703125" style="247" customWidth="1"/>
    <col min="45" max="45" width="12.140625" style="247" customWidth="1"/>
    <col min="46" max="46" width="0" style="248" hidden="1" customWidth="1"/>
    <col min="47" max="50" width="0" style="249" hidden="1" customWidth="1"/>
    <col min="51" max="16384" width="9.140625" style="249"/>
  </cols>
  <sheetData>
    <row r="1" spans="1:46" ht="15.75">
      <c r="AR1" s="610" t="s">
        <v>614</v>
      </c>
      <c r="AS1" s="610"/>
    </row>
    <row r="2" spans="1:46" ht="18.75">
      <c r="A2" s="588" t="s">
        <v>525</v>
      </c>
      <c r="B2" s="588"/>
    </row>
    <row r="3" spans="1:46" s="250" customFormat="1" ht="22.5">
      <c r="A3" s="589" t="s">
        <v>615</v>
      </c>
      <c r="B3" s="589"/>
      <c r="C3" s="589"/>
      <c r="D3" s="589"/>
      <c r="E3" s="589"/>
      <c r="F3" s="589"/>
      <c r="G3" s="589"/>
      <c r="H3" s="589"/>
      <c r="I3" s="589"/>
      <c r="J3" s="589"/>
      <c r="K3" s="589"/>
      <c r="L3" s="589"/>
      <c r="M3" s="589"/>
      <c r="N3" s="589"/>
      <c r="O3" s="589"/>
      <c r="P3" s="589"/>
      <c r="Q3" s="589"/>
      <c r="R3" s="589"/>
      <c r="S3" s="589"/>
      <c r="T3" s="589"/>
      <c r="U3" s="589"/>
      <c r="V3" s="589"/>
      <c r="W3" s="589"/>
      <c r="X3" s="589"/>
      <c r="Y3" s="589"/>
      <c r="Z3" s="589"/>
      <c r="AA3" s="589"/>
      <c r="AB3" s="589"/>
      <c r="AC3" s="589"/>
      <c r="AD3" s="589"/>
      <c r="AE3" s="589"/>
      <c r="AF3" s="589"/>
      <c r="AG3" s="589"/>
      <c r="AH3" s="589"/>
      <c r="AI3" s="589"/>
      <c r="AJ3" s="589"/>
      <c r="AK3" s="589"/>
      <c r="AL3" s="589"/>
      <c r="AM3" s="589"/>
      <c r="AN3" s="589"/>
      <c r="AO3" s="589"/>
      <c r="AP3" s="589"/>
      <c r="AQ3" s="589"/>
      <c r="AR3" s="589"/>
      <c r="AS3" s="589"/>
      <c r="AT3" s="589"/>
    </row>
    <row r="4" spans="1:46" s="251" customFormat="1" ht="20.25">
      <c r="A4" s="590" t="str">
        <f>'46,'!A4:C4</f>
        <v>(Kèm theo Quyết định số ………../QĐ-UBND ngày    /12/2018 của Ủy ban nhân dân tỉnh Tiền Giang)</v>
      </c>
      <c r="B4" s="590"/>
      <c r="C4" s="590"/>
      <c r="D4" s="590"/>
      <c r="E4" s="590"/>
      <c r="F4" s="590"/>
      <c r="G4" s="590"/>
      <c r="H4" s="590"/>
      <c r="I4" s="590"/>
      <c r="J4" s="590"/>
      <c r="K4" s="590"/>
      <c r="L4" s="590"/>
      <c r="M4" s="590"/>
      <c r="N4" s="590"/>
      <c r="O4" s="590"/>
      <c r="P4" s="590"/>
      <c r="Q4" s="590"/>
      <c r="R4" s="590"/>
      <c r="S4" s="590"/>
      <c r="T4" s="590"/>
      <c r="U4" s="590"/>
      <c r="V4" s="590"/>
      <c r="W4" s="590"/>
      <c r="X4" s="590"/>
      <c r="Y4" s="590"/>
      <c r="Z4" s="590"/>
      <c r="AA4" s="590"/>
      <c r="AB4" s="590"/>
      <c r="AC4" s="590"/>
      <c r="AD4" s="590"/>
      <c r="AE4" s="590"/>
      <c r="AF4" s="590"/>
      <c r="AG4" s="590"/>
      <c r="AH4" s="590"/>
      <c r="AI4" s="590"/>
      <c r="AJ4" s="590"/>
      <c r="AK4" s="590"/>
      <c r="AL4" s="590"/>
      <c r="AM4" s="590"/>
      <c r="AN4" s="590"/>
      <c r="AO4" s="590"/>
      <c r="AP4" s="590"/>
      <c r="AQ4" s="590"/>
      <c r="AR4" s="590"/>
      <c r="AS4" s="590"/>
      <c r="AT4" s="590"/>
    </row>
    <row r="5" spans="1:46" ht="47.25" customHeight="1">
      <c r="B5" s="252"/>
      <c r="C5" s="253"/>
      <c r="D5" s="252"/>
      <c r="E5" s="252"/>
      <c r="F5" s="253"/>
      <c r="G5" s="253"/>
      <c r="H5" s="591" t="s">
        <v>616</v>
      </c>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1"/>
      <c r="AM5" s="591"/>
      <c r="AN5" s="591"/>
      <c r="AO5" s="591"/>
      <c r="AP5" s="591"/>
      <c r="AQ5" s="591"/>
      <c r="AR5" s="591"/>
      <c r="AS5" s="591"/>
      <c r="AT5" s="591"/>
    </row>
    <row r="6" spans="1:46" s="255" customFormat="1" ht="47.25" customHeight="1">
      <c r="A6" s="592" t="s">
        <v>617</v>
      </c>
      <c r="B6" s="592" t="s">
        <v>318</v>
      </c>
      <c r="C6" s="592" t="s">
        <v>618</v>
      </c>
      <c r="D6" s="592" t="s">
        <v>619</v>
      </c>
      <c r="E6" s="592" t="s">
        <v>320</v>
      </c>
      <c r="F6" s="592" t="s">
        <v>620</v>
      </c>
      <c r="G6" s="254" t="s">
        <v>621</v>
      </c>
      <c r="H6" s="593" t="s">
        <v>622</v>
      </c>
      <c r="I6" s="254"/>
      <c r="J6" s="593" t="s">
        <v>623</v>
      </c>
      <c r="K6" s="593" t="s">
        <v>624</v>
      </c>
      <c r="L6" s="596" t="s">
        <v>625</v>
      </c>
      <c r="M6" s="597"/>
      <c r="N6" s="597"/>
      <c r="O6" s="597"/>
      <c r="P6" s="597"/>
      <c r="Q6" s="597"/>
      <c r="R6" s="597"/>
      <c r="S6" s="597"/>
      <c r="T6" s="597"/>
      <c r="U6" s="597"/>
      <c r="V6" s="597"/>
      <c r="W6" s="597"/>
      <c r="X6" s="597"/>
      <c r="Y6" s="597"/>
      <c r="Z6" s="597"/>
      <c r="AA6" s="597"/>
      <c r="AB6" s="597"/>
      <c r="AC6" s="597"/>
      <c r="AD6" s="597"/>
      <c r="AE6" s="597"/>
      <c r="AF6" s="597"/>
      <c r="AG6" s="598"/>
      <c r="AH6" s="596" t="s">
        <v>626</v>
      </c>
      <c r="AI6" s="597"/>
      <c r="AJ6" s="597"/>
      <c r="AK6" s="598"/>
      <c r="AL6" s="593" t="s">
        <v>627</v>
      </c>
      <c r="AM6" s="602" t="s">
        <v>628</v>
      </c>
      <c r="AN6" s="603"/>
      <c r="AO6" s="593" t="s">
        <v>629</v>
      </c>
      <c r="AP6" s="593" t="s">
        <v>630</v>
      </c>
      <c r="AQ6" s="593" t="s">
        <v>631</v>
      </c>
      <c r="AR6" s="593" t="s">
        <v>632</v>
      </c>
      <c r="AS6" s="593" t="s">
        <v>633</v>
      </c>
      <c r="AT6" s="593" t="s">
        <v>634</v>
      </c>
    </row>
    <row r="7" spans="1:46" s="255" customFormat="1" ht="15.75">
      <c r="A7" s="592"/>
      <c r="B7" s="592"/>
      <c r="C7" s="592"/>
      <c r="D7" s="592"/>
      <c r="E7" s="592"/>
      <c r="F7" s="592"/>
      <c r="G7" s="592" t="s">
        <v>635</v>
      </c>
      <c r="H7" s="594"/>
      <c r="I7" s="593" t="s">
        <v>636</v>
      </c>
      <c r="J7" s="594"/>
      <c r="K7" s="594"/>
      <c r="L7" s="593" t="s">
        <v>637</v>
      </c>
      <c r="M7" s="593" t="s">
        <v>638</v>
      </c>
      <c r="N7" s="596" t="s">
        <v>639</v>
      </c>
      <c r="O7" s="597"/>
      <c r="P7" s="597"/>
      <c r="Q7" s="597"/>
      <c r="R7" s="597"/>
      <c r="S7" s="598"/>
      <c r="T7" s="596" t="s">
        <v>640</v>
      </c>
      <c r="U7" s="597"/>
      <c r="V7" s="597"/>
      <c r="W7" s="597"/>
      <c r="X7" s="597"/>
      <c r="Y7" s="597"/>
      <c r="Z7" s="597"/>
      <c r="AA7" s="597"/>
      <c r="AB7" s="597"/>
      <c r="AC7" s="597"/>
      <c r="AD7" s="597"/>
      <c r="AE7" s="598"/>
      <c r="AF7" s="599" t="s">
        <v>641</v>
      </c>
      <c r="AG7" s="593" t="s">
        <v>642</v>
      </c>
      <c r="AH7" s="593" t="s">
        <v>643</v>
      </c>
      <c r="AI7" s="596" t="s">
        <v>108</v>
      </c>
      <c r="AJ7" s="597"/>
      <c r="AK7" s="598"/>
      <c r="AL7" s="594"/>
      <c r="AM7" s="604"/>
      <c r="AN7" s="605"/>
      <c r="AO7" s="594"/>
      <c r="AP7" s="594"/>
      <c r="AQ7" s="594"/>
      <c r="AR7" s="594"/>
      <c r="AS7" s="594"/>
      <c r="AT7" s="594"/>
    </row>
    <row r="8" spans="1:46" s="255" customFormat="1" ht="15.75">
      <c r="A8" s="592"/>
      <c r="B8" s="592"/>
      <c r="C8" s="592"/>
      <c r="D8" s="592"/>
      <c r="E8" s="592"/>
      <c r="F8" s="592"/>
      <c r="G8" s="592"/>
      <c r="H8" s="594"/>
      <c r="I8" s="594"/>
      <c r="J8" s="594"/>
      <c r="K8" s="594"/>
      <c r="L8" s="594"/>
      <c r="M8" s="594"/>
      <c r="N8" s="596" t="s">
        <v>45</v>
      </c>
      <c r="O8" s="598"/>
      <c r="P8" s="596" t="s">
        <v>644</v>
      </c>
      <c r="Q8" s="598"/>
      <c r="R8" s="596" t="s">
        <v>645</v>
      </c>
      <c r="S8" s="598"/>
      <c r="T8" s="596" t="s">
        <v>45</v>
      </c>
      <c r="U8" s="598"/>
      <c r="V8" s="608" t="s">
        <v>644</v>
      </c>
      <c r="W8" s="609"/>
      <c r="X8" s="596" t="s">
        <v>646</v>
      </c>
      <c r="Y8" s="598"/>
      <c r="Z8" s="596" t="s">
        <v>647</v>
      </c>
      <c r="AA8" s="598"/>
      <c r="AB8" s="596" t="s">
        <v>648</v>
      </c>
      <c r="AC8" s="598"/>
      <c r="AD8" s="596" t="s">
        <v>649</v>
      </c>
      <c r="AE8" s="598"/>
      <c r="AF8" s="600"/>
      <c r="AG8" s="594"/>
      <c r="AH8" s="594"/>
      <c r="AI8" s="593" t="s">
        <v>650</v>
      </c>
      <c r="AJ8" s="593" t="s">
        <v>651</v>
      </c>
      <c r="AK8" s="593" t="s">
        <v>652</v>
      </c>
      <c r="AL8" s="594"/>
      <c r="AM8" s="606"/>
      <c r="AN8" s="607"/>
      <c r="AO8" s="594"/>
      <c r="AP8" s="594"/>
      <c r="AQ8" s="594"/>
      <c r="AR8" s="594"/>
      <c r="AS8" s="594"/>
      <c r="AT8" s="594"/>
    </row>
    <row r="9" spans="1:46" s="258" customFormat="1" hidden="1">
      <c r="A9" s="592"/>
      <c r="B9" s="592"/>
      <c r="C9" s="592"/>
      <c r="D9" s="592"/>
      <c r="E9" s="592"/>
      <c r="F9" s="592"/>
      <c r="G9" s="592"/>
      <c r="H9" s="595"/>
      <c r="I9" s="595"/>
      <c r="J9" s="595"/>
      <c r="K9" s="595"/>
      <c r="L9" s="595"/>
      <c r="M9" s="595"/>
      <c r="N9" s="256" t="s">
        <v>641</v>
      </c>
      <c r="O9" s="256" t="s">
        <v>653</v>
      </c>
      <c r="P9" s="256" t="s">
        <v>641</v>
      </c>
      <c r="Q9" s="256" t="s">
        <v>653</v>
      </c>
      <c r="R9" s="256" t="s">
        <v>641</v>
      </c>
      <c r="S9" s="256" t="s">
        <v>653</v>
      </c>
      <c r="T9" s="256" t="s">
        <v>641</v>
      </c>
      <c r="U9" s="256" t="s">
        <v>653</v>
      </c>
      <c r="V9" s="256" t="s">
        <v>641</v>
      </c>
      <c r="W9" s="256" t="s">
        <v>653</v>
      </c>
      <c r="X9" s="256" t="s">
        <v>641</v>
      </c>
      <c r="Y9" s="256" t="s">
        <v>653</v>
      </c>
      <c r="Z9" s="256" t="s">
        <v>641</v>
      </c>
      <c r="AA9" s="256" t="s">
        <v>653</v>
      </c>
      <c r="AB9" s="256" t="s">
        <v>641</v>
      </c>
      <c r="AC9" s="256" t="s">
        <v>653</v>
      </c>
      <c r="AD9" s="256" t="s">
        <v>641</v>
      </c>
      <c r="AE9" s="256" t="s">
        <v>653</v>
      </c>
      <c r="AF9" s="601"/>
      <c r="AG9" s="595"/>
      <c r="AH9" s="595"/>
      <c r="AI9" s="595"/>
      <c r="AJ9" s="595"/>
      <c r="AK9" s="595"/>
      <c r="AL9" s="595"/>
      <c r="AM9" s="254" t="s">
        <v>654</v>
      </c>
      <c r="AN9" s="254" t="s">
        <v>653</v>
      </c>
      <c r="AO9" s="595"/>
      <c r="AP9" s="595"/>
      <c r="AQ9" s="595"/>
      <c r="AR9" s="257"/>
      <c r="AS9" s="595"/>
      <c r="AT9" s="595"/>
    </row>
    <row r="10" spans="1:46" s="265" customFormat="1" ht="15.75">
      <c r="A10" s="259"/>
      <c r="B10" s="259" t="s">
        <v>159</v>
      </c>
      <c r="C10" s="260"/>
      <c r="D10" s="261"/>
      <c r="E10" s="262"/>
      <c r="F10" s="261"/>
      <c r="G10" s="263"/>
      <c r="H10" s="264">
        <f t="shared" ref="H10:AR10" si="0">H12+H340</f>
        <v>25216897.147086002</v>
      </c>
      <c r="I10" s="264">
        <f t="shared" si="0"/>
        <v>2421264</v>
      </c>
      <c r="J10" s="264" t="e">
        <f t="shared" si="0"/>
        <v>#REF!</v>
      </c>
      <c r="K10" s="264" t="e">
        <f t="shared" si="0"/>
        <v>#REF!</v>
      </c>
      <c r="L10" s="264" t="e">
        <f t="shared" si="0"/>
        <v>#REF!</v>
      </c>
      <c r="M10" s="264" t="e">
        <f t="shared" si="0"/>
        <v>#REF!</v>
      </c>
      <c r="N10" s="264" t="e">
        <f t="shared" si="0"/>
        <v>#REF!</v>
      </c>
      <c r="O10" s="264" t="e">
        <f t="shared" si="0"/>
        <v>#REF!</v>
      </c>
      <c r="P10" s="264" t="e">
        <f t="shared" si="0"/>
        <v>#REF!</v>
      </c>
      <c r="Q10" s="264" t="e">
        <f t="shared" si="0"/>
        <v>#REF!</v>
      </c>
      <c r="R10" s="264" t="e">
        <f t="shared" si="0"/>
        <v>#REF!</v>
      </c>
      <c r="S10" s="264" t="e">
        <f t="shared" si="0"/>
        <v>#REF!</v>
      </c>
      <c r="T10" s="264" t="e">
        <f t="shared" si="0"/>
        <v>#REF!</v>
      </c>
      <c r="U10" s="264" t="e">
        <f t="shared" si="0"/>
        <v>#REF!</v>
      </c>
      <c r="V10" s="264" t="e">
        <f t="shared" si="0"/>
        <v>#REF!</v>
      </c>
      <c r="W10" s="264" t="e">
        <f t="shared" si="0"/>
        <v>#REF!</v>
      </c>
      <c r="X10" s="264" t="e">
        <f t="shared" si="0"/>
        <v>#REF!</v>
      </c>
      <c r="Y10" s="264" t="e">
        <f t="shared" si="0"/>
        <v>#REF!</v>
      </c>
      <c r="Z10" s="264" t="e">
        <f t="shared" si="0"/>
        <v>#REF!</v>
      </c>
      <c r="AA10" s="264" t="e">
        <f t="shared" si="0"/>
        <v>#REF!</v>
      </c>
      <c r="AB10" s="264" t="e">
        <f t="shared" si="0"/>
        <v>#REF!</v>
      </c>
      <c r="AC10" s="264" t="e">
        <f t="shared" si="0"/>
        <v>#REF!</v>
      </c>
      <c r="AD10" s="264" t="e">
        <f t="shared" si="0"/>
        <v>#REF!</v>
      </c>
      <c r="AE10" s="264" t="e">
        <f t="shared" si="0"/>
        <v>#REF!</v>
      </c>
      <c r="AF10" s="264" t="e">
        <f t="shared" si="0"/>
        <v>#REF!</v>
      </c>
      <c r="AG10" s="264" t="e">
        <f t="shared" si="0"/>
        <v>#REF!</v>
      </c>
      <c r="AH10" s="264" t="e">
        <f t="shared" si="0"/>
        <v>#REF!</v>
      </c>
      <c r="AI10" s="264" t="e">
        <f t="shared" si="0"/>
        <v>#REF!</v>
      </c>
      <c r="AJ10" s="264" t="e">
        <f t="shared" si="0"/>
        <v>#REF!</v>
      </c>
      <c r="AK10" s="264" t="e">
        <f t="shared" si="0"/>
        <v>#REF!</v>
      </c>
      <c r="AL10" s="264" t="e">
        <f t="shared" si="0"/>
        <v>#REF!</v>
      </c>
      <c r="AM10" s="264" t="e">
        <f t="shared" si="0"/>
        <v>#REF!</v>
      </c>
      <c r="AN10" s="264" t="e">
        <f t="shared" si="0"/>
        <v>#REF!</v>
      </c>
      <c r="AO10" s="264" t="e">
        <f t="shared" si="0"/>
        <v>#REF!</v>
      </c>
      <c r="AP10" s="264" t="e">
        <f t="shared" si="0"/>
        <v>#REF!</v>
      </c>
      <c r="AQ10" s="264" t="e">
        <f t="shared" si="0"/>
        <v>#REF!</v>
      </c>
      <c r="AR10" s="264">
        <f t="shared" si="0"/>
        <v>5520873</v>
      </c>
      <c r="AS10" s="264">
        <f>AS12+AS340</f>
        <v>3846283</v>
      </c>
      <c r="AT10" s="264"/>
    </row>
    <row r="11" spans="1:46" s="265" customFormat="1" ht="15.75" hidden="1">
      <c r="A11" s="266"/>
      <c r="B11" s="266"/>
      <c r="C11" s="267"/>
      <c r="D11" s="268"/>
      <c r="E11" s="269"/>
      <c r="F11" s="268"/>
      <c r="G11" s="270"/>
      <c r="H11" s="271">
        <v>3846246</v>
      </c>
      <c r="I11" s="271">
        <v>3846247</v>
      </c>
      <c r="J11" s="271">
        <v>3846248</v>
      </c>
      <c r="K11" s="271">
        <v>3846249</v>
      </c>
      <c r="L11" s="271">
        <v>3846250</v>
      </c>
      <c r="M11" s="271">
        <v>3846251</v>
      </c>
      <c r="N11" s="271">
        <v>3846252</v>
      </c>
      <c r="O11" s="271">
        <v>3846253</v>
      </c>
      <c r="P11" s="271">
        <v>3846254</v>
      </c>
      <c r="Q11" s="271">
        <v>3846255</v>
      </c>
      <c r="R11" s="271">
        <v>3846256</v>
      </c>
      <c r="S11" s="271">
        <v>3846257</v>
      </c>
      <c r="T11" s="271">
        <v>3846258</v>
      </c>
      <c r="U11" s="271">
        <v>3846259</v>
      </c>
      <c r="V11" s="271">
        <v>3846260</v>
      </c>
      <c r="W11" s="271">
        <v>3846261</v>
      </c>
      <c r="X11" s="271">
        <v>3846262</v>
      </c>
      <c r="Y11" s="271">
        <v>3846263</v>
      </c>
      <c r="Z11" s="271">
        <v>3846264</v>
      </c>
      <c r="AA11" s="271">
        <v>3846265</v>
      </c>
      <c r="AB11" s="271">
        <v>3846266</v>
      </c>
      <c r="AC11" s="271">
        <v>3846267</v>
      </c>
      <c r="AD11" s="271">
        <v>3846268</v>
      </c>
      <c r="AE11" s="271">
        <v>3846269</v>
      </c>
      <c r="AF11" s="271">
        <v>3846270</v>
      </c>
      <c r="AG11" s="271">
        <v>3846271</v>
      </c>
      <c r="AH11" s="271">
        <v>3846272</v>
      </c>
      <c r="AI11" s="271">
        <v>3846273</v>
      </c>
      <c r="AJ11" s="271">
        <v>3846274</v>
      </c>
      <c r="AK11" s="271">
        <v>3846275</v>
      </c>
      <c r="AL11" s="271">
        <v>3846276</v>
      </c>
      <c r="AM11" s="271">
        <v>3846277</v>
      </c>
      <c r="AN11" s="271">
        <v>3846278</v>
      </c>
      <c r="AO11" s="271">
        <v>3846279</v>
      </c>
      <c r="AP11" s="271">
        <v>3846280</v>
      </c>
      <c r="AQ11" s="271">
        <v>3846281</v>
      </c>
      <c r="AR11" s="271">
        <v>3846282</v>
      </c>
      <c r="AS11" s="271">
        <v>3846283</v>
      </c>
      <c r="AT11" s="271"/>
    </row>
    <row r="12" spans="1:46" s="265" customFormat="1" ht="47.25" customHeight="1">
      <c r="A12" s="272" t="s">
        <v>11</v>
      </c>
      <c r="B12" s="273" t="s">
        <v>655</v>
      </c>
      <c r="C12" s="274"/>
      <c r="D12" s="275"/>
      <c r="E12" s="276"/>
      <c r="F12" s="272"/>
      <c r="G12" s="277"/>
      <c r="H12" s="278">
        <f t="shared" ref="H12:AR12" si="1">H13+H122</f>
        <v>16609002.147086002</v>
      </c>
      <c r="I12" s="278">
        <f t="shared" si="1"/>
        <v>169209</v>
      </c>
      <c r="J12" s="278" t="e">
        <f t="shared" si="1"/>
        <v>#REF!</v>
      </c>
      <c r="K12" s="278" t="e">
        <f t="shared" si="1"/>
        <v>#REF!</v>
      </c>
      <c r="L12" s="278" t="e">
        <f t="shared" si="1"/>
        <v>#REF!</v>
      </c>
      <c r="M12" s="278" t="e">
        <f t="shared" si="1"/>
        <v>#REF!</v>
      </c>
      <c r="N12" s="278" t="e">
        <f t="shared" si="1"/>
        <v>#REF!</v>
      </c>
      <c r="O12" s="278" t="e">
        <f t="shared" si="1"/>
        <v>#REF!</v>
      </c>
      <c r="P12" s="278" t="e">
        <f t="shared" si="1"/>
        <v>#REF!</v>
      </c>
      <c r="Q12" s="278" t="e">
        <f t="shared" si="1"/>
        <v>#REF!</v>
      </c>
      <c r="R12" s="278" t="e">
        <f t="shared" si="1"/>
        <v>#REF!</v>
      </c>
      <c r="S12" s="278" t="e">
        <f t="shared" si="1"/>
        <v>#REF!</v>
      </c>
      <c r="T12" s="278" t="e">
        <f t="shared" si="1"/>
        <v>#REF!</v>
      </c>
      <c r="U12" s="278" t="e">
        <f t="shared" si="1"/>
        <v>#REF!</v>
      </c>
      <c r="V12" s="278" t="e">
        <f t="shared" si="1"/>
        <v>#REF!</v>
      </c>
      <c r="W12" s="278" t="e">
        <f t="shared" si="1"/>
        <v>#REF!</v>
      </c>
      <c r="X12" s="278" t="e">
        <f t="shared" si="1"/>
        <v>#REF!</v>
      </c>
      <c r="Y12" s="278" t="e">
        <f t="shared" si="1"/>
        <v>#REF!</v>
      </c>
      <c r="Z12" s="278" t="e">
        <f t="shared" si="1"/>
        <v>#REF!</v>
      </c>
      <c r="AA12" s="278" t="e">
        <f t="shared" si="1"/>
        <v>#REF!</v>
      </c>
      <c r="AB12" s="278" t="e">
        <f t="shared" si="1"/>
        <v>#REF!</v>
      </c>
      <c r="AC12" s="278" t="e">
        <f t="shared" si="1"/>
        <v>#REF!</v>
      </c>
      <c r="AD12" s="278" t="e">
        <f t="shared" si="1"/>
        <v>#REF!</v>
      </c>
      <c r="AE12" s="278" t="e">
        <f t="shared" si="1"/>
        <v>#REF!</v>
      </c>
      <c r="AF12" s="278" t="e">
        <f t="shared" si="1"/>
        <v>#REF!</v>
      </c>
      <c r="AG12" s="278" t="e">
        <f t="shared" si="1"/>
        <v>#REF!</v>
      </c>
      <c r="AH12" s="278" t="e">
        <f t="shared" si="1"/>
        <v>#REF!</v>
      </c>
      <c r="AI12" s="278" t="e">
        <f t="shared" si="1"/>
        <v>#REF!</v>
      </c>
      <c r="AJ12" s="278" t="e">
        <f t="shared" si="1"/>
        <v>#REF!</v>
      </c>
      <c r="AK12" s="278" t="e">
        <f t="shared" si="1"/>
        <v>#REF!</v>
      </c>
      <c r="AL12" s="278" t="e">
        <f t="shared" si="1"/>
        <v>#REF!</v>
      </c>
      <c r="AM12" s="278" t="e">
        <f t="shared" si="1"/>
        <v>#REF!</v>
      </c>
      <c r="AN12" s="278" t="e">
        <f t="shared" si="1"/>
        <v>#REF!</v>
      </c>
      <c r="AO12" s="278" t="e">
        <f t="shared" si="1"/>
        <v>#REF!</v>
      </c>
      <c r="AP12" s="278" t="e">
        <f t="shared" si="1"/>
        <v>#REF!</v>
      </c>
      <c r="AQ12" s="278" t="e">
        <f t="shared" si="1"/>
        <v>#REF!</v>
      </c>
      <c r="AR12" s="278">
        <f t="shared" si="1"/>
        <v>3404105</v>
      </c>
      <c r="AS12" s="278">
        <f>AS13+AS122</f>
        <v>2660318</v>
      </c>
      <c r="AT12" s="278"/>
    </row>
    <row r="13" spans="1:46" s="265" customFormat="1" ht="47.25" customHeight="1">
      <c r="A13" s="279" t="s">
        <v>656</v>
      </c>
      <c r="B13" s="280" t="s">
        <v>657</v>
      </c>
      <c r="C13" s="281"/>
      <c r="D13" s="282"/>
      <c r="E13" s="283"/>
      <c r="F13" s="279"/>
      <c r="G13" s="284"/>
      <c r="H13" s="285">
        <f t="shared" ref="H13:AR13" si="2">H14+H16+H36+H52+H70+H81+H104</f>
        <v>6036109</v>
      </c>
      <c r="I13" s="285">
        <f t="shared" si="2"/>
        <v>0</v>
      </c>
      <c r="J13" s="285">
        <f t="shared" si="2"/>
        <v>0</v>
      </c>
      <c r="K13" s="285">
        <f t="shared" si="2"/>
        <v>93677</v>
      </c>
      <c r="L13" s="285">
        <f t="shared" si="2"/>
        <v>2266703</v>
      </c>
      <c r="M13" s="285">
        <f t="shared" si="2"/>
        <v>2266703</v>
      </c>
      <c r="N13" s="285">
        <f t="shared" si="2"/>
        <v>285223</v>
      </c>
      <c r="O13" s="285">
        <f t="shared" si="2"/>
        <v>295808.82400000002</v>
      </c>
      <c r="P13" s="285">
        <f t="shared" si="2"/>
        <v>253280</v>
      </c>
      <c r="Q13" s="285">
        <f t="shared" si="2"/>
        <v>247233</v>
      </c>
      <c r="R13" s="285">
        <f t="shared" si="2"/>
        <v>49598</v>
      </c>
      <c r="S13" s="285">
        <f t="shared" si="2"/>
        <v>48575.824000000001</v>
      </c>
      <c r="T13" s="285">
        <f t="shared" si="2"/>
        <v>638652</v>
      </c>
      <c r="U13" s="285">
        <f t="shared" si="2"/>
        <v>593239</v>
      </c>
      <c r="V13" s="285">
        <f t="shared" si="2"/>
        <v>556578</v>
      </c>
      <c r="W13" s="285">
        <f t="shared" si="2"/>
        <v>513623</v>
      </c>
      <c r="X13" s="285">
        <f t="shared" si="2"/>
        <v>49375</v>
      </c>
      <c r="Y13" s="285">
        <f t="shared" si="2"/>
        <v>49375</v>
      </c>
      <c r="Z13" s="285">
        <f t="shared" si="2"/>
        <v>12699</v>
      </c>
      <c r="AA13" s="285">
        <f t="shared" si="2"/>
        <v>10241</v>
      </c>
      <c r="AB13" s="285">
        <f t="shared" si="2"/>
        <v>0</v>
      </c>
      <c r="AC13" s="285">
        <f t="shared" si="2"/>
        <v>0</v>
      </c>
      <c r="AD13" s="285">
        <f t="shared" si="2"/>
        <v>20000</v>
      </c>
      <c r="AE13" s="285">
        <f t="shared" si="2"/>
        <v>20000</v>
      </c>
      <c r="AF13" s="285">
        <f t="shared" si="2"/>
        <v>701160</v>
      </c>
      <c r="AG13" s="285">
        <f t="shared" si="2"/>
        <v>400199</v>
      </c>
      <c r="AH13" s="285">
        <f t="shared" si="2"/>
        <v>3406672.3518446954</v>
      </c>
      <c r="AI13" s="285">
        <f t="shared" si="2"/>
        <v>3100000.3518446954</v>
      </c>
      <c r="AJ13" s="285">
        <f t="shared" si="2"/>
        <v>131672</v>
      </c>
      <c r="AK13" s="285">
        <f t="shared" si="2"/>
        <v>175000</v>
      </c>
      <c r="AL13" s="285">
        <f t="shared" si="2"/>
        <v>3231672.3518446954</v>
      </c>
      <c r="AM13" s="285">
        <f t="shared" si="2"/>
        <v>1633035</v>
      </c>
      <c r="AN13" s="285">
        <f t="shared" si="2"/>
        <v>1377353.824</v>
      </c>
      <c r="AO13" s="285">
        <f t="shared" si="2"/>
        <v>1748358</v>
      </c>
      <c r="AP13" s="285">
        <f t="shared" si="2"/>
        <v>1786137.3518446954</v>
      </c>
      <c r="AQ13" s="285">
        <f t="shared" si="2"/>
        <v>1616137.3518446954</v>
      </c>
      <c r="AR13" s="285">
        <f t="shared" si="2"/>
        <v>870983</v>
      </c>
      <c r="AS13" s="285">
        <f>AS14+AS16+AS36+AS52+AS70+AS81+AS104</f>
        <v>1010318</v>
      </c>
      <c r="AT13" s="285"/>
    </row>
    <row r="14" spans="1:46" s="265" customFormat="1" ht="31.5">
      <c r="A14" s="279" t="s">
        <v>16</v>
      </c>
      <c r="B14" s="286" t="s">
        <v>658</v>
      </c>
      <c r="C14" s="287" t="s">
        <v>659</v>
      </c>
      <c r="D14" s="288"/>
      <c r="E14" s="288"/>
      <c r="F14" s="282"/>
      <c r="G14" s="282"/>
      <c r="H14" s="285">
        <v>0</v>
      </c>
      <c r="I14" s="285"/>
      <c r="J14" s="285">
        <f>I14*90%</f>
        <v>0</v>
      </c>
      <c r="K14" s="285"/>
      <c r="L14" s="285">
        <v>950000</v>
      </c>
      <c r="M14" s="285">
        <v>950000</v>
      </c>
      <c r="N14" s="285">
        <f>P14+R14</f>
        <v>183185</v>
      </c>
      <c r="O14" s="285">
        <f>Q14+S14</f>
        <v>183185</v>
      </c>
      <c r="P14" s="285">
        <v>183185</v>
      </c>
      <c r="Q14" s="285">
        <v>183185</v>
      </c>
      <c r="R14" s="285"/>
      <c r="S14" s="285"/>
      <c r="T14" s="285">
        <f>V14+X14+Z14+AB14+AD14</f>
        <v>316816</v>
      </c>
      <c r="U14" s="285">
        <f>W14+Y14+AA14+AC14+AE14</f>
        <v>297443</v>
      </c>
      <c r="V14" s="285">
        <v>316816</v>
      </c>
      <c r="W14" s="285">
        <v>297443</v>
      </c>
      <c r="X14" s="285"/>
      <c r="Y14" s="285"/>
      <c r="Z14" s="285"/>
      <c r="AA14" s="285"/>
      <c r="AB14" s="285"/>
      <c r="AC14" s="285"/>
      <c r="AD14" s="285"/>
      <c r="AE14" s="285"/>
      <c r="AF14" s="285">
        <v>305143</v>
      </c>
      <c r="AG14" s="285">
        <v>236409</v>
      </c>
      <c r="AH14" s="285">
        <f>AI14+AJ14+AK14</f>
        <v>1364280.3518446954</v>
      </c>
      <c r="AI14" s="285">
        <v>1364280.3518446954</v>
      </c>
      <c r="AJ14" s="285"/>
      <c r="AK14" s="285"/>
      <c r="AL14" s="285">
        <f t="shared" ref="AL14:AL79" si="3">AI14+AJ14</f>
        <v>1364280.3518446954</v>
      </c>
      <c r="AM14" s="285">
        <f>N14+T14+AF14</f>
        <v>805144</v>
      </c>
      <c r="AN14" s="285">
        <f>N14+T14+AF14</f>
        <v>805144</v>
      </c>
      <c r="AO14" s="285">
        <f t="shared" ref="AO14:AO79" si="4">K14+AM14</f>
        <v>805144</v>
      </c>
      <c r="AP14" s="285">
        <f>AH14-AM14</f>
        <v>559136.3518446954</v>
      </c>
      <c r="AQ14" s="285">
        <f>AP14-AK14</f>
        <v>559136.3518446954</v>
      </c>
      <c r="AR14" s="285"/>
      <c r="AS14" s="285">
        <f>308090+86015</f>
        <v>394105</v>
      </c>
      <c r="AT14" s="289"/>
    </row>
    <row r="15" spans="1:46" s="265" customFormat="1" ht="47.25" hidden="1" customHeight="1">
      <c r="A15" s="290"/>
      <c r="B15" s="291"/>
      <c r="C15" s="292"/>
      <c r="D15" s="279"/>
      <c r="E15" s="293"/>
      <c r="F15" s="279"/>
      <c r="G15" s="294"/>
      <c r="H15" s="295"/>
      <c r="I15" s="295"/>
      <c r="J15" s="295">
        <f>I15*90%</f>
        <v>0</v>
      </c>
      <c r="K15" s="295"/>
      <c r="L15" s="295"/>
      <c r="M15" s="295"/>
      <c r="N15" s="295"/>
      <c r="O15" s="295"/>
      <c r="P15" s="295"/>
      <c r="Q15" s="295"/>
      <c r="R15" s="295"/>
      <c r="S15" s="295"/>
      <c r="T15" s="295">
        <f>V15+X15</f>
        <v>0</v>
      </c>
      <c r="U15" s="295"/>
      <c r="V15" s="295"/>
      <c r="W15" s="295"/>
      <c r="X15" s="295"/>
      <c r="Y15" s="295"/>
      <c r="Z15" s="295"/>
      <c r="AA15" s="295"/>
      <c r="AB15" s="295"/>
      <c r="AC15" s="295"/>
      <c r="AD15" s="295"/>
      <c r="AE15" s="295"/>
      <c r="AF15" s="295"/>
      <c r="AG15" s="295"/>
      <c r="AH15" s="295"/>
      <c r="AI15" s="295"/>
      <c r="AJ15" s="295"/>
      <c r="AK15" s="295"/>
      <c r="AL15" s="285">
        <f t="shared" si="3"/>
        <v>0</v>
      </c>
      <c r="AM15" s="295">
        <f>N15+T15+AF15</f>
        <v>0</v>
      </c>
      <c r="AN15" s="295">
        <f>O15+U15+AG15</f>
        <v>0</v>
      </c>
      <c r="AO15" s="285">
        <f t="shared" si="4"/>
        <v>0</v>
      </c>
      <c r="AP15" s="295">
        <f>AH15-AM15</f>
        <v>0</v>
      </c>
      <c r="AQ15" s="285">
        <f>AP15-AK15</f>
        <v>0</v>
      </c>
      <c r="AR15" s="285"/>
      <c r="AS15" s="295"/>
      <c r="AT15" s="296"/>
    </row>
    <row r="16" spans="1:46" s="265" customFormat="1" ht="15.75">
      <c r="A16" s="290" t="s">
        <v>26</v>
      </c>
      <c r="B16" s="297" t="s">
        <v>660</v>
      </c>
      <c r="C16" s="292"/>
      <c r="D16" s="279"/>
      <c r="E16" s="293"/>
      <c r="F16" s="279"/>
      <c r="G16" s="294"/>
      <c r="H16" s="285">
        <f t="shared" ref="H16:AR16" si="5">H17+H22</f>
        <v>410163</v>
      </c>
      <c r="I16" s="285">
        <f t="shared" si="5"/>
        <v>0</v>
      </c>
      <c r="J16" s="285">
        <f t="shared" si="5"/>
        <v>0</v>
      </c>
      <c r="K16" s="285">
        <f t="shared" si="5"/>
        <v>61100</v>
      </c>
      <c r="L16" s="285">
        <f t="shared" si="5"/>
        <v>84803</v>
      </c>
      <c r="M16" s="285">
        <f t="shared" si="5"/>
        <v>84803</v>
      </c>
      <c r="N16" s="285">
        <f t="shared" si="5"/>
        <v>0</v>
      </c>
      <c r="O16" s="285">
        <f t="shared" si="5"/>
        <v>0</v>
      </c>
      <c r="P16" s="285">
        <f t="shared" si="5"/>
        <v>0</v>
      </c>
      <c r="Q16" s="285">
        <f t="shared" si="5"/>
        <v>0</v>
      </c>
      <c r="R16" s="285">
        <f t="shared" si="5"/>
        <v>0</v>
      </c>
      <c r="S16" s="285">
        <f t="shared" si="5"/>
        <v>0</v>
      </c>
      <c r="T16" s="285">
        <f t="shared" si="5"/>
        <v>6102</v>
      </c>
      <c r="U16" s="285">
        <f t="shared" si="5"/>
        <v>6102</v>
      </c>
      <c r="V16" s="285">
        <f t="shared" si="5"/>
        <v>6102</v>
      </c>
      <c r="W16" s="285">
        <f t="shared" si="5"/>
        <v>6102</v>
      </c>
      <c r="X16" s="285">
        <f t="shared" si="5"/>
        <v>0</v>
      </c>
      <c r="Y16" s="285">
        <f t="shared" si="5"/>
        <v>0</v>
      </c>
      <c r="Z16" s="285">
        <f t="shared" si="5"/>
        <v>0</v>
      </c>
      <c r="AA16" s="285">
        <f t="shared" si="5"/>
        <v>0</v>
      </c>
      <c r="AB16" s="285">
        <f t="shared" si="5"/>
        <v>0</v>
      </c>
      <c r="AC16" s="285">
        <f t="shared" si="5"/>
        <v>0</v>
      </c>
      <c r="AD16" s="285">
        <f t="shared" si="5"/>
        <v>0</v>
      </c>
      <c r="AE16" s="285">
        <f t="shared" si="5"/>
        <v>0</v>
      </c>
      <c r="AF16" s="285">
        <f t="shared" si="5"/>
        <v>14000</v>
      </c>
      <c r="AG16" s="285">
        <f t="shared" si="5"/>
        <v>2052</v>
      </c>
      <c r="AH16" s="285">
        <f t="shared" si="5"/>
        <v>224403</v>
      </c>
      <c r="AI16" s="285">
        <f t="shared" si="5"/>
        <v>174403</v>
      </c>
      <c r="AJ16" s="285">
        <f t="shared" si="5"/>
        <v>0</v>
      </c>
      <c r="AK16" s="285">
        <f t="shared" si="5"/>
        <v>50000</v>
      </c>
      <c r="AL16" s="285">
        <f t="shared" si="5"/>
        <v>174403</v>
      </c>
      <c r="AM16" s="285">
        <f t="shared" si="5"/>
        <v>28602</v>
      </c>
      <c r="AN16" s="285">
        <f t="shared" si="5"/>
        <v>8154</v>
      </c>
      <c r="AO16" s="285">
        <f t="shared" si="5"/>
        <v>81202</v>
      </c>
      <c r="AP16" s="285">
        <f t="shared" si="5"/>
        <v>204301</v>
      </c>
      <c r="AQ16" s="285">
        <f t="shared" si="5"/>
        <v>154301</v>
      </c>
      <c r="AR16" s="285">
        <f t="shared" si="5"/>
        <v>89702</v>
      </c>
      <c r="AS16" s="285">
        <f>AS17+AS22</f>
        <v>148700</v>
      </c>
      <c r="AT16" s="296"/>
    </row>
    <row r="17" spans="1:46" s="265" customFormat="1" ht="15.75">
      <c r="A17" s="290" t="s">
        <v>337</v>
      </c>
      <c r="B17" s="297" t="s">
        <v>661</v>
      </c>
      <c r="C17" s="292"/>
      <c r="D17" s="279"/>
      <c r="E17" s="293"/>
      <c r="F17" s="279"/>
      <c r="G17" s="294"/>
      <c r="H17" s="285">
        <f t="shared" ref="H17:AR17" si="6">SUM(H18:H21)</f>
        <v>299341</v>
      </c>
      <c r="I17" s="285">
        <f t="shared" si="6"/>
        <v>0</v>
      </c>
      <c r="J17" s="285">
        <f t="shared" si="6"/>
        <v>0</v>
      </c>
      <c r="K17" s="285">
        <f t="shared" si="6"/>
        <v>61100</v>
      </c>
      <c r="L17" s="285">
        <f t="shared" si="6"/>
        <v>52000</v>
      </c>
      <c r="M17" s="285">
        <f t="shared" si="6"/>
        <v>52000</v>
      </c>
      <c r="N17" s="285">
        <f t="shared" si="6"/>
        <v>0</v>
      </c>
      <c r="O17" s="285">
        <f t="shared" si="6"/>
        <v>0</v>
      </c>
      <c r="P17" s="285">
        <f t="shared" si="6"/>
        <v>0</v>
      </c>
      <c r="Q17" s="285">
        <f t="shared" si="6"/>
        <v>0</v>
      </c>
      <c r="R17" s="285">
        <f t="shared" si="6"/>
        <v>0</v>
      </c>
      <c r="S17" s="285">
        <f t="shared" si="6"/>
        <v>0</v>
      </c>
      <c r="T17" s="285">
        <f t="shared" si="6"/>
        <v>6102</v>
      </c>
      <c r="U17" s="285">
        <f t="shared" si="6"/>
        <v>6102</v>
      </c>
      <c r="V17" s="285">
        <f t="shared" si="6"/>
        <v>6102</v>
      </c>
      <c r="W17" s="285">
        <f t="shared" si="6"/>
        <v>6102</v>
      </c>
      <c r="X17" s="285">
        <f t="shared" si="6"/>
        <v>0</v>
      </c>
      <c r="Y17" s="285">
        <f t="shared" si="6"/>
        <v>0</v>
      </c>
      <c r="Z17" s="285">
        <f t="shared" si="6"/>
        <v>0</v>
      </c>
      <c r="AA17" s="285">
        <f t="shared" si="6"/>
        <v>0</v>
      </c>
      <c r="AB17" s="285">
        <f t="shared" si="6"/>
        <v>0</v>
      </c>
      <c r="AC17" s="285">
        <f t="shared" si="6"/>
        <v>0</v>
      </c>
      <c r="AD17" s="285">
        <f t="shared" si="6"/>
        <v>0</v>
      </c>
      <c r="AE17" s="285">
        <f t="shared" si="6"/>
        <v>0</v>
      </c>
      <c r="AF17" s="285">
        <f t="shared" si="6"/>
        <v>14000</v>
      </c>
      <c r="AG17" s="285">
        <f t="shared" si="6"/>
        <v>2052</v>
      </c>
      <c r="AH17" s="285">
        <f t="shared" si="6"/>
        <v>62500</v>
      </c>
      <c r="AI17" s="285">
        <f t="shared" si="6"/>
        <v>62500</v>
      </c>
      <c r="AJ17" s="285">
        <f t="shared" si="6"/>
        <v>0</v>
      </c>
      <c r="AK17" s="285">
        <f t="shared" si="6"/>
        <v>0</v>
      </c>
      <c r="AL17" s="285">
        <f t="shared" si="6"/>
        <v>62500</v>
      </c>
      <c r="AM17" s="285">
        <f t="shared" si="6"/>
        <v>28602</v>
      </c>
      <c r="AN17" s="285">
        <f t="shared" si="6"/>
        <v>8154</v>
      </c>
      <c r="AO17" s="285">
        <f t="shared" si="6"/>
        <v>81202</v>
      </c>
      <c r="AP17" s="285">
        <f t="shared" si="6"/>
        <v>42398</v>
      </c>
      <c r="AQ17" s="285">
        <f t="shared" si="6"/>
        <v>42398</v>
      </c>
      <c r="AR17" s="285">
        <f t="shared" si="6"/>
        <v>89702</v>
      </c>
      <c r="AS17" s="285">
        <f>SUM(AS18:AS21)</f>
        <v>14700</v>
      </c>
      <c r="AT17" s="296"/>
    </row>
    <row r="18" spans="1:46" ht="47.25" customHeight="1">
      <c r="A18" s="298">
        <v>1</v>
      </c>
      <c r="B18" s="299" t="s">
        <v>662</v>
      </c>
      <c r="C18" s="300" t="s">
        <v>663</v>
      </c>
      <c r="D18" s="301" t="s">
        <v>664</v>
      </c>
      <c r="E18" s="302" t="s">
        <v>665</v>
      </c>
      <c r="F18" s="298" t="s">
        <v>666</v>
      </c>
      <c r="G18" s="303" t="s">
        <v>667</v>
      </c>
      <c r="H18" s="295">
        <v>267516</v>
      </c>
      <c r="I18" s="295"/>
      <c r="J18" s="295">
        <f>I18*90%</f>
        <v>0</v>
      </c>
      <c r="K18" s="295">
        <v>61100</v>
      </c>
      <c r="L18" s="295">
        <v>40000</v>
      </c>
      <c r="M18" s="295">
        <v>40000</v>
      </c>
      <c r="N18" s="295">
        <f>P18+R18</f>
        <v>0</v>
      </c>
      <c r="O18" s="295">
        <f>Q18+S18</f>
        <v>0</v>
      </c>
      <c r="P18" s="295"/>
      <c r="Q18" s="295"/>
      <c r="R18" s="295"/>
      <c r="S18" s="295"/>
      <c r="T18" s="295">
        <f>V18+X18+Z18+AB18+AD18</f>
        <v>2102</v>
      </c>
      <c r="U18" s="295">
        <f>W18+Y18+AA18+AC18+AE18</f>
        <v>2102</v>
      </c>
      <c r="V18" s="295">
        <v>2102</v>
      </c>
      <c r="W18" s="295">
        <v>2102</v>
      </c>
      <c r="X18" s="295">
        <v>0</v>
      </c>
      <c r="Y18" s="295"/>
      <c r="Z18" s="295"/>
      <c r="AA18" s="295"/>
      <c r="AB18" s="295"/>
      <c r="AC18" s="295"/>
      <c r="AD18" s="295"/>
      <c r="AE18" s="295"/>
      <c r="AF18" s="295">
        <v>10000</v>
      </c>
      <c r="AG18" s="295">
        <v>0</v>
      </c>
      <c r="AH18" s="295">
        <f>AI18+AJ18+AK18</f>
        <v>50000</v>
      </c>
      <c r="AI18" s="295">
        <v>50000</v>
      </c>
      <c r="AJ18" s="295">
        <f>R18+X18+Z18+AB18+AD18</f>
        <v>0</v>
      </c>
      <c r="AK18" s="295"/>
      <c r="AL18" s="295">
        <f t="shared" si="3"/>
        <v>50000</v>
      </c>
      <c r="AM18" s="295">
        <f>N18+T18+AF18</f>
        <v>12102</v>
      </c>
      <c r="AN18" s="295">
        <f>O18+U18+AG18</f>
        <v>2102</v>
      </c>
      <c r="AO18" s="295">
        <f t="shared" si="4"/>
        <v>73202</v>
      </c>
      <c r="AP18" s="295">
        <f>AH18-AM18</f>
        <v>37898</v>
      </c>
      <c r="AQ18" s="295">
        <f>AP18-AK18</f>
        <v>37898</v>
      </c>
      <c r="AR18" s="295">
        <v>73202</v>
      </c>
      <c r="AS18" s="295">
        <v>7000</v>
      </c>
      <c r="AT18" s="304"/>
    </row>
    <row r="19" spans="1:46" ht="47.25" customHeight="1">
      <c r="A19" s="298">
        <v>2</v>
      </c>
      <c r="B19" s="305" t="s">
        <v>668</v>
      </c>
      <c r="C19" s="300" t="s">
        <v>669</v>
      </c>
      <c r="D19" s="300" t="s">
        <v>669</v>
      </c>
      <c r="E19" s="300" t="s">
        <v>670</v>
      </c>
      <c r="F19" s="300" t="s">
        <v>671</v>
      </c>
      <c r="G19" s="300" t="s">
        <v>672</v>
      </c>
      <c r="H19" s="295">
        <v>13972</v>
      </c>
      <c r="I19" s="295"/>
      <c r="J19" s="295">
        <f>I19*90%</f>
        <v>0</v>
      </c>
      <c r="K19" s="295"/>
      <c r="L19" s="295">
        <v>12000</v>
      </c>
      <c r="M19" s="295">
        <v>12000</v>
      </c>
      <c r="N19" s="295">
        <f>P19+R19</f>
        <v>0</v>
      </c>
      <c r="O19" s="295">
        <f>Q19+S19</f>
        <v>0</v>
      </c>
      <c r="P19" s="295"/>
      <c r="Q19" s="295"/>
      <c r="R19" s="295"/>
      <c r="S19" s="295"/>
      <c r="T19" s="295">
        <f>V19+X19+Z19+AB19+AD19</f>
        <v>4000</v>
      </c>
      <c r="U19" s="295">
        <f>W19+Y19+AA19+AC19+AE19</f>
        <v>4000</v>
      </c>
      <c r="V19" s="295">
        <v>4000</v>
      </c>
      <c r="W19" s="295">
        <v>4000</v>
      </c>
      <c r="X19" s="295">
        <v>0</v>
      </c>
      <c r="Y19" s="295"/>
      <c r="Z19" s="295"/>
      <c r="AA19" s="295"/>
      <c r="AB19" s="295"/>
      <c r="AC19" s="295"/>
      <c r="AD19" s="295"/>
      <c r="AE19" s="295"/>
      <c r="AF19" s="295">
        <v>4000</v>
      </c>
      <c r="AG19" s="295">
        <v>2052</v>
      </c>
      <c r="AH19" s="295">
        <f>AI19+AJ19+AK19</f>
        <v>12500</v>
      </c>
      <c r="AI19" s="295">
        <v>12500</v>
      </c>
      <c r="AJ19" s="295">
        <f>R19+X19+Z19+AB19+AD19</f>
        <v>0</v>
      </c>
      <c r="AK19" s="295"/>
      <c r="AL19" s="295">
        <f t="shared" si="3"/>
        <v>12500</v>
      </c>
      <c r="AM19" s="295">
        <f>N19+T19+AF19</f>
        <v>8000</v>
      </c>
      <c r="AN19" s="295">
        <f>O19+U19+AG19</f>
        <v>6052</v>
      </c>
      <c r="AO19" s="295">
        <f t="shared" si="4"/>
        <v>8000</v>
      </c>
      <c r="AP19" s="295">
        <f>AH19-AM19</f>
        <v>4500</v>
      </c>
      <c r="AQ19" s="295">
        <f>AP19-AK19</f>
        <v>4500</v>
      </c>
      <c r="AR19" s="295">
        <v>8000</v>
      </c>
      <c r="AS19" s="295">
        <v>3000</v>
      </c>
      <c r="AT19" s="304"/>
    </row>
    <row r="20" spans="1:46" ht="47.25" customHeight="1">
      <c r="A20" s="298">
        <v>3</v>
      </c>
      <c r="B20" s="306" t="s">
        <v>673</v>
      </c>
      <c r="C20" s="300" t="s">
        <v>674</v>
      </c>
      <c r="D20" s="300" t="s">
        <v>675</v>
      </c>
      <c r="E20" s="300"/>
      <c r="F20" s="298" t="s">
        <v>676</v>
      </c>
      <c r="G20" s="307" t="s">
        <v>677</v>
      </c>
      <c r="H20" s="308">
        <v>3503</v>
      </c>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v>2500</v>
      </c>
      <c r="AN20" s="295"/>
      <c r="AO20" s="295"/>
      <c r="AP20" s="295"/>
      <c r="AQ20" s="295"/>
      <c r="AR20" s="295">
        <v>2500</v>
      </c>
      <c r="AS20" s="295">
        <v>700</v>
      </c>
      <c r="AT20" s="304"/>
    </row>
    <row r="21" spans="1:46" s="265" customFormat="1" ht="47.25" customHeight="1">
      <c r="A21" s="298">
        <v>4</v>
      </c>
      <c r="B21" s="309" t="s">
        <v>678</v>
      </c>
      <c r="C21" s="301" t="s">
        <v>679</v>
      </c>
      <c r="D21" s="301" t="s">
        <v>679</v>
      </c>
      <c r="E21" s="302" t="s">
        <v>680</v>
      </c>
      <c r="F21" s="298" t="s">
        <v>676</v>
      </c>
      <c r="G21" s="300" t="s">
        <v>681</v>
      </c>
      <c r="H21" s="295">
        <v>14350</v>
      </c>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85"/>
      <c r="AM21" s="295">
        <v>6000</v>
      </c>
      <c r="AN21" s="295"/>
      <c r="AO21" s="285"/>
      <c r="AP21" s="295"/>
      <c r="AQ21" s="285"/>
      <c r="AR21" s="295">
        <v>6000</v>
      </c>
      <c r="AS21" s="295">
        <v>4000</v>
      </c>
      <c r="AT21" s="310"/>
    </row>
    <row r="22" spans="1:46" s="265" customFormat="1" ht="47.25" customHeight="1">
      <c r="A22" s="290" t="s">
        <v>340</v>
      </c>
      <c r="B22" s="297" t="s">
        <v>682</v>
      </c>
      <c r="C22" s="292"/>
      <c r="D22" s="279"/>
      <c r="E22" s="293"/>
      <c r="F22" s="279"/>
      <c r="G22" s="294"/>
      <c r="H22" s="285">
        <f t="shared" ref="H22:AR22" si="7">SUM(H23:H33)+H34</f>
        <v>110822</v>
      </c>
      <c r="I22" s="285">
        <f t="shared" si="7"/>
        <v>0</v>
      </c>
      <c r="J22" s="285">
        <f t="shared" si="7"/>
        <v>0</v>
      </c>
      <c r="K22" s="285">
        <f t="shared" si="7"/>
        <v>0</v>
      </c>
      <c r="L22" s="285">
        <f t="shared" si="7"/>
        <v>32803</v>
      </c>
      <c r="M22" s="285">
        <f t="shared" si="7"/>
        <v>32803</v>
      </c>
      <c r="N22" s="285">
        <f t="shared" si="7"/>
        <v>0</v>
      </c>
      <c r="O22" s="285">
        <f t="shared" si="7"/>
        <v>0</v>
      </c>
      <c r="P22" s="285">
        <f t="shared" si="7"/>
        <v>0</v>
      </c>
      <c r="Q22" s="285">
        <f t="shared" si="7"/>
        <v>0</v>
      </c>
      <c r="R22" s="285">
        <f t="shared" si="7"/>
        <v>0</v>
      </c>
      <c r="S22" s="285">
        <f t="shared" si="7"/>
        <v>0</v>
      </c>
      <c r="T22" s="285">
        <f t="shared" si="7"/>
        <v>0</v>
      </c>
      <c r="U22" s="285">
        <f t="shared" si="7"/>
        <v>0</v>
      </c>
      <c r="V22" s="285">
        <f t="shared" si="7"/>
        <v>0</v>
      </c>
      <c r="W22" s="285">
        <f t="shared" si="7"/>
        <v>0</v>
      </c>
      <c r="X22" s="285">
        <f t="shared" si="7"/>
        <v>0</v>
      </c>
      <c r="Y22" s="285">
        <f t="shared" si="7"/>
        <v>0</v>
      </c>
      <c r="Z22" s="285">
        <f t="shared" si="7"/>
        <v>0</v>
      </c>
      <c r="AA22" s="285">
        <f t="shared" si="7"/>
        <v>0</v>
      </c>
      <c r="AB22" s="285">
        <f t="shared" si="7"/>
        <v>0</v>
      </c>
      <c r="AC22" s="285">
        <f t="shared" si="7"/>
        <v>0</v>
      </c>
      <c r="AD22" s="285">
        <f t="shared" si="7"/>
        <v>0</v>
      </c>
      <c r="AE22" s="285">
        <f t="shared" si="7"/>
        <v>0</v>
      </c>
      <c r="AF22" s="285">
        <f t="shared" si="7"/>
        <v>0</v>
      </c>
      <c r="AG22" s="285">
        <f t="shared" si="7"/>
        <v>0</v>
      </c>
      <c r="AH22" s="285">
        <f t="shared" si="7"/>
        <v>161903</v>
      </c>
      <c r="AI22" s="285">
        <f t="shared" si="7"/>
        <v>111903</v>
      </c>
      <c r="AJ22" s="285">
        <f t="shared" si="7"/>
        <v>0</v>
      </c>
      <c r="AK22" s="285">
        <f t="shared" si="7"/>
        <v>50000</v>
      </c>
      <c r="AL22" s="285">
        <f t="shared" si="7"/>
        <v>111903</v>
      </c>
      <c r="AM22" s="285">
        <f t="shared" si="7"/>
        <v>0</v>
      </c>
      <c r="AN22" s="285">
        <f t="shared" si="7"/>
        <v>0</v>
      </c>
      <c r="AO22" s="285">
        <f t="shared" si="7"/>
        <v>0</v>
      </c>
      <c r="AP22" s="285">
        <f t="shared" si="7"/>
        <v>161903</v>
      </c>
      <c r="AQ22" s="285">
        <f t="shared" si="7"/>
        <v>111903</v>
      </c>
      <c r="AR22" s="285">
        <f t="shared" si="7"/>
        <v>0</v>
      </c>
      <c r="AS22" s="285">
        <f>SUM(AS23:AS33)+AS34</f>
        <v>134000</v>
      </c>
      <c r="AT22" s="296"/>
    </row>
    <row r="23" spans="1:46" s="265" customFormat="1" ht="47.25" customHeight="1">
      <c r="A23" s="298">
        <v>1</v>
      </c>
      <c r="B23" s="311" t="s">
        <v>683</v>
      </c>
      <c r="C23" s="300" t="s">
        <v>663</v>
      </c>
      <c r="D23" s="300" t="s">
        <v>679</v>
      </c>
      <c r="E23" s="300"/>
      <c r="F23" s="312" t="s">
        <v>684</v>
      </c>
      <c r="G23" s="300"/>
      <c r="H23" s="295">
        <v>29769</v>
      </c>
      <c r="I23" s="295"/>
      <c r="J23" s="295">
        <f>I23*90%</f>
        <v>0</v>
      </c>
      <c r="K23" s="295"/>
      <c r="L23" s="295"/>
      <c r="M23" s="295"/>
      <c r="N23" s="295"/>
      <c r="O23" s="295">
        <f t="shared" ref="O23:O28" si="8">Q23+S23</f>
        <v>0</v>
      </c>
      <c r="P23" s="295"/>
      <c r="Q23" s="295"/>
      <c r="R23" s="295"/>
      <c r="S23" s="295"/>
      <c r="T23" s="295">
        <f t="shared" ref="T23:U27" si="9">V23+X23+Z23+AB23+AD23</f>
        <v>0</v>
      </c>
      <c r="U23" s="295">
        <f t="shared" si="9"/>
        <v>0</v>
      </c>
      <c r="V23" s="295"/>
      <c r="W23" s="295"/>
      <c r="X23" s="295"/>
      <c r="Y23" s="295"/>
      <c r="Z23" s="295"/>
      <c r="AA23" s="295"/>
      <c r="AB23" s="295"/>
      <c r="AC23" s="295"/>
      <c r="AD23" s="295"/>
      <c r="AE23" s="295"/>
      <c r="AF23" s="295"/>
      <c r="AG23" s="295"/>
      <c r="AH23" s="295">
        <f>AI23+AJ23+AK23</f>
        <v>95000</v>
      </c>
      <c r="AI23" s="295">
        <v>45000</v>
      </c>
      <c r="AJ23" s="295">
        <f>R23+X23+Z23+AB23+AD23</f>
        <v>0</v>
      </c>
      <c r="AK23" s="295">
        <v>50000</v>
      </c>
      <c r="AL23" s="285">
        <f t="shared" si="3"/>
        <v>45000</v>
      </c>
      <c r="AM23" s="295">
        <f t="shared" ref="AM23:AN28" si="10">N23+T23+AF23</f>
        <v>0</v>
      </c>
      <c r="AN23" s="295">
        <f t="shared" si="10"/>
        <v>0</v>
      </c>
      <c r="AO23" s="285">
        <f t="shared" si="4"/>
        <v>0</v>
      </c>
      <c r="AP23" s="295">
        <f t="shared" ref="AP23:AP28" si="11">AH23-AM23</f>
        <v>95000</v>
      </c>
      <c r="AQ23" s="285">
        <f t="shared" ref="AQ23:AQ28" si="12">AP23-AK23</f>
        <v>45000</v>
      </c>
      <c r="AR23" s="295">
        <v>0</v>
      </c>
      <c r="AS23" s="295">
        <v>10000</v>
      </c>
      <c r="AT23" s="313"/>
    </row>
    <row r="24" spans="1:46" s="265" customFormat="1" ht="47.25" customHeight="1">
      <c r="A24" s="298">
        <v>2</v>
      </c>
      <c r="B24" s="311" t="s">
        <v>685</v>
      </c>
      <c r="C24" s="300" t="s">
        <v>686</v>
      </c>
      <c r="D24" s="300" t="s">
        <v>679</v>
      </c>
      <c r="E24" s="300"/>
      <c r="F24" s="312" t="s">
        <v>684</v>
      </c>
      <c r="G24" s="300" t="s">
        <v>687</v>
      </c>
      <c r="H24" s="295">
        <v>4147</v>
      </c>
      <c r="I24" s="295"/>
      <c r="J24" s="295">
        <f>I24*90%</f>
        <v>0</v>
      </c>
      <c r="K24" s="295"/>
      <c r="L24" s="295"/>
      <c r="M24" s="295"/>
      <c r="N24" s="295"/>
      <c r="O24" s="295">
        <f t="shared" si="8"/>
        <v>0</v>
      </c>
      <c r="P24" s="295"/>
      <c r="Q24" s="295"/>
      <c r="R24" s="295"/>
      <c r="S24" s="295"/>
      <c r="T24" s="295">
        <f t="shared" si="9"/>
        <v>0</v>
      </c>
      <c r="U24" s="295">
        <f t="shared" si="9"/>
        <v>0</v>
      </c>
      <c r="V24" s="295"/>
      <c r="W24" s="295"/>
      <c r="X24" s="295"/>
      <c r="Y24" s="295"/>
      <c r="Z24" s="295"/>
      <c r="AA24" s="295"/>
      <c r="AB24" s="295"/>
      <c r="AC24" s="295"/>
      <c r="AD24" s="295"/>
      <c r="AE24" s="295"/>
      <c r="AF24" s="295"/>
      <c r="AG24" s="295"/>
      <c r="AH24" s="295">
        <f>AI24+AJ24+AK24</f>
        <v>5700</v>
      </c>
      <c r="AI24" s="295">
        <v>5700</v>
      </c>
      <c r="AJ24" s="295">
        <f>R24+X24+Z24+AB24+AD24</f>
        <v>0</v>
      </c>
      <c r="AK24" s="295"/>
      <c r="AL24" s="285">
        <f t="shared" si="3"/>
        <v>5700</v>
      </c>
      <c r="AM24" s="295">
        <f t="shared" si="10"/>
        <v>0</v>
      </c>
      <c r="AN24" s="295">
        <f t="shared" si="10"/>
        <v>0</v>
      </c>
      <c r="AO24" s="285">
        <f t="shared" si="4"/>
        <v>0</v>
      </c>
      <c r="AP24" s="295">
        <f t="shared" si="11"/>
        <v>5700</v>
      </c>
      <c r="AQ24" s="285">
        <f t="shared" si="12"/>
        <v>5700</v>
      </c>
      <c r="AR24" s="295">
        <v>0</v>
      </c>
      <c r="AS24" s="295">
        <v>3500</v>
      </c>
      <c r="AT24" s="313"/>
    </row>
    <row r="25" spans="1:46" s="265" customFormat="1" ht="47.25" customHeight="1">
      <c r="A25" s="298">
        <v>3</v>
      </c>
      <c r="B25" s="311" t="s">
        <v>688</v>
      </c>
      <c r="C25" s="300" t="s">
        <v>686</v>
      </c>
      <c r="D25" s="300" t="s">
        <v>689</v>
      </c>
      <c r="E25" s="300"/>
      <c r="F25" s="312" t="s">
        <v>684</v>
      </c>
      <c r="G25" s="300" t="s">
        <v>690</v>
      </c>
      <c r="H25" s="295">
        <v>3626</v>
      </c>
      <c r="I25" s="295"/>
      <c r="J25" s="295">
        <f>I25*90%</f>
        <v>0</v>
      </c>
      <c r="K25" s="295"/>
      <c r="L25" s="295"/>
      <c r="M25" s="295"/>
      <c r="N25" s="295"/>
      <c r="O25" s="295">
        <f t="shared" si="8"/>
        <v>0</v>
      </c>
      <c r="P25" s="295"/>
      <c r="Q25" s="295"/>
      <c r="R25" s="295"/>
      <c r="S25" s="295"/>
      <c r="T25" s="295">
        <f t="shared" si="9"/>
        <v>0</v>
      </c>
      <c r="U25" s="295">
        <f t="shared" si="9"/>
        <v>0</v>
      </c>
      <c r="V25" s="295"/>
      <c r="W25" s="295"/>
      <c r="X25" s="295"/>
      <c r="Y25" s="295"/>
      <c r="Z25" s="295"/>
      <c r="AA25" s="295"/>
      <c r="AB25" s="295"/>
      <c r="AC25" s="295"/>
      <c r="AD25" s="295"/>
      <c r="AE25" s="295"/>
      <c r="AF25" s="295"/>
      <c r="AG25" s="295"/>
      <c r="AH25" s="295">
        <f>AI25+AJ25+AK25</f>
        <v>4000</v>
      </c>
      <c r="AI25" s="295">
        <v>4000</v>
      </c>
      <c r="AJ25" s="295">
        <f>R25+X25+Z25+AB25+AD25</f>
        <v>0</v>
      </c>
      <c r="AK25" s="295"/>
      <c r="AL25" s="285">
        <f t="shared" si="3"/>
        <v>4000</v>
      </c>
      <c r="AM25" s="295">
        <f t="shared" si="10"/>
        <v>0</v>
      </c>
      <c r="AN25" s="295">
        <f t="shared" si="10"/>
        <v>0</v>
      </c>
      <c r="AO25" s="285">
        <f t="shared" si="4"/>
        <v>0</v>
      </c>
      <c r="AP25" s="295">
        <f t="shared" si="11"/>
        <v>4000</v>
      </c>
      <c r="AQ25" s="285">
        <f t="shared" si="12"/>
        <v>4000</v>
      </c>
      <c r="AR25" s="295">
        <v>0</v>
      </c>
      <c r="AS25" s="295">
        <v>2000</v>
      </c>
      <c r="AT25" s="313"/>
    </row>
    <row r="26" spans="1:46" s="265" customFormat="1" ht="47.25" customHeight="1">
      <c r="A26" s="298">
        <v>4</v>
      </c>
      <c r="B26" s="311" t="s">
        <v>691</v>
      </c>
      <c r="C26" s="300" t="s">
        <v>686</v>
      </c>
      <c r="D26" s="300" t="s">
        <v>689</v>
      </c>
      <c r="E26" s="300"/>
      <c r="F26" s="312" t="s">
        <v>684</v>
      </c>
      <c r="G26" s="300" t="s">
        <v>692</v>
      </c>
      <c r="H26" s="295">
        <v>11194</v>
      </c>
      <c r="I26" s="295"/>
      <c r="J26" s="295">
        <f>I26*90%</f>
        <v>0</v>
      </c>
      <c r="K26" s="295"/>
      <c r="L26" s="295"/>
      <c r="M26" s="295"/>
      <c r="N26" s="295"/>
      <c r="O26" s="295">
        <f t="shared" si="8"/>
        <v>0</v>
      </c>
      <c r="P26" s="295"/>
      <c r="Q26" s="295"/>
      <c r="R26" s="295"/>
      <c r="S26" s="295"/>
      <c r="T26" s="295">
        <f t="shared" si="9"/>
        <v>0</v>
      </c>
      <c r="U26" s="295">
        <f t="shared" si="9"/>
        <v>0</v>
      </c>
      <c r="V26" s="295"/>
      <c r="W26" s="295"/>
      <c r="X26" s="295"/>
      <c r="Y26" s="295"/>
      <c r="Z26" s="295"/>
      <c r="AA26" s="295"/>
      <c r="AB26" s="295"/>
      <c r="AC26" s="295"/>
      <c r="AD26" s="295"/>
      <c r="AE26" s="295"/>
      <c r="AF26" s="295"/>
      <c r="AG26" s="295"/>
      <c r="AH26" s="295">
        <f>AI26+AJ26+AK26</f>
        <v>10500</v>
      </c>
      <c r="AI26" s="295">
        <v>10500</v>
      </c>
      <c r="AJ26" s="295">
        <f>R26+X26+Z26+AB26+AD26</f>
        <v>0</v>
      </c>
      <c r="AK26" s="295"/>
      <c r="AL26" s="285">
        <f t="shared" si="3"/>
        <v>10500</v>
      </c>
      <c r="AM26" s="295">
        <f t="shared" si="10"/>
        <v>0</v>
      </c>
      <c r="AN26" s="295">
        <f t="shared" si="10"/>
        <v>0</v>
      </c>
      <c r="AO26" s="285">
        <f t="shared" si="4"/>
        <v>0</v>
      </c>
      <c r="AP26" s="295">
        <f t="shared" si="11"/>
        <v>10500</v>
      </c>
      <c r="AQ26" s="285">
        <f t="shared" si="12"/>
        <v>10500</v>
      </c>
      <c r="AR26" s="295">
        <v>0</v>
      </c>
      <c r="AS26" s="295">
        <v>4000</v>
      </c>
      <c r="AT26" s="313"/>
    </row>
    <row r="27" spans="1:46" s="265" customFormat="1" ht="47.25" customHeight="1">
      <c r="A27" s="298">
        <v>5</v>
      </c>
      <c r="B27" s="311" t="s">
        <v>693</v>
      </c>
      <c r="C27" s="300" t="s">
        <v>669</v>
      </c>
      <c r="D27" s="300" t="s">
        <v>669</v>
      </c>
      <c r="E27" s="300"/>
      <c r="F27" s="312" t="s">
        <v>684</v>
      </c>
      <c r="G27" s="300" t="s">
        <v>694</v>
      </c>
      <c r="H27" s="295">
        <v>14096</v>
      </c>
      <c r="I27" s="295"/>
      <c r="J27" s="295">
        <f>I27*90%</f>
        <v>0</v>
      </c>
      <c r="K27" s="295"/>
      <c r="L27" s="295"/>
      <c r="M27" s="295"/>
      <c r="N27" s="295"/>
      <c r="O27" s="295">
        <f t="shared" si="8"/>
        <v>0</v>
      </c>
      <c r="P27" s="295"/>
      <c r="Q27" s="295"/>
      <c r="R27" s="295"/>
      <c r="S27" s="295"/>
      <c r="T27" s="295">
        <f t="shared" si="9"/>
        <v>0</v>
      </c>
      <c r="U27" s="295">
        <f t="shared" si="9"/>
        <v>0</v>
      </c>
      <c r="V27" s="295"/>
      <c r="W27" s="295"/>
      <c r="X27" s="295"/>
      <c r="Y27" s="295"/>
      <c r="Z27" s="295"/>
      <c r="AA27" s="295"/>
      <c r="AB27" s="295"/>
      <c r="AC27" s="295"/>
      <c r="AD27" s="295"/>
      <c r="AE27" s="295"/>
      <c r="AF27" s="295"/>
      <c r="AG27" s="295"/>
      <c r="AH27" s="295">
        <f>AI27+AJ27+AK27</f>
        <v>12000</v>
      </c>
      <c r="AI27" s="295">
        <v>12000</v>
      </c>
      <c r="AJ27" s="295">
        <f>R27+X27+Z27+AB27+AD27</f>
        <v>0</v>
      </c>
      <c r="AK27" s="295"/>
      <c r="AL27" s="285">
        <f t="shared" si="3"/>
        <v>12000</v>
      </c>
      <c r="AM27" s="295">
        <f t="shared" si="10"/>
        <v>0</v>
      </c>
      <c r="AN27" s="295">
        <f t="shared" si="10"/>
        <v>0</v>
      </c>
      <c r="AO27" s="285">
        <f t="shared" si="4"/>
        <v>0</v>
      </c>
      <c r="AP27" s="295">
        <f t="shared" si="11"/>
        <v>12000</v>
      </c>
      <c r="AQ27" s="285">
        <f t="shared" si="12"/>
        <v>12000</v>
      </c>
      <c r="AR27" s="295">
        <v>0</v>
      </c>
      <c r="AS27" s="295">
        <v>5000</v>
      </c>
      <c r="AT27" s="313"/>
    </row>
    <row r="28" spans="1:46" s="265" customFormat="1" ht="47.25" customHeight="1">
      <c r="A28" s="298">
        <v>6</v>
      </c>
      <c r="B28" s="311" t="s">
        <v>695</v>
      </c>
      <c r="C28" s="300" t="s">
        <v>689</v>
      </c>
      <c r="D28" s="300" t="s">
        <v>689</v>
      </c>
      <c r="E28" s="300"/>
      <c r="F28" s="312" t="s">
        <v>684</v>
      </c>
      <c r="G28" s="307" t="s">
        <v>696</v>
      </c>
      <c r="H28" s="295">
        <v>7000</v>
      </c>
      <c r="I28" s="295"/>
      <c r="J28" s="295"/>
      <c r="K28" s="295"/>
      <c r="L28" s="295"/>
      <c r="M28" s="295"/>
      <c r="N28" s="295"/>
      <c r="O28" s="295">
        <f t="shared" si="8"/>
        <v>0</v>
      </c>
      <c r="P28" s="295"/>
      <c r="Q28" s="295"/>
      <c r="R28" s="295"/>
      <c r="S28" s="295"/>
      <c r="T28" s="295"/>
      <c r="U28" s="295">
        <f>W28+Y28+AA28+AC28+AE28</f>
        <v>0</v>
      </c>
      <c r="V28" s="295"/>
      <c r="W28" s="295"/>
      <c r="X28" s="295"/>
      <c r="Y28" s="295"/>
      <c r="Z28" s="295"/>
      <c r="AA28" s="295"/>
      <c r="AB28" s="295"/>
      <c r="AC28" s="295"/>
      <c r="AD28" s="295"/>
      <c r="AE28" s="295"/>
      <c r="AF28" s="295"/>
      <c r="AG28" s="295"/>
      <c r="AH28" s="295">
        <v>6300</v>
      </c>
      <c r="AI28" s="295">
        <v>6300</v>
      </c>
      <c r="AJ28" s="295"/>
      <c r="AK28" s="295"/>
      <c r="AL28" s="285">
        <f t="shared" si="3"/>
        <v>6300</v>
      </c>
      <c r="AM28" s="295">
        <f t="shared" si="10"/>
        <v>0</v>
      </c>
      <c r="AN28" s="295">
        <f t="shared" si="10"/>
        <v>0</v>
      </c>
      <c r="AO28" s="285">
        <f t="shared" si="4"/>
        <v>0</v>
      </c>
      <c r="AP28" s="295">
        <f t="shared" si="11"/>
        <v>6300</v>
      </c>
      <c r="AQ28" s="285">
        <f t="shared" si="12"/>
        <v>6300</v>
      </c>
      <c r="AR28" s="295">
        <v>0</v>
      </c>
      <c r="AS28" s="295">
        <v>2000</v>
      </c>
      <c r="AT28" s="313"/>
    </row>
    <row r="29" spans="1:46" s="265" customFormat="1" ht="47.25" customHeight="1">
      <c r="A29" s="298">
        <v>7</v>
      </c>
      <c r="B29" s="314" t="s">
        <v>697</v>
      </c>
      <c r="C29" s="300" t="s">
        <v>698</v>
      </c>
      <c r="D29" s="300" t="s">
        <v>669</v>
      </c>
      <c r="E29" s="300"/>
      <c r="F29" s="312" t="s">
        <v>684</v>
      </c>
      <c r="G29" s="300"/>
      <c r="H29" s="295">
        <v>20074</v>
      </c>
      <c r="I29" s="295"/>
      <c r="J29" s="295">
        <f>I29*90%</f>
        <v>0</v>
      </c>
      <c r="K29" s="295"/>
      <c r="L29" s="295">
        <v>18000</v>
      </c>
      <c r="M29" s="295">
        <v>18000</v>
      </c>
      <c r="N29" s="295">
        <f>P29+R29</f>
        <v>0</v>
      </c>
      <c r="O29" s="295">
        <f>Q29+S29</f>
        <v>0</v>
      </c>
      <c r="P29" s="295"/>
      <c r="Q29" s="295"/>
      <c r="R29" s="295"/>
      <c r="S29" s="295"/>
      <c r="T29" s="295">
        <f>V29+X29+Z29+AB29+AD29</f>
        <v>0</v>
      </c>
      <c r="U29" s="295">
        <f>W29+Y29+AA29+AC29+AE29</f>
        <v>0</v>
      </c>
      <c r="V29" s="295"/>
      <c r="W29" s="295"/>
      <c r="X29" s="295"/>
      <c r="Y29" s="295"/>
      <c r="Z29" s="295"/>
      <c r="AA29" s="295"/>
      <c r="AB29" s="295"/>
      <c r="AC29" s="295"/>
      <c r="AD29" s="295"/>
      <c r="AE29" s="295"/>
      <c r="AF29" s="295"/>
      <c r="AG29" s="295"/>
      <c r="AH29" s="295">
        <f>AI29+AJ29+AK29</f>
        <v>18000</v>
      </c>
      <c r="AI29" s="295">
        <v>18000</v>
      </c>
      <c r="AJ29" s="295">
        <f>R29+X29+Z29+AB29+AD29</f>
        <v>0</v>
      </c>
      <c r="AK29" s="295"/>
      <c r="AL29" s="285">
        <f t="shared" si="3"/>
        <v>18000</v>
      </c>
      <c r="AM29" s="295">
        <f>N29+T29+AF29</f>
        <v>0</v>
      </c>
      <c r="AN29" s="295">
        <f>O29+U29+AG29</f>
        <v>0</v>
      </c>
      <c r="AO29" s="285">
        <f t="shared" si="4"/>
        <v>0</v>
      </c>
      <c r="AP29" s="295">
        <f>AH29-AM29</f>
        <v>18000</v>
      </c>
      <c r="AQ29" s="285">
        <f>AP29-AK29</f>
        <v>18000</v>
      </c>
      <c r="AR29" s="295">
        <v>0</v>
      </c>
      <c r="AS29" s="295">
        <v>6000</v>
      </c>
      <c r="AT29" s="310"/>
    </row>
    <row r="30" spans="1:46" s="265" customFormat="1" ht="47.25" customHeight="1">
      <c r="A30" s="298">
        <v>8</v>
      </c>
      <c r="B30" s="299" t="s">
        <v>699</v>
      </c>
      <c r="C30" s="301" t="s">
        <v>700</v>
      </c>
      <c r="D30" s="301" t="s">
        <v>700</v>
      </c>
      <c r="E30" s="302"/>
      <c r="F30" s="312" t="s">
        <v>684</v>
      </c>
      <c r="G30" s="300" t="s">
        <v>701</v>
      </c>
      <c r="H30" s="295">
        <v>7805</v>
      </c>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85"/>
      <c r="AM30" s="295"/>
      <c r="AN30" s="295"/>
      <c r="AO30" s="285"/>
      <c r="AP30" s="295"/>
      <c r="AQ30" s="285"/>
      <c r="AR30" s="295">
        <v>0</v>
      </c>
      <c r="AS30" s="295">
        <v>3000</v>
      </c>
      <c r="AT30" s="313"/>
    </row>
    <row r="31" spans="1:46" s="265" customFormat="1" ht="47.25" customHeight="1">
      <c r="A31" s="298">
        <v>9</v>
      </c>
      <c r="B31" s="299" t="s">
        <v>702</v>
      </c>
      <c r="C31" s="301" t="s">
        <v>700</v>
      </c>
      <c r="D31" s="301" t="s">
        <v>700</v>
      </c>
      <c r="E31" s="302"/>
      <c r="F31" s="312" t="s">
        <v>684</v>
      </c>
      <c r="G31" s="300" t="s">
        <v>703</v>
      </c>
      <c r="H31" s="295">
        <v>8535</v>
      </c>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85"/>
      <c r="AM31" s="295"/>
      <c r="AN31" s="295"/>
      <c r="AO31" s="285"/>
      <c r="AP31" s="295"/>
      <c r="AQ31" s="285"/>
      <c r="AR31" s="295">
        <v>0</v>
      </c>
      <c r="AS31" s="295">
        <v>3500</v>
      </c>
      <c r="AT31" s="313"/>
    </row>
    <row r="32" spans="1:46" s="265" customFormat="1" ht="47.25" customHeight="1">
      <c r="A32" s="298">
        <v>10</v>
      </c>
      <c r="B32" s="299" t="s">
        <v>704</v>
      </c>
      <c r="C32" s="301" t="s">
        <v>674</v>
      </c>
      <c r="D32" s="301" t="s">
        <v>705</v>
      </c>
      <c r="E32" s="302"/>
      <c r="F32" s="312" t="s">
        <v>684</v>
      </c>
      <c r="G32" s="300" t="s">
        <v>706</v>
      </c>
      <c r="H32" s="295">
        <v>4576</v>
      </c>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85"/>
      <c r="AM32" s="295"/>
      <c r="AN32" s="295"/>
      <c r="AO32" s="285"/>
      <c r="AP32" s="295"/>
      <c r="AQ32" s="285"/>
      <c r="AR32" s="295">
        <v>0</v>
      </c>
      <c r="AS32" s="295">
        <v>3000</v>
      </c>
      <c r="AT32" s="313"/>
    </row>
    <row r="33" spans="1:46" s="265" customFormat="1" ht="47.25" customHeight="1">
      <c r="A33" s="298">
        <v>11</v>
      </c>
      <c r="B33" s="305" t="s">
        <v>707</v>
      </c>
      <c r="C33" s="300" t="s">
        <v>708</v>
      </c>
      <c r="D33" s="300" t="s">
        <v>708</v>
      </c>
      <c r="E33" s="300"/>
      <c r="F33" s="312" t="s">
        <v>684</v>
      </c>
      <c r="G33" s="300"/>
      <c r="H33" s="295">
        <v>0</v>
      </c>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85">
        <f>AI33+AJ33</f>
        <v>0</v>
      </c>
      <c r="AM33" s="295"/>
      <c r="AN33" s="295"/>
      <c r="AO33" s="285">
        <f>K33+AM33</f>
        <v>0</v>
      </c>
      <c r="AP33" s="295"/>
      <c r="AQ33" s="285"/>
      <c r="AR33" s="295">
        <v>0</v>
      </c>
      <c r="AS33" s="295">
        <v>50000</v>
      </c>
      <c r="AT33" s="313"/>
    </row>
    <row r="34" spans="1:46" ht="47.25" customHeight="1">
      <c r="A34" s="298">
        <v>12</v>
      </c>
      <c r="B34" s="309" t="s">
        <v>709</v>
      </c>
      <c r="C34" s="301" t="s">
        <v>710</v>
      </c>
      <c r="D34" s="301" t="s">
        <v>711</v>
      </c>
      <c r="E34" s="302"/>
      <c r="F34" s="298"/>
      <c r="G34" s="307"/>
      <c r="H34" s="295">
        <v>0</v>
      </c>
      <c r="I34" s="295"/>
      <c r="J34" s="295">
        <f>I34*90%</f>
        <v>0</v>
      </c>
      <c r="K34" s="295"/>
      <c r="L34" s="295">
        <v>14803</v>
      </c>
      <c r="M34" s="295">
        <v>14803</v>
      </c>
      <c r="N34" s="295">
        <f>P34+R34</f>
        <v>0</v>
      </c>
      <c r="O34" s="295">
        <f>Q34+S34</f>
        <v>0</v>
      </c>
      <c r="P34" s="295"/>
      <c r="Q34" s="295"/>
      <c r="R34" s="295"/>
      <c r="S34" s="295"/>
      <c r="T34" s="295">
        <f>V34+X34+Z34+AB34+AD34</f>
        <v>0</v>
      </c>
      <c r="U34" s="295">
        <f>W34+Y34+AA34+AC34+AE34</f>
        <v>0</v>
      </c>
      <c r="V34" s="295"/>
      <c r="W34" s="295"/>
      <c r="X34" s="295"/>
      <c r="Y34" s="295"/>
      <c r="Z34" s="295"/>
      <c r="AA34" s="295"/>
      <c r="AB34" s="295"/>
      <c r="AC34" s="295"/>
      <c r="AD34" s="295"/>
      <c r="AE34" s="295"/>
      <c r="AF34" s="295"/>
      <c r="AG34" s="295"/>
      <c r="AH34" s="295">
        <f>AI34+AJ34+AK34</f>
        <v>10403</v>
      </c>
      <c r="AI34" s="295">
        <v>10403</v>
      </c>
      <c r="AJ34" s="295">
        <f>R34+X34+Z34+AB34+AD34</f>
        <v>0</v>
      </c>
      <c r="AK34" s="295"/>
      <c r="AL34" s="295">
        <f t="shared" si="3"/>
        <v>10403</v>
      </c>
      <c r="AM34" s="295">
        <f>N34+T34+AF34</f>
        <v>0</v>
      </c>
      <c r="AN34" s="295">
        <f>O34+U34+AG34</f>
        <v>0</v>
      </c>
      <c r="AO34" s="295">
        <f t="shared" si="4"/>
        <v>0</v>
      </c>
      <c r="AP34" s="295">
        <f>AH34-AM34</f>
        <v>10403</v>
      </c>
      <c r="AQ34" s="295">
        <f>AP34-AK34</f>
        <v>10403</v>
      </c>
      <c r="AR34" s="295">
        <v>0</v>
      </c>
      <c r="AS34" s="295">
        <f>40000+2000</f>
        <v>42000</v>
      </c>
      <c r="AT34" s="310"/>
    </row>
    <row r="35" spans="1:46" s="265" customFormat="1" ht="47.25" customHeight="1">
      <c r="A35" s="298"/>
      <c r="B35" s="299"/>
      <c r="C35" s="301"/>
      <c r="D35" s="301"/>
      <c r="E35" s="302"/>
      <c r="F35" s="298"/>
      <c r="G35" s="307"/>
      <c r="H35" s="295"/>
      <c r="I35" s="295"/>
      <c r="J35" s="295">
        <f>I35*90%</f>
        <v>0</v>
      </c>
      <c r="K35" s="295"/>
      <c r="L35" s="295"/>
      <c r="M35" s="295"/>
      <c r="N35" s="295">
        <f>P35+R35</f>
        <v>0</v>
      </c>
      <c r="O35" s="295"/>
      <c r="P35" s="295"/>
      <c r="Q35" s="295"/>
      <c r="R35" s="295"/>
      <c r="S35" s="295"/>
      <c r="T35" s="295">
        <f>V35+X35+Z35+AB35+AD35</f>
        <v>0</v>
      </c>
      <c r="U35" s="295">
        <f>W35+Y35+AA35+AC35+AE35</f>
        <v>0</v>
      </c>
      <c r="V35" s="295"/>
      <c r="W35" s="295"/>
      <c r="X35" s="295"/>
      <c r="Y35" s="295"/>
      <c r="Z35" s="295"/>
      <c r="AA35" s="295"/>
      <c r="AB35" s="295"/>
      <c r="AC35" s="295"/>
      <c r="AD35" s="295"/>
      <c r="AE35" s="295"/>
      <c r="AF35" s="295"/>
      <c r="AG35" s="295"/>
      <c r="AH35" s="295">
        <f>AI35+AJ35</f>
        <v>0</v>
      </c>
      <c r="AI35" s="295"/>
      <c r="AJ35" s="295">
        <f>R35+X35+Z35+AB35+AD35</f>
        <v>0</v>
      </c>
      <c r="AK35" s="295"/>
      <c r="AL35" s="285">
        <f t="shared" si="3"/>
        <v>0</v>
      </c>
      <c r="AM35" s="295">
        <f>N35+T35+AF35</f>
        <v>0</v>
      </c>
      <c r="AN35" s="295">
        <f>O35+U35+AG35</f>
        <v>0</v>
      </c>
      <c r="AO35" s="285">
        <f t="shared" si="4"/>
        <v>0</v>
      </c>
      <c r="AP35" s="295">
        <f>AH35-AM35</f>
        <v>0</v>
      </c>
      <c r="AQ35" s="285">
        <f>AP35-AK35</f>
        <v>0</v>
      </c>
      <c r="AR35" s="295">
        <v>0</v>
      </c>
      <c r="AS35" s="295"/>
      <c r="AT35" s="296"/>
    </row>
    <row r="36" spans="1:46" s="265" customFormat="1" ht="21.75" customHeight="1">
      <c r="A36" s="290" t="s">
        <v>33</v>
      </c>
      <c r="B36" s="297" t="s">
        <v>712</v>
      </c>
      <c r="C36" s="292"/>
      <c r="D36" s="279"/>
      <c r="E36" s="293"/>
      <c r="F36" s="279"/>
      <c r="G36" s="294"/>
      <c r="H36" s="285">
        <f t="shared" ref="H36:AR36" si="13">H37+H46</f>
        <v>798039</v>
      </c>
      <c r="I36" s="285">
        <f t="shared" si="13"/>
        <v>0</v>
      </c>
      <c r="J36" s="285">
        <f t="shared" si="13"/>
        <v>0</v>
      </c>
      <c r="K36" s="285">
        <f t="shared" si="13"/>
        <v>0</v>
      </c>
      <c r="L36" s="285">
        <f t="shared" si="13"/>
        <v>355000</v>
      </c>
      <c r="M36" s="285">
        <f t="shared" si="13"/>
        <v>355000</v>
      </c>
      <c r="N36" s="285">
        <f t="shared" si="13"/>
        <v>0</v>
      </c>
      <c r="O36" s="285">
        <f t="shared" si="13"/>
        <v>0</v>
      </c>
      <c r="P36" s="285">
        <f t="shared" si="13"/>
        <v>0</v>
      </c>
      <c r="Q36" s="285">
        <f t="shared" si="13"/>
        <v>0</v>
      </c>
      <c r="R36" s="285">
        <f t="shared" si="13"/>
        <v>0</v>
      </c>
      <c r="S36" s="285">
        <f t="shared" si="13"/>
        <v>0</v>
      </c>
      <c r="T36" s="285">
        <f t="shared" si="13"/>
        <v>76860</v>
      </c>
      <c r="U36" s="285">
        <f t="shared" si="13"/>
        <v>76860</v>
      </c>
      <c r="V36" s="285">
        <f t="shared" si="13"/>
        <v>71860</v>
      </c>
      <c r="W36" s="285">
        <f t="shared" si="13"/>
        <v>71860</v>
      </c>
      <c r="X36" s="285">
        <f t="shared" si="13"/>
        <v>5000</v>
      </c>
      <c r="Y36" s="285">
        <f t="shared" si="13"/>
        <v>5000</v>
      </c>
      <c r="Z36" s="285">
        <f t="shared" si="13"/>
        <v>0</v>
      </c>
      <c r="AA36" s="285">
        <f t="shared" si="13"/>
        <v>0</v>
      </c>
      <c r="AB36" s="285">
        <f t="shared" si="13"/>
        <v>0</v>
      </c>
      <c r="AC36" s="285">
        <f t="shared" si="13"/>
        <v>0</v>
      </c>
      <c r="AD36" s="285">
        <f t="shared" si="13"/>
        <v>0</v>
      </c>
      <c r="AE36" s="285">
        <f t="shared" si="13"/>
        <v>0</v>
      </c>
      <c r="AF36" s="285">
        <f t="shared" si="13"/>
        <v>103000</v>
      </c>
      <c r="AG36" s="285">
        <f t="shared" si="13"/>
        <v>64615</v>
      </c>
      <c r="AH36" s="285">
        <f t="shared" si="13"/>
        <v>592682</v>
      </c>
      <c r="AI36" s="285">
        <f t="shared" si="13"/>
        <v>477682</v>
      </c>
      <c r="AJ36" s="285">
        <f t="shared" si="13"/>
        <v>5000</v>
      </c>
      <c r="AK36" s="285">
        <f t="shared" si="13"/>
        <v>110000</v>
      </c>
      <c r="AL36" s="285">
        <f t="shared" si="13"/>
        <v>482682</v>
      </c>
      <c r="AM36" s="285">
        <f t="shared" si="13"/>
        <v>179860</v>
      </c>
      <c r="AN36" s="285">
        <f t="shared" si="13"/>
        <v>141475</v>
      </c>
      <c r="AO36" s="285">
        <f t="shared" si="13"/>
        <v>179860</v>
      </c>
      <c r="AP36" s="285">
        <f t="shared" si="13"/>
        <v>416822</v>
      </c>
      <c r="AQ36" s="285">
        <f t="shared" si="13"/>
        <v>306822</v>
      </c>
      <c r="AR36" s="285">
        <f t="shared" si="13"/>
        <v>179860</v>
      </c>
      <c r="AS36" s="285">
        <f>AS37+AS46</f>
        <v>165000</v>
      </c>
      <c r="AT36" s="296"/>
    </row>
    <row r="37" spans="1:46" s="265" customFormat="1" ht="22.5" customHeight="1">
      <c r="A37" s="279" t="s">
        <v>337</v>
      </c>
      <c r="B37" s="297" t="s">
        <v>661</v>
      </c>
      <c r="C37" s="287"/>
      <c r="D37" s="288"/>
      <c r="E37" s="288"/>
      <c r="F37" s="282"/>
      <c r="G37" s="282"/>
      <c r="H37" s="285">
        <f t="shared" ref="H37:AR37" si="14">SUM(H38:H45)</f>
        <v>678182</v>
      </c>
      <c r="I37" s="285">
        <f t="shared" si="14"/>
        <v>0</v>
      </c>
      <c r="J37" s="285">
        <f t="shared" si="14"/>
        <v>0</v>
      </c>
      <c r="K37" s="285">
        <f t="shared" si="14"/>
        <v>0</v>
      </c>
      <c r="L37" s="285">
        <f t="shared" si="14"/>
        <v>290000</v>
      </c>
      <c r="M37" s="285">
        <f t="shared" si="14"/>
        <v>290000</v>
      </c>
      <c r="N37" s="285">
        <f t="shared" si="14"/>
        <v>0</v>
      </c>
      <c r="O37" s="285">
        <f t="shared" si="14"/>
        <v>0</v>
      </c>
      <c r="P37" s="285">
        <f t="shared" si="14"/>
        <v>0</v>
      </c>
      <c r="Q37" s="285">
        <f t="shared" si="14"/>
        <v>0</v>
      </c>
      <c r="R37" s="285">
        <f t="shared" si="14"/>
        <v>0</v>
      </c>
      <c r="S37" s="285">
        <f t="shared" si="14"/>
        <v>0</v>
      </c>
      <c r="T37" s="285">
        <f t="shared" si="14"/>
        <v>76860</v>
      </c>
      <c r="U37" s="285">
        <f t="shared" si="14"/>
        <v>76860</v>
      </c>
      <c r="V37" s="285">
        <f t="shared" si="14"/>
        <v>71860</v>
      </c>
      <c r="W37" s="285">
        <f t="shared" si="14"/>
        <v>71860</v>
      </c>
      <c r="X37" s="285">
        <f t="shared" si="14"/>
        <v>5000</v>
      </c>
      <c r="Y37" s="285">
        <f t="shared" si="14"/>
        <v>5000</v>
      </c>
      <c r="Z37" s="285">
        <f t="shared" si="14"/>
        <v>0</v>
      </c>
      <c r="AA37" s="285">
        <f t="shared" si="14"/>
        <v>0</v>
      </c>
      <c r="AB37" s="285">
        <f t="shared" si="14"/>
        <v>0</v>
      </c>
      <c r="AC37" s="285">
        <f t="shared" si="14"/>
        <v>0</v>
      </c>
      <c r="AD37" s="285">
        <f t="shared" si="14"/>
        <v>0</v>
      </c>
      <c r="AE37" s="285">
        <f t="shared" si="14"/>
        <v>0</v>
      </c>
      <c r="AF37" s="285">
        <f t="shared" si="14"/>
        <v>103000</v>
      </c>
      <c r="AG37" s="285">
        <f t="shared" si="14"/>
        <v>64615</v>
      </c>
      <c r="AH37" s="285">
        <f t="shared" si="14"/>
        <v>430000</v>
      </c>
      <c r="AI37" s="285">
        <f t="shared" si="14"/>
        <v>395000</v>
      </c>
      <c r="AJ37" s="285">
        <f t="shared" si="14"/>
        <v>5000</v>
      </c>
      <c r="AK37" s="285">
        <f t="shared" si="14"/>
        <v>30000</v>
      </c>
      <c r="AL37" s="285">
        <f t="shared" si="14"/>
        <v>400000</v>
      </c>
      <c r="AM37" s="285">
        <f t="shared" si="14"/>
        <v>179860</v>
      </c>
      <c r="AN37" s="285">
        <f t="shared" si="14"/>
        <v>141475</v>
      </c>
      <c r="AO37" s="285">
        <f t="shared" si="14"/>
        <v>179860</v>
      </c>
      <c r="AP37" s="285">
        <f t="shared" si="14"/>
        <v>254140</v>
      </c>
      <c r="AQ37" s="285">
        <f t="shared" si="14"/>
        <v>224140</v>
      </c>
      <c r="AR37" s="285">
        <f t="shared" si="14"/>
        <v>179860</v>
      </c>
      <c r="AS37" s="285">
        <f>SUM(AS38:AS45)</f>
        <v>88000</v>
      </c>
      <c r="AT37" s="315"/>
    </row>
    <row r="38" spans="1:46" s="265" customFormat="1" ht="47.25" customHeight="1">
      <c r="A38" s="298">
        <v>1</v>
      </c>
      <c r="B38" s="314" t="s">
        <v>713</v>
      </c>
      <c r="C38" s="300" t="s">
        <v>714</v>
      </c>
      <c r="D38" s="300" t="s">
        <v>715</v>
      </c>
      <c r="E38" s="300"/>
      <c r="F38" s="312" t="s">
        <v>716</v>
      </c>
      <c r="G38" s="300" t="s">
        <v>717</v>
      </c>
      <c r="H38" s="295">
        <v>136529</v>
      </c>
      <c r="I38" s="295"/>
      <c r="J38" s="295">
        <f t="shared" ref="J38:J43" si="15">I38*90%</f>
        <v>0</v>
      </c>
      <c r="K38" s="295"/>
      <c r="L38" s="295">
        <v>85000</v>
      </c>
      <c r="M38" s="295">
        <v>85000</v>
      </c>
      <c r="N38" s="295">
        <f t="shared" ref="N38:O40" si="16">P38+R38</f>
        <v>0</v>
      </c>
      <c r="O38" s="295">
        <f t="shared" si="16"/>
        <v>0</v>
      </c>
      <c r="P38" s="295"/>
      <c r="Q38" s="295"/>
      <c r="R38" s="295"/>
      <c r="S38" s="295"/>
      <c r="T38" s="295">
        <f t="shared" ref="T38:U44" si="17">V38+X38+Z38+AB38+AD38</f>
        <v>36860</v>
      </c>
      <c r="U38" s="295">
        <f t="shared" si="17"/>
        <v>36860</v>
      </c>
      <c r="V38" s="295">
        <v>31860</v>
      </c>
      <c r="W38" s="295">
        <v>31860</v>
      </c>
      <c r="X38" s="295">
        <v>5000</v>
      </c>
      <c r="Y38" s="295">
        <v>5000</v>
      </c>
      <c r="Z38" s="295"/>
      <c r="AA38" s="295"/>
      <c r="AB38" s="295"/>
      <c r="AC38" s="295"/>
      <c r="AD38" s="295"/>
      <c r="AE38" s="295"/>
      <c r="AF38" s="295">
        <v>49000</v>
      </c>
      <c r="AG38" s="295">
        <v>39615</v>
      </c>
      <c r="AH38" s="295">
        <f t="shared" ref="AH38:AH44" si="18">AI38+AJ38+AK38</f>
        <v>125000</v>
      </c>
      <c r="AI38" s="295">
        <v>120000</v>
      </c>
      <c r="AJ38" s="295">
        <f t="shared" ref="AJ38:AJ43" si="19">R38+X38+Z38+AB38+AD38</f>
        <v>5000</v>
      </c>
      <c r="AK38" s="295"/>
      <c r="AL38" s="285">
        <f t="shared" si="3"/>
        <v>125000</v>
      </c>
      <c r="AM38" s="295">
        <f t="shared" ref="AM38:AN44" si="20">N38+T38+AF38</f>
        <v>85860</v>
      </c>
      <c r="AN38" s="295">
        <f t="shared" si="20"/>
        <v>76475</v>
      </c>
      <c r="AO38" s="295">
        <f t="shared" si="4"/>
        <v>85860</v>
      </c>
      <c r="AP38" s="295">
        <f t="shared" ref="AP38:AP44" si="21">AH38-AM38</f>
        <v>39140</v>
      </c>
      <c r="AQ38" s="285">
        <f t="shared" ref="AQ38:AQ44" si="22">AP38-AK38</f>
        <v>39140</v>
      </c>
      <c r="AR38" s="295">
        <v>85860</v>
      </c>
      <c r="AS38" s="295">
        <v>15000</v>
      </c>
      <c r="AT38" s="316"/>
    </row>
    <row r="39" spans="1:46" s="265" customFormat="1" ht="47.25" customHeight="1">
      <c r="A39" s="298">
        <v>2</v>
      </c>
      <c r="B39" s="314" t="s">
        <v>718</v>
      </c>
      <c r="C39" s="300" t="s">
        <v>714</v>
      </c>
      <c r="D39" s="300" t="s">
        <v>689</v>
      </c>
      <c r="E39" s="300" t="s">
        <v>719</v>
      </c>
      <c r="F39" s="312" t="s">
        <v>720</v>
      </c>
      <c r="G39" s="300" t="s">
        <v>721</v>
      </c>
      <c r="H39" s="295">
        <v>140340</v>
      </c>
      <c r="I39" s="295"/>
      <c r="J39" s="295">
        <f t="shared" si="15"/>
        <v>0</v>
      </c>
      <c r="K39" s="295"/>
      <c r="L39" s="295">
        <v>76000</v>
      </c>
      <c r="M39" s="295">
        <v>76000</v>
      </c>
      <c r="N39" s="295">
        <f t="shared" si="16"/>
        <v>0</v>
      </c>
      <c r="O39" s="295">
        <f t="shared" si="16"/>
        <v>0</v>
      </c>
      <c r="P39" s="295"/>
      <c r="Q39" s="295"/>
      <c r="R39" s="295"/>
      <c r="S39" s="295"/>
      <c r="T39" s="295">
        <f t="shared" si="17"/>
        <v>15000</v>
      </c>
      <c r="U39" s="295">
        <f t="shared" si="17"/>
        <v>15000</v>
      </c>
      <c r="V39" s="295">
        <v>15000</v>
      </c>
      <c r="W39" s="295">
        <v>15000</v>
      </c>
      <c r="X39" s="295">
        <v>0</v>
      </c>
      <c r="Y39" s="295"/>
      <c r="Z39" s="295"/>
      <c r="AA39" s="295"/>
      <c r="AB39" s="295"/>
      <c r="AC39" s="295"/>
      <c r="AD39" s="295"/>
      <c r="AE39" s="295"/>
      <c r="AF39" s="295">
        <v>25000</v>
      </c>
      <c r="AG39" s="295"/>
      <c r="AH39" s="295">
        <f t="shared" si="18"/>
        <v>80000</v>
      </c>
      <c r="AI39" s="295">
        <v>80000</v>
      </c>
      <c r="AJ39" s="295">
        <f t="shared" si="19"/>
        <v>0</v>
      </c>
      <c r="AK39" s="295"/>
      <c r="AL39" s="285">
        <f t="shared" si="3"/>
        <v>80000</v>
      </c>
      <c r="AM39" s="295">
        <f t="shared" si="20"/>
        <v>40000</v>
      </c>
      <c r="AN39" s="295">
        <f t="shared" si="20"/>
        <v>15000</v>
      </c>
      <c r="AO39" s="295">
        <f t="shared" si="4"/>
        <v>40000</v>
      </c>
      <c r="AP39" s="295">
        <f t="shared" si="21"/>
        <v>40000</v>
      </c>
      <c r="AQ39" s="285">
        <f t="shared" si="22"/>
        <v>40000</v>
      </c>
      <c r="AR39" s="295">
        <v>40000</v>
      </c>
      <c r="AS39" s="295">
        <v>12000</v>
      </c>
      <c r="AT39" s="316"/>
    </row>
    <row r="40" spans="1:46" s="265" customFormat="1" ht="47.25" customHeight="1">
      <c r="A40" s="298">
        <v>3</v>
      </c>
      <c r="B40" s="314" t="s">
        <v>722</v>
      </c>
      <c r="C40" s="300" t="s">
        <v>714</v>
      </c>
      <c r="D40" s="300" t="s">
        <v>700</v>
      </c>
      <c r="E40" s="300" t="s">
        <v>723</v>
      </c>
      <c r="F40" s="312" t="s">
        <v>716</v>
      </c>
      <c r="G40" s="300" t="s">
        <v>724</v>
      </c>
      <c r="H40" s="295">
        <v>199670</v>
      </c>
      <c r="I40" s="295"/>
      <c r="J40" s="295">
        <f t="shared" si="15"/>
        <v>0</v>
      </c>
      <c r="K40" s="295"/>
      <c r="L40" s="295">
        <v>129000</v>
      </c>
      <c r="M40" s="295">
        <v>129000</v>
      </c>
      <c r="N40" s="295">
        <f t="shared" si="16"/>
        <v>0</v>
      </c>
      <c r="O40" s="295">
        <f t="shared" si="16"/>
        <v>0</v>
      </c>
      <c r="P40" s="295"/>
      <c r="Q40" s="295"/>
      <c r="R40" s="295"/>
      <c r="S40" s="295"/>
      <c r="T40" s="295">
        <f t="shared" si="17"/>
        <v>25000</v>
      </c>
      <c r="U40" s="295">
        <f t="shared" si="17"/>
        <v>25000</v>
      </c>
      <c r="V40" s="295">
        <v>25000</v>
      </c>
      <c r="W40" s="295">
        <v>25000</v>
      </c>
      <c r="X40" s="295">
        <v>0</v>
      </c>
      <c r="Y40" s="295"/>
      <c r="Z40" s="295"/>
      <c r="AA40" s="295"/>
      <c r="AB40" s="295"/>
      <c r="AC40" s="295"/>
      <c r="AD40" s="295"/>
      <c r="AE40" s="295"/>
      <c r="AF40" s="295">
        <v>25000</v>
      </c>
      <c r="AG40" s="295">
        <v>25000</v>
      </c>
      <c r="AH40" s="295">
        <f t="shared" si="18"/>
        <v>120000</v>
      </c>
      <c r="AI40" s="295">
        <v>120000</v>
      </c>
      <c r="AJ40" s="295">
        <f t="shared" si="19"/>
        <v>0</v>
      </c>
      <c r="AK40" s="295"/>
      <c r="AL40" s="285">
        <f t="shared" si="3"/>
        <v>120000</v>
      </c>
      <c r="AM40" s="295">
        <f t="shared" si="20"/>
        <v>50000</v>
      </c>
      <c r="AN40" s="295">
        <f t="shared" si="20"/>
        <v>50000</v>
      </c>
      <c r="AO40" s="295">
        <f t="shared" si="4"/>
        <v>50000</v>
      </c>
      <c r="AP40" s="295">
        <f t="shared" si="21"/>
        <v>70000</v>
      </c>
      <c r="AQ40" s="285">
        <f t="shared" si="22"/>
        <v>70000</v>
      </c>
      <c r="AR40" s="295">
        <v>50000</v>
      </c>
      <c r="AS40" s="295">
        <v>12000</v>
      </c>
      <c r="AT40" s="316"/>
    </row>
    <row r="41" spans="1:46" s="265" customFormat="1" ht="47.25" customHeight="1">
      <c r="A41" s="298">
        <v>4</v>
      </c>
      <c r="B41" s="314" t="s">
        <v>725</v>
      </c>
      <c r="C41" s="300" t="s">
        <v>714</v>
      </c>
      <c r="D41" s="300" t="s">
        <v>726</v>
      </c>
      <c r="E41" s="300"/>
      <c r="F41" s="312" t="s">
        <v>727</v>
      </c>
      <c r="G41" s="300" t="s">
        <v>728</v>
      </c>
      <c r="H41" s="295">
        <v>53142</v>
      </c>
      <c r="I41" s="295"/>
      <c r="J41" s="295">
        <f t="shared" si="15"/>
        <v>0</v>
      </c>
      <c r="K41" s="295"/>
      <c r="L41" s="295"/>
      <c r="M41" s="295"/>
      <c r="N41" s="295"/>
      <c r="O41" s="295">
        <f>Q41+S41</f>
        <v>0</v>
      </c>
      <c r="P41" s="295"/>
      <c r="Q41" s="295"/>
      <c r="R41" s="295"/>
      <c r="S41" s="295"/>
      <c r="T41" s="295">
        <f t="shared" si="17"/>
        <v>0</v>
      </c>
      <c r="U41" s="295">
        <f t="shared" si="17"/>
        <v>0</v>
      </c>
      <c r="V41" s="295"/>
      <c r="W41" s="295"/>
      <c r="X41" s="295"/>
      <c r="Y41" s="295"/>
      <c r="Z41" s="295"/>
      <c r="AA41" s="295"/>
      <c r="AB41" s="295"/>
      <c r="AC41" s="295"/>
      <c r="AD41" s="295"/>
      <c r="AE41" s="295"/>
      <c r="AF41" s="295"/>
      <c r="AG41" s="295"/>
      <c r="AH41" s="295">
        <f t="shared" si="18"/>
        <v>30000</v>
      </c>
      <c r="AI41" s="295">
        <v>15000</v>
      </c>
      <c r="AJ41" s="295">
        <f t="shared" si="19"/>
        <v>0</v>
      </c>
      <c r="AK41" s="295">
        <v>15000</v>
      </c>
      <c r="AL41" s="285">
        <f t="shared" si="3"/>
        <v>15000</v>
      </c>
      <c r="AM41" s="295">
        <f t="shared" si="20"/>
        <v>0</v>
      </c>
      <c r="AN41" s="295">
        <f t="shared" si="20"/>
        <v>0</v>
      </c>
      <c r="AO41" s="295">
        <f t="shared" si="4"/>
        <v>0</v>
      </c>
      <c r="AP41" s="295">
        <f t="shared" si="21"/>
        <v>30000</v>
      </c>
      <c r="AQ41" s="285">
        <f t="shared" si="22"/>
        <v>15000</v>
      </c>
      <c r="AR41" s="295">
        <v>0</v>
      </c>
      <c r="AS41" s="295">
        <v>10000</v>
      </c>
      <c r="AT41" s="316"/>
    </row>
    <row r="42" spans="1:46" s="265" customFormat="1" ht="47.25" customHeight="1">
      <c r="A42" s="298">
        <v>5</v>
      </c>
      <c r="B42" s="314" t="s">
        <v>729</v>
      </c>
      <c r="C42" s="300" t="s">
        <v>714</v>
      </c>
      <c r="D42" s="300" t="s">
        <v>730</v>
      </c>
      <c r="E42" s="300"/>
      <c r="F42" s="312" t="s">
        <v>727</v>
      </c>
      <c r="G42" s="300" t="s">
        <v>731</v>
      </c>
      <c r="H42" s="295">
        <v>52186</v>
      </c>
      <c r="I42" s="295"/>
      <c r="J42" s="295">
        <f t="shared" si="15"/>
        <v>0</v>
      </c>
      <c r="K42" s="295"/>
      <c r="L42" s="295"/>
      <c r="M42" s="295"/>
      <c r="N42" s="295"/>
      <c r="O42" s="295">
        <f>Q42+S42</f>
        <v>0</v>
      </c>
      <c r="P42" s="295"/>
      <c r="Q42" s="295"/>
      <c r="R42" s="295"/>
      <c r="S42" s="295"/>
      <c r="T42" s="295">
        <f t="shared" si="17"/>
        <v>0</v>
      </c>
      <c r="U42" s="295">
        <f t="shared" si="17"/>
        <v>0</v>
      </c>
      <c r="V42" s="295"/>
      <c r="W42" s="295"/>
      <c r="X42" s="295"/>
      <c r="Y42" s="295"/>
      <c r="Z42" s="295"/>
      <c r="AA42" s="295"/>
      <c r="AB42" s="295"/>
      <c r="AC42" s="295"/>
      <c r="AD42" s="295"/>
      <c r="AE42" s="295"/>
      <c r="AF42" s="295"/>
      <c r="AG42" s="295"/>
      <c r="AH42" s="295">
        <f t="shared" si="18"/>
        <v>30000</v>
      </c>
      <c r="AI42" s="295">
        <v>15000</v>
      </c>
      <c r="AJ42" s="295">
        <f t="shared" si="19"/>
        <v>0</v>
      </c>
      <c r="AK42" s="295">
        <v>15000</v>
      </c>
      <c r="AL42" s="285">
        <f t="shared" si="3"/>
        <v>15000</v>
      </c>
      <c r="AM42" s="295">
        <f t="shared" si="20"/>
        <v>0</v>
      </c>
      <c r="AN42" s="295">
        <f t="shared" si="20"/>
        <v>0</v>
      </c>
      <c r="AO42" s="295">
        <f t="shared" si="4"/>
        <v>0</v>
      </c>
      <c r="AP42" s="295">
        <f t="shared" si="21"/>
        <v>30000</v>
      </c>
      <c r="AQ42" s="285">
        <f t="shared" si="22"/>
        <v>15000</v>
      </c>
      <c r="AR42" s="295">
        <v>0</v>
      </c>
      <c r="AS42" s="295">
        <v>7000</v>
      </c>
      <c r="AT42" s="316"/>
    </row>
    <row r="43" spans="1:46" s="265" customFormat="1" ht="47.25" customHeight="1">
      <c r="A43" s="298">
        <v>6</v>
      </c>
      <c r="B43" s="314" t="s">
        <v>732</v>
      </c>
      <c r="C43" s="300" t="s">
        <v>714</v>
      </c>
      <c r="D43" s="300" t="s">
        <v>679</v>
      </c>
      <c r="E43" s="300"/>
      <c r="F43" s="312" t="s">
        <v>727</v>
      </c>
      <c r="G43" s="300" t="s">
        <v>733</v>
      </c>
      <c r="H43" s="295">
        <v>29565</v>
      </c>
      <c r="I43" s="295"/>
      <c r="J43" s="295">
        <f t="shared" si="15"/>
        <v>0</v>
      </c>
      <c r="K43" s="295"/>
      <c r="L43" s="295"/>
      <c r="M43" s="295"/>
      <c r="N43" s="295"/>
      <c r="O43" s="295">
        <f>Q43+S43</f>
        <v>0</v>
      </c>
      <c r="P43" s="295"/>
      <c r="Q43" s="295"/>
      <c r="R43" s="295"/>
      <c r="S43" s="295"/>
      <c r="T43" s="295">
        <f t="shared" si="17"/>
        <v>0</v>
      </c>
      <c r="U43" s="295">
        <f t="shared" si="17"/>
        <v>0</v>
      </c>
      <c r="V43" s="295"/>
      <c r="W43" s="295"/>
      <c r="X43" s="295"/>
      <c r="Y43" s="295"/>
      <c r="Z43" s="295"/>
      <c r="AA43" s="295"/>
      <c r="AB43" s="295"/>
      <c r="AC43" s="295"/>
      <c r="AD43" s="295"/>
      <c r="AE43" s="295"/>
      <c r="AF43" s="295"/>
      <c r="AG43" s="295"/>
      <c r="AH43" s="295">
        <f t="shared" si="18"/>
        <v>15000</v>
      </c>
      <c r="AI43" s="295">
        <v>15000</v>
      </c>
      <c r="AJ43" s="295">
        <f t="shared" si="19"/>
        <v>0</v>
      </c>
      <c r="AK43" s="295"/>
      <c r="AL43" s="285">
        <f t="shared" si="3"/>
        <v>15000</v>
      </c>
      <c r="AM43" s="295">
        <f t="shared" si="20"/>
        <v>0</v>
      </c>
      <c r="AN43" s="295">
        <f t="shared" si="20"/>
        <v>0</v>
      </c>
      <c r="AO43" s="295">
        <f t="shared" si="4"/>
        <v>0</v>
      </c>
      <c r="AP43" s="295">
        <f t="shared" si="21"/>
        <v>15000</v>
      </c>
      <c r="AQ43" s="285">
        <f t="shared" si="22"/>
        <v>15000</v>
      </c>
      <c r="AR43" s="295">
        <v>0</v>
      </c>
      <c r="AS43" s="295">
        <v>7000</v>
      </c>
      <c r="AT43" s="316"/>
    </row>
    <row r="44" spans="1:46" s="265" customFormat="1" ht="47.25" customHeight="1">
      <c r="A44" s="298">
        <v>7</v>
      </c>
      <c r="B44" s="317" t="s">
        <v>734</v>
      </c>
      <c r="C44" s="300" t="s">
        <v>714</v>
      </c>
      <c r="D44" s="300" t="s">
        <v>735</v>
      </c>
      <c r="E44" s="300"/>
      <c r="F44" s="312" t="s">
        <v>727</v>
      </c>
      <c r="G44" s="300" t="s">
        <v>736</v>
      </c>
      <c r="H44" s="295">
        <v>54500</v>
      </c>
      <c r="I44" s="295"/>
      <c r="J44" s="295"/>
      <c r="K44" s="295"/>
      <c r="L44" s="295"/>
      <c r="M44" s="295"/>
      <c r="N44" s="295"/>
      <c r="O44" s="295">
        <f>Q44+S44</f>
        <v>0</v>
      </c>
      <c r="P44" s="295"/>
      <c r="Q44" s="295"/>
      <c r="R44" s="295"/>
      <c r="S44" s="295"/>
      <c r="T44" s="295"/>
      <c r="U44" s="295">
        <f t="shared" si="17"/>
        <v>0</v>
      </c>
      <c r="V44" s="295"/>
      <c r="W44" s="295"/>
      <c r="X44" s="295"/>
      <c r="Y44" s="295"/>
      <c r="Z44" s="295"/>
      <c r="AA44" s="295"/>
      <c r="AB44" s="295"/>
      <c r="AC44" s="295"/>
      <c r="AD44" s="295"/>
      <c r="AE44" s="295"/>
      <c r="AF44" s="295"/>
      <c r="AG44" s="295"/>
      <c r="AH44" s="295">
        <f t="shared" si="18"/>
        <v>30000</v>
      </c>
      <c r="AI44" s="295">
        <v>30000</v>
      </c>
      <c r="AJ44" s="295"/>
      <c r="AK44" s="295"/>
      <c r="AL44" s="285">
        <f t="shared" si="3"/>
        <v>30000</v>
      </c>
      <c r="AM44" s="295">
        <f t="shared" si="20"/>
        <v>0</v>
      </c>
      <c r="AN44" s="295">
        <f t="shared" si="20"/>
        <v>0</v>
      </c>
      <c r="AO44" s="295">
        <f t="shared" si="4"/>
        <v>0</v>
      </c>
      <c r="AP44" s="295">
        <f t="shared" si="21"/>
        <v>30000</v>
      </c>
      <c r="AQ44" s="285">
        <f t="shared" si="22"/>
        <v>30000</v>
      </c>
      <c r="AR44" s="295">
        <v>0</v>
      </c>
      <c r="AS44" s="295">
        <v>20000</v>
      </c>
      <c r="AT44" s="316"/>
    </row>
    <row r="45" spans="1:46" s="265" customFormat="1" ht="47.25" customHeight="1">
      <c r="A45" s="298">
        <v>8</v>
      </c>
      <c r="B45" s="317" t="s">
        <v>737</v>
      </c>
      <c r="C45" s="300" t="s">
        <v>679</v>
      </c>
      <c r="D45" s="300" t="s">
        <v>679</v>
      </c>
      <c r="E45" s="300"/>
      <c r="F45" s="312" t="s">
        <v>727</v>
      </c>
      <c r="G45" s="300" t="s">
        <v>738</v>
      </c>
      <c r="H45" s="295">
        <v>12250</v>
      </c>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v>4000</v>
      </c>
      <c r="AG45" s="295"/>
      <c r="AH45" s="295"/>
      <c r="AI45" s="295"/>
      <c r="AJ45" s="295"/>
      <c r="AK45" s="295"/>
      <c r="AL45" s="285">
        <f t="shared" si="3"/>
        <v>0</v>
      </c>
      <c r="AM45" s="295">
        <v>4000</v>
      </c>
      <c r="AN45" s="295"/>
      <c r="AO45" s="295">
        <f t="shared" si="4"/>
        <v>4000</v>
      </c>
      <c r="AP45" s="295"/>
      <c r="AQ45" s="285"/>
      <c r="AR45" s="295">
        <v>4000</v>
      </c>
      <c r="AS45" s="295">
        <v>5000</v>
      </c>
      <c r="AT45" s="316"/>
    </row>
    <row r="46" spans="1:46" s="265" customFormat="1" ht="47.25" customHeight="1">
      <c r="A46" s="290" t="s">
        <v>340</v>
      </c>
      <c r="B46" s="297" t="s">
        <v>682</v>
      </c>
      <c r="C46" s="292"/>
      <c r="D46" s="279"/>
      <c r="E46" s="293"/>
      <c r="F46" s="279"/>
      <c r="G46" s="294"/>
      <c r="H46" s="285">
        <f t="shared" ref="H46:AS46" si="23">SUM(H47:H50)</f>
        <v>119857</v>
      </c>
      <c r="I46" s="285">
        <f t="shared" si="23"/>
        <v>0</v>
      </c>
      <c r="J46" s="285">
        <f t="shared" si="23"/>
        <v>0</v>
      </c>
      <c r="K46" s="285">
        <f t="shared" si="23"/>
        <v>0</v>
      </c>
      <c r="L46" s="285">
        <f t="shared" si="23"/>
        <v>65000</v>
      </c>
      <c r="M46" s="285">
        <f t="shared" si="23"/>
        <v>65000</v>
      </c>
      <c r="N46" s="285">
        <f t="shared" si="23"/>
        <v>0</v>
      </c>
      <c r="O46" s="285">
        <f t="shared" si="23"/>
        <v>0</v>
      </c>
      <c r="P46" s="285">
        <f t="shared" si="23"/>
        <v>0</v>
      </c>
      <c r="Q46" s="285">
        <f t="shared" si="23"/>
        <v>0</v>
      </c>
      <c r="R46" s="285">
        <f t="shared" si="23"/>
        <v>0</v>
      </c>
      <c r="S46" s="285">
        <f t="shared" si="23"/>
        <v>0</v>
      </c>
      <c r="T46" s="285">
        <f t="shared" si="23"/>
        <v>0</v>
      </c>
      <c r="U46" s="285">
        <f t="shared" si="23"/>
        <v>0</v>
      </c>
      <c r="V46" s="285">
        <f t="shared" si="23"/>
        <v>0</v>
      </c>
      <c r="W46" s="285">
        <f t="shared" si="23"/>
        <v>0</v>
      </c>
      <c r="X46" s="285">
        <f t="shared" si="23"/>
        <v>0</v>
      </c>
      <c r="Y46" s="285">
        <f t="shared" si="23"/>
        <v>0</v>
      </c>
      <c r="Z46" s="285">
        <f t="shared" si="23"/>
        <v>0</v>
      </c>
      <c r="AA46" s="285">
        <f t="shared" si="23"/>
        <v>0</v>
      </c>
      <c r="AB46" s="285">
        <f t="shared" si="23"/>
        <v>0</v>
      </c>
      <c r="AC46" s="285">
        <f t="shared" si="23"/>
        <v>0</v>
      </c>
      <c r="AD46" s="285">
        <f t="shared" si="23"/>
        <v>0</v>
      </c>
      <c r="AE46" s="285">
        <f t="shared" si="23"/>
        <v>0</v>
      </c>
      <c r="AF46" s="285">
        <f t="shared" si="23"/>
        <v>0</v>
      </c>
      <c r="AG46" s="285">
        <f t="shared" si="23"/>
        <v>0</v>
      </c>
      <c r="AH46" s="285">
        <f t="shared" si="23"/>
        <v>162682</v>
      </c>
      <c r="AI46" s="285">
        <f t="shared" si="23"/>
        <v>82682</v>
      </c>
      <c r="AJ46" s="285">
        <f t="shared" si="23"/>
        <v>0</v>
      </c>
      <c r="AK46" s="285">
        <f t="shared" si="23"/>
        <v>80000</v>
      </c>
      <c r="AL46" s="285">
        <f t="shared" si="23"/>
        <v>82682</v>
      </c>
      <c r="AM46" s="285">
        <f t="shared" si="23"/>
        <v>0</v>
      </c>
      <c r="AN46" s="285">
        <f t="shared" si="23"/>
        <v>0</v>
      </c>
      <c r="AO46" s="285">
        <f t="shared" si="23"/>
        <v>0</v>
      </c>
      <c r="AP46" s="285">
        <f t="shared" si="23"/>
        <v>162682</v>
      </c>
      <c r="AQ46" s="285">
        <f t="shared" si="23"/>
        <v>82682</v>
      </c>
      <c r="AR46" s="285">
        <f t="shared" si="23"/>
        <v>0</v>
      </c>
      <c r="AS46" s="285">
        <f t="shared" si="23"/>
        <v>77000</v>
      </c>
      <c r="AT46" s="296"/>
    </row>
    <row r="47" spans="1:46" ht="47.25" customHeight="1">
      <c r="A47" s="298">
        <v>1</v>
      </c>
      <c r="B47" s="305" t="s">
        <v>739</v>
      </c>
      <c r="C47" s="300" t="s">
        <v>714</v>
      </c>
      <c r="D47" s="300" t="s">
        <v>705</v>
      </c>
      <c r="E47" s="300"/>
      <c r="F47" s="312" t="s">
        <v>740</v>
      </c>
      <c r="G47" s="300"/>
      <c r="H47" s="295">
        <v>105330</v>
      </c>
      <c r="I47" s="295"/>
      <c r="J47" s="295"/>
      <c r="K47" s="295"/>
      <c r="L47" s="295"/>
      <c r="M47" s="295"/>
      <c r="N47" s="295"/>
      <c r="O47" s="295">
        <f>Q47+S47</f>
        <v>0</v>
      </c>
      <c r="P47" s="295"/>
      <c r="Q47" s="295"/>
      <c r="R47" s="295"/>
      <c r="S47" s="295"/>
      <c r="T47" s="295"/>
      <c r="U47" s="295">
        <f>W47+Y47+AA47+AC47+AE47</f>
        <v>0</v>
      </c>
      <c r="V47" s="295"/>
      <c r="W47" s="295"/>
      <c r="X47" s="295"/>
      <c r="Y47" s="295"/>
      <c r="Z47" s="295"/>
      <c r="AA47" s="295"/>
      <c r="AB47" s="295"/>
      <c r="AC47" s="295"/>
      <c r="AD47" s="295"/>
      <c r="AE47" s="295"/>
      <c r="AF47" s="295"/>
      <c r="AG47" s="295"/>
      <c r="AH47" s="295">
        <f>AI47+AJ47+AK47</f>
        <v>100000</v>
      </c>
      <c r="AI47" s="295">
        <v>35000</v>
      </c>
      <c r="AJ47" s="295"/>
      <c r="AK47" s="295">
        <v>65000</v>
      </c>
      <c r="AL47" s="285">
        <f t="shared" si="3"/>
        <v>35000</v>
      </c>
      <c r="AM47" s="295">
        <f t="shared" ref="AM47:AN51" si="24">N47+T47+AF47</f>
        <v>0</v>
      </c>
      <c r="AN47" s="295">
        <f t="shared" si="24"/>
        <v>0</v>
      </c>
      <c r="AO47" s="285">
        <f t="shared" si="4"/>
        <v>0</v>
      </c>
      <c r="AP47" s="295">
        <f>AH47-AM47</f>
        <v>100000</v>
      </c>
      <c r="AQ47" s="285">
        <f>AP47-AK47</f>
        <v>35000</v>
      </c>
      <c r="AR47" s="295">
        <v>0</v>
      </c>
      <c r="AS47" s="295">
        <v>25000</v>
      </c>
      <c r="AT47" s="316"/>
    </row>
    <row r="48" spans="1:46" s="265" customFormat="1" ht="47.25" customHeight="1">
      <c r="A48" s="298">
        <v>2</v>
      </c>
      <c r="B48" s="314" t="s">
        <v>741</v>
      </c>
      <c r="C48" s="300" t="s">
        <v>742</v>
      </c>
      <c r="D48" s="300" t="s">
        <v>711</v>
      </c>
      <c r="E48" s="300"/>
      <c r="F48" s="312"/>
      <c r="G48" s="300"/>
      <c r="H48" s="295"/>
      <c r="I48" s="295"/>
      <c r="J48" s="295">
        <f>I48*90%</f>
        <v>0</v>
      </c>
      <c r="K48" s="295"/>
      <c r="L48" s="295">
        <v>45000</v>
      </c>
      <c r="M48" s="295">
        <v>45000</v>
      </c>
      <c r="N48" s="295">
        <f>P48+R48</f>
        <v>0</v>
      </c>
      <c r="O48" s="295">
        <f>Q48+S48</f>
        <v>0</v>
      </c>
      <c r="P48" s="295"/>
      <c r="Q48" s="295"/>
      <c r="R48" s="295"/>
      <c r="S48" s="295"/>
      <c r="T48" s="295">
        <f>V48+X48+Z48+AB48+AD48</f>
        <v>0</v>
      </c>
      <c r="U48" s="295">
        <f>W48+Y48+AA48+AC48+AE48</f>
        <v>0</v>
      </c>
      <c r="V48" s="295"/>
      <c r="W48" s="295"/>
      <c r="X48" s="295"/>
      <c r="Y48" s="295"/>
      <c r="Z48" s="295"/>
      <c r="AA48" s="295"/>
      <c r="AB48" s="295"/>
      <c r="AC48" s="295"/>
      <c r="AD48" s="295"/>
      <c r="AE48" s="295"/>
      <c r="AF48" s="295"/>
      <c r="AG48" s="295"/>
      <c r="AH48" s="295">
        <f>AI48+AJ48+AK48</f>
        <v>42682</v>
      </c>
      <c r="AI48" s="295">
        <v>32682</v>
      </c>
      <c r="AJ48" s="295">
        <f>R48+X48+Z48+AB48+AD48</f>
        <v>0</v>
      </c>
      <c r="AK48" s="295">
        <v>10000</v>
      </c>
      <c r="AL48" s="285">
        <f t="shared" si="3"/>
        <v>32682</v>
      </c>
      <c r="AM48" s="295">
        <f t="shared" si="24"/>
        <v>0</v>
      </c>
      <c r="AN48" s="295">
        <f t="shared" si="24"/>
        <v>0</v>
      </c>
      <c r="AO48" s="285">
        <f t="shared" si="4"/>
        <v>0</v>
      </c>
      <c r="AP48" s="295">
        <f>AH48-AM48</f>
        <v>42682</v>
      </c>
      <c r="AQ48" s="285">
        <f>AP48-AK48</f>
        <v>32682</v>
      </c>
      <c r="AR48" s="295">
        <v>0</v>
      </c>
      <c r="AS48" s="295">
        <v>36000</v>
      </c>
      <c r="AT48" s="313"/>
    </row>
    <row r="49" spans="1:47" s="265" customFormat="1" ht="47.25" customHeight="1">
      <c r="A49" s="298">
        <v>3</v>
      </c>
      <c r="B49" s="305" t="s">
        <v>743</v>
      </c>
      <c r="C49" s="300" t="s">
        <v>744</v>
      </c>
      <c r="D49" s="300" t="s">
        <v>744</v>
      </c>
      <c r="E49" s="300"/>
      <c r="F49" s="312" t="s">
        <v>745</v>
      </c>
      <c r="G49" s="300" t="s">
        <v>746</v>
      </c>
      <c r="H49" s="295">
        <v>14527</v>
      </c>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85"/>
      <c r="AM49" s="295"/>
      <c r="AN49" s="295"/>
      <c r="AO49" s="285"/>
      <c r="AP49" s="295"/>
      <c r="AQ49" s="285"/>
      <c r="AR49" s="295">
        <v>0</v>
      </c>
      <c r="AS49" s="295">
        <v>6000</v>
      </c>
      <c r="AT49" s="313"/>
    </row>
    <row r="50" spans="1:47" s="265" customFormat="1" ht="47.25" customHeight="1">
      <c r="A50" s="298">
        <v>4</v>
      </c>
      <c r="B50" s="314" t="s">
        <v>747</v>
      </c>
      <c r="C50" s="300" t="s">
        <v>748</v>
      </c>
      <c r="D50" s="300" t="s">
        <v>711</v>
      </c>
      <c r="E50" s="300"/>
      <c r="F50" s="312"/>
      <c r="G50" s="300"/>
      <c r="H50" s="295"/>
      <c r="I50" s="295"/>
      <c r="J50" s="295">
        <f>I50*90%</f>
        <v>0</v>
      </c>
      <c r="K50" s="295"/>
      <c r="L50" s="295">
        <v>20000</v>
      </c>
      <c r="M50" s="295">
        <v>20000</v>
      </c>
      <c r="N50" s="295">
        <f>P50+R50</f>
        <v>0</v>
      </c>
      <c r="O50" s="295">
        <f>Q50+S50</f>
        <v>0</v>
      </c>
      <c r="P50" s="295"/>
      <c r="Q50" s="295"/>
      <c r="R50" s="295"/>
      <c r="S50" s="295"/>
      <c r="T50" s="295">
        <f>V50+X50+Z50+AB50+AD50</f>
        <v>0</v>
      </c>
      <c r="U50" s="295">
        <f>W50+Y50+AA50+AC50+AE50</f>
        <v>0</v>
      </c>
      <c r="V50" s="295"/>
      <c r="W50" s="295"/>
      <c r="X50" s="295"/>
      <c r="Y50" s="295"/>
      <c r="Z50" s="295"/>
      <c r="AA50" s="295"/>
      <c r="AB50" s="295"/>
      <c r="AC50" s="295"/>
      <c r="AD50" s="295"/>
      <c r="AE50" s="295"/>
      <c r="AF50" s="295"/>
      <c r="AG50" s="295"/>
      <c r="AH50" s="295">
        <f>AI50+AJ50+AK50</f>
        <v>20000</v>
      </c>
      <c r="AI50" s="295">
        <v>15000</v>
      </c>
      <c r="AJ50" s="295">
        <f>R50+X50+Z50+AB50+AD50</f>
        <v>0</v>
      </c>
      <c r="AK50" s="295">
        <v>5000</v>
      </c>
      <c r="AL50" s="285">
        <f t="shared" si="3"/>
        <v>15000</v>
      </c>
      <c r="AM50" s="295">
        <f t="shared" si="24"/>
        <v>0</v>
      </c>
      <c r="AN50" s="295">
        <f t="shared" si="24"/>
        <v>0</v>
      </c>
      <c r="AO50" s="285">
        <f t="shared" si="4"/>
        <v>0</v>
      </c>
      <c r="AP50" s="295">
        <f>AH50-AM50</f>
        <v>20000</v>
      </c>
      <c r="AQ50" s="285">
        <f>AP50-AK50</f>
        <v>15000</v>
      </c>
      <c r="AR50" s="295">
        <v>0</v>
      </c>
      <c r="AS50" s="295">
        <v>10000</v>
      </c>
      <c r="AT50" s="316"/>
    </row>
    <row r="51" spans="1:47" s="265" customFormat="1" ht="47.25" hidden="1" customHeight="1">
      <c r="A51" s="298"/>
      <c r="B51" s="299"/>
      <c r="C51" s="301"/>
      <c r="D51" s="301"/>
      <c r="E51" s="303"/>
      <c r="F51" s="303"/>
      <c r="G51" s="303"/>
      <c r="H51" s="295"/>
      <c r="I51" s="295"/>
      <c r="J51" s="295">
        <f>I51*90%</f>
        <v>0</v>
      </c>
      <c r="K51" s="295"/>
      <c r="L51" s="295"/>
      <c r="M51" s="295"/>
      <c r="N51" s="295">
        <f>P51+R51</f>
        <v>0</v>
      </c>
      <c r="O51" s="295"/>
      <c r="P51" s="295"/>
      <c r="Q51" s="295"/>
      <c r="R51" s="295"/>
      <c r="S51" s="295"/>
      <c r="T51" s="295">
        <f>V51+X51+Z51+AB51+AD51</f>
        <v>0</v>
      </c>
      <c r="U51" s="295">
        <f>W51+Y51+AA51+AC51+AE51</f>
        <v>0</v>
      </c>
      <c r="V51" s="295"/>
      <c r="W51" s="295"/>
      <c r="X51" s="295"/>
      <c r="Y51" s="295"/>
      <c r="Z51" s="295"/>
      <c r="AA51" s="295"/>
      <c r="AB51" s="295"/>
      <c r="AC51" s="295"/>
      <c r="AD51" s="295"/>
      <c r="AE51" s="295"/>
      <c r="AF51" s="295"/>
      <c r="AG51" s="295"/>
      <c r="AH51" s="295">
        <f>AI51+AJ51</f>
        <v>0</v>
      </c>
      <c r="AI51" s="295"/>
      <c r="AJ51" s="295">
        <f>R51+X51+Z51+AB51+AD51</f>
        <v>0</v>
      </c>
      <c r="AK51" s="295"/>
      <c r="AL51" s="285">
        <f t="shared" si="3"/>
        <v>0</v>
      </c>
      <c r="AM51" s="295">
        <f t="shared" si="24"/>
        <v>0</v>
      </c>
      <c r="AN51" s="295">
        <f t="shared" si="24"/>
        <v>0</v>
      </c>
      <c r="AO51" s="285">
        <f t="shared" si="4"/>
        <v>0</v>
      </c>
      <c r="AP51" s="295">
        <f>AH51-AM51</f>
        <v>0</v>
      </c>
      <c r="AQ51" s="285">
        <f>AP51-AK51</f>
        <v>0</v>
      </c>
      <c r="AR51" s="295">
        <v>0</v>
      </c>
      <c r="AS51" s="295"/>
      <c r="AT51" s="296"/>
    </row>
    <row r="52" spans="1:47" s="265" customFormat="1" ht="38.25" customHeight="1">
      <c r="A52" s="290" t="s">
        <v>110</v>
      </c>
      <c r="B52" s="297" t="s">
        <v>749</v>
      </c>
      <c r="C52" s="292"/>
      <c r="D52" s="279"/>
      <c r="E52" s="293"/>
      <c r="F52" s="279"/>
      <c r="G52" s="294"/>
      <c r="H52" s="285">
        <f t="shared" ref="H52:AR52" si="25">H53+H62</f>
        <v>177094</v>
      </c>
      <c r="I52" s="285">
        <f t="shared" si="25"/>
        <v>0</v>
      </c>
      <c r="J52" s="285">
        <f t="shared" si="25"/>
        <v>0</v>
      </c>
      <c r="K52" s="285">
        <f t="shared" si="25"/>
        <v>0</v>
      </c>
      <c r="L52" s="285">
        <f t="shared" si="25"/>
        <v>116500</v>
      </c>
      <c r="M52" s="285">
        <f t="shared" si="25"/>
        <v>116500</v>
      </c>
      <c r="N52" s="285">
        <f t="shared" si="25"/>
        <v>11000</v>
      </c>
      <c r="O52" s="285">
        <f t="shared" si="25"/>
        <v>5930</v>
      </c>
      <c r="P52" s="285">
        <f t="shared" si="25"/>
        <v>11000</v>
      </c>
      <c r="Q52" s="285">
        <f t="shared" si="25"/>
        <v>5930</v>
      </c>
      <c r="R52" s="285">
        <f t="shared" si="25"/>
        <v>0</v>
      </c>
      <c r="S52" s="285">
        <f t="shared" si="25"/>
        <v>0</v>
      </c>
      <c r="T52" s="285">
        <f t="shared" si="25"/>
        <v>22950</v>
      </c>
      <c r="U52" s="285">
        <f t="shared" si="25"/>
        <v>3143</v>
      </c>
      <c r="V52" s="285">
        <f t="shared" si="25"/>
        <v>22950</v>
      </c>
      <c r="W52" s="285">
        <f t="shared" si="25"/>
        <v>3143</v>
      </c>
      <c r="X52" s="285">
        <f t="shared" si="25"/>
        <v>0</v>
      </c>
      <c r="Y52" s="285">
        <f t="shared" si="25"/>
        <v>0</v>
      </c>
      <c r="Z52" s="285">
        <f t="shared" si="25"/>
        <v>0</v>
      </c>
      <c r="AA52" s="285">
        <f t="shared" si="25"/>
        <v>0</v>
      </c>
      <c r="AB52" s="285">
        <f t="shared" si="25"/>
        <v>0</v>
      </c>
      <c r="AC52" s="285">
        <f t="shared" si="25"/>
        <v>0</v>
      </c>
      <c r="AD52" s="285">
        <f t="shared" si="25"/>
        <v>0</v>
      </c>
      <c r="AE52" s="285">
        <f t="shared" si="25"/>
        <v>0</v>
      </c>
      <c r="AF52" s="285">
        <f t="shared" si="25"/>
        <v>34800</v>
      </c>
      <c r="AG52" s="285">
        <f t="shared" si="25"/>
        <v>519</v>
      </c>
      <c r="AH52" s="285">
        <f t="shared" si="25"/>
        <v>156300</v>
      </c>
      <c r="AI52" s="285">
        <f t="shared" si="25"/>
        <v>156300</v>
      </c>
      <c r="AJ52" s="285">
        <f t="shared" si="25"/>
        <v>0</v>
      </c>
      <c r="AK52" s="285">
        <f t="shared" si="25"/>
        <v>0</v>
      </c>
      <c r="AL52" s="285">
        <f t="shared" si="25"/>
        <v>156300</v>
      </c>
      <c r="AM52" s="285">
        <f t="shared" si="25"/>
        <v>68250</v>
      </c>
      <c r="AN52" s="285">
        <f t="shared" si="25"/>
        <v>9592</v>
      </c>
      <c r="AO52" s="285">
        <f t="shared" si="25"/>
        <v>68250</v>
      </c>
      <c r="AP52" s="285">
        <f t="shared" si="25"/>
        <v>88050</v>
      </c>
      <c r="AQ52" s="285">
        <f t="shared" si="25"/>
        <v>88050</v>
      </c>
      <c r="AR52" s="285">
        <f t="shared" si="25"/>
        <v>68250</v>
      </c>
      <c r="AS52" s="285">
        <f>AS53+AS62</f>
        <v>37100</v>
      </c>
      <c r="AT52" s="296"/>
    </row>
    <row r="53" spans="1:47" s="265" customFormat="1" ht="47.25" customHeight="1">
      <c r="A53" s="279" t="s">
        <v>337</v>
      </c>
      <c r="B53" s="297" t="s">
        <v>661</v>
      </c>
      <c r="C53" s="287"/>
      <c r="D53" s="288"/>
      <c r="E53" s="288"/>
      <c r="F53" s="282"/>
      <c r="G53" s="282"/>
      <c r="H53" s="285">
        <f t="shared" ref="H53:AR53" si="26">SUM(H54:H61)</f>
        <v>161364</v>
      </c>
      <c r="I53" s="285">
        <f t="shared" si="26"/>
        <v>0</v>
      </c>
      <c r="J53" s="285">
        <f t="shared" si="26"/>
        <v>0</v>
      </c>
      <c r="K53" s="285">
        <f t="shared" si="26"/>
        <v>0</v>
      </c>
      <c r="L53" s="285">
        <f t="shared" si="26"/>
        <v>116500</v>
      </c>
      <c r="M53" s="285">
        <f t="shared" si="26"/>
        <v>116500</v>
      </c>
      <c r="N53" s="285">
        <f t="shared" si="26"/>
        <v>11000</v>
      </c>
      <c r="O53" s="285">
        <f t="shared" si="26"/>
        <v>5930</v>
      </c>
      <c r="P53" s="285">
        <f t="shared" si="26"/>
        <v>11000</v>
      </c>
      <c r="Q53" s="285">
        <f t="shared" si="26"/>
        <v>5930</v>
      </c>
      <c r="R53" s="285">
        <f t="shared" si="26"/>
        <v>0</v>
      </c>
      <c r="S53" s="285">
        <f t="shared" si="26"/>
        <v>0</v>
      </c>
      <c r="T53" s="285">
        <f t="shared" si="26"/>
        <v>22950</v>
      </c>
      <c r="U53" s="285">
        <f t="shared" si="26"/>
        <v>3143</v>
      </c>
      <c r="V53" s="285">
        <f t="shared" si="26"/>
        <v>22950</v>
      </c>
      <c r="W53" s="285">
        <f t="shared" si="26"/>
        <v>3143</v>
      </c>
      <c r="X53" s="285">
        <f t="shared" si="26"/>
        <v>0</v>
      </c>
      <c r="Y53" s="285">
        <f t="shared" si="26"/>
        <v>0</v>
      </c>
      <c r="Z53" s="285">
        <f t="shared" si="26"/>
        <v>0</v>
      </c>
      <c r="AA53" s="285">
        <f t="shared" si="26"/>
        <v>0</v>
      </c>
      <c r="AB53" s="285">
        <f t="shared" si="26"/>
        <v>0</v>
      </c>
      <c r="AC53" s="285">
        <f t="shared" si="26"/>
        <v>0</v>
      </c>
      <c r="AD53" s="285">
        <f t="shared" si="26"/>
        <v>0</v>
      </c>
      <c r="AE53" s="285">
        <f t="shared" si="26"/>
        <v>0</v>
      </c>
      <c r="AF53" s="285">
        <f t="shared" si="26"/>
        <v>34300</v>
      </c>
      <c r="AG53" s="285">
        <f t="shared" si="26"/>
        <v>519</v>
      </c>
      <c r="AH53" s="285">
        <f t="shared" si="26"/>
        <v>152700</v>
      </c>
      <c r="AI53" s="285">
        <f t="shared" si="26"/>
        <v>152700</v>
      </c>
      <c r="AJ53" s="285">
        <f t="shared" si="26"/>
        <v>0</v>
      </c>
      <c r="AK53" s="285">
        <f t="shared" si="26"/>
        <v>0</v>
      </c>
      <c r="AL53" s="285">
        <f t="shared" si="26"/>
        <v>152700</v>
      </c>
      <c r="AM53" s="285">
        <f t="shared" si="26"/>
        <v>68250</v>
      </c>
      <c r="AN53" s="285">
        <f t="shared" si="26"/>
        <v>9592</v>
      </c>
      <c r="AO53" s="285">
        <f t="shared" si="26"/>
        <v>68250</v>
      </c>
      <c r="AP53" s="285">
        <f t="shared" si="26"/>
        <v>84450</v>
      </c>
      <c r="AQ53" s="285">
        <f t="shared" si="26"/>
        <v>84450</v>
      </c>
      <c r="AR53" s="285">
        <f t="shared" si="26"/>
        <v>68250</v>
      </c>
      <c r="AS53" s="285">
        <f>SUM(AS54:AS61)</f>
        <v>30500</v>
      </c>
      <c r="AT53" s="315"/>
    </row>
    <row r="54" spans="1:47" ht="47.25" customHeight="1">
      <c r="A54" s="298">
        <v>1</v>
      </c>
      <c r="B54" s="299" t="s">
        <v>750</v>
      </c>
      <c r="C54" s="301" t="s">
        <v>751</v>
      </c>
      <c r="D54" s="301" t="s">
        <v>752</v>
      </c>
      <c r="E54" s="302" t="s">
        <v>753</v>
      </c>
      <c r="F54" s="298" t="s">
        <v>754</v>
      </c>
      <c r="G54" s="307" t="s">
        <v>755</v>
      </c>
      <c r="H54" s="295">
        <v>31429</v>
      </c>
      <c r="I54" s="295"/>
      <c r="J54" s="295">
        <f t="shared" ref="J54:J61" si="27">I54*90%</f>
        <v>0</v>
      </c>
      <c r="K54" s="295"/>
      <c r="L54" s="295">
        <v>13000</v>
      </c>
      <c r="M54" s="295">
        <v>13000</v>
      </c>
      <c r="N54" s="295">
        <f>P54+R54</f>
        <v>11000</v>
      </c>
      <c r="O54" s="295">
        <f t="shared" ref="O54:O66" si="28">Q54+S54</f>
        <v>5930</v>
      </c>
      <c r="P54" s="295">
        <v>11000</v>
      </c>
      <c r="Q54" s="295">
        <v>5930</v>
      </c>
      <c r="R54" s="295"/>
      <c r="S54" s="295"/>
      <c r="T54" s="295">
        <f t="shared" ref="T54:U66" si="29">V54+X54+Z54+AB54+AD54</f>
        <v>0</v>
      </c>
      <c r="U54" s="295">
        <f t="shared" si="29"/>
        <v>0</v>
      </c>
      <c r="V54" s="295">
        <v>0</v>
      </c>
      <c r="W54" s="295"/>
      <c r="X54" s="295">
        <v>0</v>
      </c>
      <c r="Y54" s="295"/>
      <c r="Z54" s="295"/>
      <c r="AA54" s="295"/>
      <c r="AB54" s="295"/>
      <c r="AC54" s="295"/>
      <c r="AD54" s="295"/>
      <c r="AE54" s="295"/>
      <c r="AF54" s="295">
        <v>10000</v>
      </c>
      <c r="AG54" s="295"/>
      <c r="AH54" s="295">
        <f>AI54+AJ54+AK54</f>
        <v>30000</v>
      </c>
      <c r="AI54" s="295">
        <v>30000</v>
      </c>
      <c r="AJ54" s="295">
        <f>R54+X54+Z54+AB54+AD54</f>
        <v>0</v>
      </c>
      <c r="AK54" s="295"/>
      <c r="AL54" s="285">
        <f t="shared" si="3"/>
        <v>30000</v>
      </c>
      <c r="AM54" s="295">
        <f t="shared" ref="AM54:AN83" si="30">N54+T54+AF54</f>
        <v>21000</v>
      </c>
      <c r="AN54" s="295">
        <f t="shared" si="30"/>
        <v>5930</v>
      </c>
      <c r="AO54" s="295">
        <f t="shared" si="4"/>
        <v>21000</v>
      </c>
      <c r="AP54" s="295">
        <f>AH54-AM54</f>
        <v>9000</v>
      </c>
      <c r="AQ54" s="285">
        <f t="shared" ref="AQ54:AQ121" si="31">AP54-AK54</f>
        <v>9000</v>
      </c>
      <c r="AR54" s="295">
        <v>21000</v>
      </c>
      <c r="AS54" s="295">
        <v>3000</v>
      </c>
      <c r="AT54" s="318"/>
    </row>
    <row r="55" spans="1:47" s="265" customFormat="1" ht="47.25" customHeight="1">
      <c r="A55" s="298">
        <v>2</v>
      </c>
      <c r="B55" s="314" t="s">
        <v>756</v>
      </c>
      <c r="C55" s="300" t="s">
        <v>757</v>
      </c>
      <c r="D55" s="300" t="s">
        <v>675</v>
      </c>
      <c r="E55" s="300"/>
      <c r="F55" s="312" t="s">
        <v>758</v>
      </c>
      <c r="G55" s="300" t="s">
        <v>759</v>
      </c>
      <c r="H55" s="295">
        <v>75707</v>
      </c>
      <c r="I55" s="295"/>
      <c r="J55" s="295">
        <f t="shared" si="27"/>
        <v>0</v>
      </c>
      <c r="K55" s="295"/>
      <c r="L55" s="295">
        <v>70000</v>
      </c>
      <c r="M55" s="295">
        <v>70000</v>
      </c>
      <c r="N55" s="295">
        <f>P55+R55</f>
        <v>0</v>
      </c>
      <c r="O55" s="295">
        <f t="shared" si="28"/>
        <v>0</v>
      </c>
      <c r="P55" s="295">
        <v>0</v>
      </c>
      <c r="Q55" s="295"/>
      <c r="R55" s="295"/>
      <c r="S55" s="295"/>
      <c r="T55" s="295">
        <f t="shared" si="29"/>
        <v>20000</v>
      </c>
      <c r="U55" s="295">
        <f t="shared" si="29"/>
        <v>207</v>
      </c>
      <c r="V55" s="295">
        <v>20000</v>
      </c>
      <c r="W55" s="295">
        <v>207</v>
      </c>
      <c r="X55" s="295">
        <v>0</v>
      </c>
      <c r="Y55" s="295"/>
      <c r="Z55" s="295"/>
      <c r="AA55" s="295"/>
      <c r="AB55" s="295"/>
      <c r="AC55" s="295"/>
      <c r="AD55" s="295"/>
      <c r="AE55" s="295"/>
      <c r="AF55" s="295">
        <v>9000</v>
      </c>
      <c r="AG55" s="295"/>
      <c r="AH55" s="295">
        <f>AI55+AJ55+AK55</f>
        <v>72000</v>
      </c>
      <c r="AI55" s="295">
        <v>72000</v>
      </c>
      <c r="AJ55" s="295">
        <f>R55+X55+Z55+AB55+AD55</f>
        <v>0</v>
      </c>
      <c r="AK55" s="295"/>
      <c r="AL55" s="285">
        <f t="shared" si="3"/>
        <v>72000</v>
      </c>
      <c r="AM55" s="295">
        <f t="shared" si="30"/>
        <v>29000</v>
      </c>
      <c r="AN55" s="295">
        <f t="shared" si="30"/>
        <v>207</v>
      </c>
      <c r="AO55" s="295">
        <f t="shared" si="4"/>
        <v>29000</v>
      </c>
      <c r="AP55" s="295">
        <f>AH55-AM55</f>
        <v>43000</v>
      </c>
      <c r="AQ55" s="285">
        <f t="shared" si="31"/>
        <v>43000</v>
      </c>
      <c r="AR55" s="295">
        <v>29000</v>
      </c>
      <c r="AS55" s="295">
        <v>10000</v>
      </c>
      <c r="AT55" s="318"/>
    </row>
    <row r="56" spans="1:47" s="265" customFormat="1" ht="47.25" customHeight="1">
      <c r="A56" s="298">
        <v>3</v>
      </c>
      <c r="B56" s="314" t="s">
        <v>760</v>
      </c>
      <c r="C56" s="300" t="s">
        <v>761</v>
      </c>
      <c r="D56" s="300" t="s">
        <v>675</v>
      </c>
      <c r="E56" s="300"/>
      <c r="F56" s="312" t="s">
        <v>758</v>
      </c>
      <c r="G56" s="300" t="s">
        <v>762</v>
      </c>
      <c r="H56" s="295">
        <v>7599</v>
      </c>
      <c r="I56" s="295"/>
      <c r="J56" s="295">
        <f t="shared" si="27"/>
        <v>0</v>
      </c>
      <c r="K56" s="295"/>
      <c r="L56" s="295">
        <v>7000</v>
      </c>
      <c r="M56" s="295">
        <v>7000</v>
      </c>
      <c r="N56" s="295">
        <f>P56+R56</f>
        <v>0</v>
      </c>
      <c r="O56" s="295">
        <f t="shared" si="28"/>
        <v>0</v>
      </c>
      <c r="P56" s="295">
        <v>0</v>
      </c>
      <c r="Q56" s="295"/>
      <c r="R56" s="295"/>
      <c r="S56" s="295"/>
      <c r="T56" s="295">
        <f t="shared" si="29"/>
        <v>2950</v>
      </c>
      <c r="U56" s="295">
        <f t="shared" si="29"/>
        <v>2936</v>
      </c>
      <c r="V56" s="295">
        <v>2950</v>
      </c>
      <c r="W56" s="295">
        <v>2936</v>
      </c>
      <c r="X56" s="295">
        <v>0</v>
      </c>
      <c r="Y56" s="295"/>
      <c r="Z56" s="295"/>
      <c r="AA56" s="295"/>
      <c r="AB56" s="295"/>
      <c r="AC56" s="295"/>
      <c r="AD56" s="295"/>
      <c r="AE56" s="295"/>
      <c r="AF56" s="295">
        <v>2500</v>
      </c>
      <c r="AG56" s="295">
        <v>519</v>
      </c>
      <c r="AH56" s="295">
        <f>AI56+AJ56+AK56</f>
        <v>7000</v>
      </c>
      <c r="AI56" s="295">
        <v>7000</v>
      </c>
      <c r="AJ56" s="295">
        <f>R56+X56+Z56+AB56+AD56</f>
        <v>0</v>
      </c>
      <c r="AK56" s="295"/>
      <c r="AL56" s="285">
        <f t="shared" si="3"/>
        <v>7000</v>
      </c>
      <c r="AM56" s="295">
        <f t="shared" si="30"/>
        <v>5450</v>
      </c>
      <c r="AN56" s="295">
        <f t="shared" si="30"/>
        <v>3455</v>
      </c>
      <c r="AO56" s="295">
        <f t="shared" si="4"/>
        <v>5450</v>
      </c>
      <c r="AP56" s="295">
        <f>AH56-AM56</f>
        <v>1550</v>
      </c>
      <c r="AQ56" s="285">
        <f t="shared" si="31"/>
        <v>1550</v>
      </c>
      <c r="AR56" s="295">
        <v>5450</v>
      </c>
      <c r="AS56" s="295">
        <v>1000</v>
      </c>
      <c r="AT56" s="318"/>
    </row>
    <row r="57" spans="1:47" s="265" customFormat="1" ht="47.25" customHeight="1">
      <c r="A57" s="298">
        <v>4</v>
      </c>
      <c r="B57" s="314" t="s">
        <v>763</v>
      </c>
      <c r="C57" s="300" t="s">
        <v>757</v>
      </c>
      <c r="D57" s="300" t="s">
        <v>675</v>
      </c>
      <c r="E57" s="300"/>
      <c r="F57" s="312" t="s">
        <v>727</v>
      </c>
      <c r="G57" s="300" t="s">
        <v>764</v>
      </c>
      <c r="H57" s="295">
        <v>29750</v>
      </c>
      <c r="I57" s="295"/>
      <c r="J57" s="295">
        <f t="shared" si="27"/>
        <v>0</v>
      </c>
      <c r="K57" s="295"/>
      <c r="L57" s="295">
        <v>26500</v>
      </c>
      <c r="M57" s="295">
        <v>26500</v>
      </c>
      <c r="N57" s="295">
        <f>P57+R57</f>
        <v>0</v>
      </c>
      <c r="O57" s="295">
        <f t="shared" si="28"/>
        <v>0</v>
      </c>
      <c r="P57" s="295">
        <v>0</v>
      </c>
      <c r="Q57" s="295"/>
      <c r="R57" s="295"/>
      <c r="S57" s="295"/>
      <c r="T57" s="295">
        <f t="shared" si="29"/>
        <v>0</v>
      </c>
      <c r="U57" s="295">
        <f t="shared" si="29"/>
        <v>0</v>
      </c>
      <c r="V57" s="295">
        <v>0</v>
      </c>
      <c r="W57" s="295"/>
      <c r="X57" s="295">
        <v>0</v>
      </c>
      <c r="Y57" s="295"/>
      <c r="Z57" s="295"/>
      <c r="AA57" s="295"/>
      <c r="AB57" s="295"/>
      <c r="AC57" s="295"/>
      <c r="AD57" s="295"/>
      <c r="AE57" s="295"/>
      <c r="AF57" s="295">
        <v>6500</v>
      </c>
      <c r="AG57" s="295"/>
      <c r="AH57" s="295">
        <f>AI57+AJ57+AK57</f>
        <v>28500</v>
      </c>
      <c r="AI57" s="295">
        <v>28500</v>
      </c>
      <c r="AJ57" s="295">
        <f>R57+X57+Z57+AB57+AD57</f>
        <v>0</v>
      </c>
      <c r="AK57" s="295"/>
      <c r="AL57" s="285">
        <f t="shared" si="3"/>
        <v>28500</v>
      </c>
      <c r="AM57" s="295">
        <f t="shared" si="30"/>
        <v>6500</v>
      </c>
      <c r="AN57" s="295">
        <f t="shared" si="30"/>
        <v>0</v>
      </c>
      <c r="AO57" s="295">
        <f t="shared" si="4"/>
        <v>6500</v>
      </c>
      <c r="AP57" s="295">
        <f>AH57-AM57</f>
        <v>22000</v>
      </c>
      <c r="AQ57" s="285">
        <f t="shared" si="31"/>
        <v>22000</v>
      </c>
      <c r="AR57" s="295">
        <v>6500</v>
      </c>
      <c r="AS57" s="295">
        <v>10000</v>
      </c>
      <c r="AT57" s="318"/>
    </row>
    <row r="58" spans="1:47" ht="47.25" customHeight="1">
      <c r="A58" s="298">
        <v>5</v>
      </c>
      <c r="B58" s="305" t="s">
        <v>765</v>
      </c>
      <c r="C58" s="319" t="s">
        <v>766</v>
      </c>
      <c r="D58" s="300" t="s">
        <v>675</v>
      </c>
      <c r="E58" s="300"/>
      <c r="F58" s="300" t="s">
        <v>676</v>
      </c>
      <c r="G58" s="300" t="s">
        <v>767</v>
      </c>
      <c r="H58" s="295">
        <v>5000</v>
      </c>
      <c r="I58" s="295"/>
      <c r="J58" s="295">
        <f t="shared" si="27"/>
        <v>0</v>
      </c>
      <c r="K58" s="295"/>
      <c r="L58" s="295"/>
      <c r="M58" s="295"/>
      <c r="N58" s="295"/>
      <c r="O58" s="295">
        <f t="shared" si="28"/>
        <v>0</v>
      </c>
      <c r="P58" s="295"/>
      <c r="Q58" s="295"/>
      <c r="R58" s="295"/>
      <c r="S58" s="295"/>
      <c r="T58" s="295">
        <f t="shared" si="29"/>
        <v>0</v>
      </c>
      <c r="U58" s="295">
        <f>W58+Y58+AA58+AC58+AE58</f>
        <v>0</v>
      </c>
      <c r="V58" s="295"/>
      <c r="W58" s="295"/>
      <c r="X58" s="295"/>
      <c r="Y58" s="295"/>
      <c r="Z58" s="295"/>
      <c r="AA58" s="295"/>
      <c r="AB58" s="295"/>
      <c r="AC58" s="295"/>
      <c r="AD58" s="295"/>
      <c r="AE58" s="295"/>
      <c r="AF58" s="295">
        <v>2000</v>
      </c>
      <c r="AG58" s="295"/>
      <c r="AH58" s="295">
        <f t="shared" ref="AH58:AH66" si="32">AI58+AJ58+AK58</f>
        <v>4500</v>
      </c>
      <c r="AI58" s="295">
        <v>4500</v>
      </c>
      <c r="AJ58" s="295">
        <f t="shared" ref="AJ58:AJ69" si="33">R58+X58+Z58+AB58+AD58</f>
        <v>0</v>
      </c>
      <c r="AK58" s="295"/>
      <c r="AL58" s="285">
        <f t="shared" si="3"/>
        <v>4500</v>
      </c>
      <c r="AM58" s="295">
        <f t="shared" si="30"/>
        <v>2000</v>
      </c>
      <c r="AN58" s="295">
        <f t="shared" si="30"/>
        <v>0</v>
      </c>
      <c r="AO58" s="295">
        <f t="shared" si="4"/>
        <v>2000</v>
      </c>
      <c r="AP58" s="295">
        <f t="shared" ref="AP58:AP69" si="34">AH58-AM58</f>
        <v>2500</v>
      </c>
      <c r="AQ58" s="285">
        <f t="shared" si="31"/>
        <v>2500</v>
      </c>
      <c r="AR58" s="295">
        <v>2000</v>
      </c>
      <c r="AS58" s="295">
        <v>2000</v>
      </c>
      <c r="AT58" s="304"/>
    </row>
    <row r="59" spans="1:47" ht="47.25" customHeight="1">
      <c r="A59" s="298">
        <v>6</v>
      </c>
      <c r="B59" s="305" t="s">
        <v>768</v>
      </c>
      <c r="C59" s="319" t="s">
        <v>761</v>
      </c>
      <c r="D59" s="300" t="s">
        <v>675</v>
      </c>
      <c r="E59" s="300"/>
      <c r="F59" s="300" t="s">
        <v>676</v>
      </c>
      <c r="G59" s="300" t="s">
        <v>769</v>
      </c>
      <c r="H59" s="295">
        <v>4000</v>
      </c>
      <c r="I59" s="295"/>
      <c r="J59" s="295">
        <f t="shared" si="27"/>
        <v>0</v>
      </c>
      <c r="K59" s="295"/>
      <c r="L59" s="295"/>
      <c r="M59" s="295"/>
      <c r="N59" s="295"/>
      <c r="O59" s="295">
        <f t="shared" si="28"/>
        <v>0</v>
      </c>
      <c r="P59" s="295"/>
      <c r="Q59" s="295"/>
      <c r="R59" s="295"/>
      <c r="S59" s="295"/>
      <c r="T59" s="295">
        <f t="shared" si="29"/>
        <v>0</v>
      </c>
      <c r="U59" s="295">
        <f>W59+Y59+AA59+AC59+AE59</f>
        <v>0</v>
      </c>
      <c r="V59" s="295"/>
      <c r="W59" s="295"/>
      <c r="X59" s="295"/>
      <c r="Y59" s="295"/>
      <c r="Z59" s="295"/>
      <c r="AA59" s="295"/>
      <c r="AB59" s="295"/>
      <c r="AC59" s="295"/>
      <c r="AD59" s="295"/>
      <c r="AE59" s="295"/>
      <c r="AF59" s="295">
        <v>1000</v>
      </c>
      <c r="AG59" s="295"/>
      <c r="AH59" s="295">
        <f t="shared" si="32"/>
        <v>3600</v>
      </c>
      <c r="AI59" s="295">
        <v>3600</v>
      </c>
      <c r="AJ59" s="295">
        <f t="shared" si="33"/>
        <v>0</v>
      </c>
      <c r="AK59" s="295"/>
      <c r="AL59" s="285">
        <f t="shared" si="3"/>
        <v>3600</v>
      </c>
      <c r="AM59" s="295">
        <f t="shared" si="30"/>
        <v>1000</v>
      </c>
      <c r="AN59" s="295">
        <f t="shared" si="30"/>
        <v>0</v>
      </c>
      <c r="AO59" s="295">
        <f t="shared" si="4"/>
        <v>1000</v>
      </c>
      <c r="AP59" s="295">
        <f t="shared" si="34"/>
        <v>2600</v>
      </c>
      <c r="AQ59" s="285">
        <f t="shared" si="31"/>
        <v>2600</v>
      </c>
      <c r="AR59" s="295">
        <v>1000</v>
      </c>
      <c r="AS59" s="295">
        <v>1000</v>
      </c>
      <c r="AT59" s="304"/>
    </row>
    <row r="60" spans="1:47" ht="47.25" customHeight="1">
      <c r="A60" s="298">
        <v>7</v>
      </c>
      <c r="B60" s="305" t="s">
        <v>770</v>
      </c>
      <c r="C60" s="319" t="s">
        <v>771</v>
      </c>
      <c r="D60" s="300" t="s">
        <v>675</v>
      </c>
      <c r="E60" s="300"/>
      <c r="F60" s="300" t="s">
        <v>676</v>
      </c>
      <c r="G60" s="300" t="s">
        <v>772</v>
      </c>
      <c r="H60" s="295">
        <v>3200</v>
      </c>
      <c r="I60" s="295"/>
      <c r="J60" s="295">
        <f t="shared" si="27"/>
        <v>0</v>
      </c>
      <c r="K60" s="295"/>
      <c r="L60" s="295"/>
      <c r="M60" s="295"/>
      <c r="N60" s="295"/>
      <c r="O60" s="295">
        <f t="shared" si="28"/>
        <v>0</v>
      </c>
      <c r="P60" s="295"/>
      <c r="Q60" s="295"/>
      <c r="R60" s="295"/>
      <c r="S60" s="295"/>
      <c r="T60" s="295">
        <f t="shared" si="29"/>
        <v>0</v>
      </c>
      <c r="U60" s="295">
        <f>W60+Y60+AA60+AC60+AE60</f>
        <v>0</v>
      </c>
      <c r="V60" s="295"/>
      <c r="W60" s="295"/>
      <c r="X60" s="295"/>
      <c r="Y60" s="295"/>
      <c r="Z60" s="295"/>
      <c r="AA60" s="295"/>
      <c r="AB60" s="295"/>
      <c r="AC60" s="295"/>
      <c r="AD60" s="295"/>
      <c r="AE60" s="295"/>
      <c r="AF60" s="295">
        <v>1500</v>
      </c>
      <c r="AG60" s="295"/>
      <c r="AH60" s="295">
        <f t="shared" si="32"/>
        <v>2900</v>
      </c>
      <c r="AI60" s="295">
        <v>2900</v>
      </c>
      <c r="AJ60" s="295">
        <f t="shared" si="33"/>
        <v>0</v>
      </c>
      <c r="AK60" s="295"/>
      <c r="AL60" s="285">
        <f t="shared" si="3"/>
        <v>2900</v>
      </c>
      <c r="AM60" s="295">
        <f t="shared" si="30"/>
        <v>1500</v>
      </c>
      <c r="AN60" s="295">
        <f t="shared" si="30"/>
        <v>0</v>
      </c>
      <c r="AO60" s="295">
        <f t="shared" si="4"/>
        <v>1500</v>
      </c>
      <c r="AP60" s="295">
        <f t="shared" si="34"/>
        <v>1400</v>
      </c>
      <c r="AQ60" s="285">
        <f t="shared" si="31"/>
        <v>1400</v>
      </c>
      <c r="AR60" s="295">
        <v>1500</v>
      </c>
      <c r="AS60" s="295">
        <v>1000</v>
      </c>
      <c r="AT60" s="304"/>
    </row>
    <row r="61" spans="1:47" ht="47.25" customHeight="1">
      <c r="A61" s="298">
        <v>8</v>
      </c>
      <c r="B61" s="305" t="s">
        <v>773</v>
      </c>
      <c r="C61" s="319" t="s">
        <v>774</v>
      </c>
      <c r="D61" s="300" t="s">
        <v>675</v>
      </c>
      <c r="E61" s="300"/>
      <c r="F61" s="300" t="s">
        <v>676</v>
      </c>
      <c r="G61" s="300" t="s">
        <v>775</v>
      </c>
      <c r="H61" s="295">
        <v>4679</v>
      </c>
      <c r="I61" s="295"/>
      <c r="J61" s="295">
        <f t="shared" si="27"/>
        <v>0</v>
      </c>
      <c r="K61" s="295"/>
      <c r="L61" s="295"/>
      <c r="M61" s="295"/>
      <c r="N61" s="295"/>
      <c r="O61" s="295">
        <f t="shared" si="28"/>
        <v>0</v>
      </c>
      <c r="P61" s="295"/>
      <c r="Q61" s="295"/>
      <c r="R61" s="295"/>
      <c r="S61" s="295"/>
      <c r="T61" s="295">
        <f t="shared" si="29"/>
        <v>0</v>
      </c>
      <c r="U61" s="295">
        <f>W61+Y61+AA61+AC61+AE61</f>
        <v>0</v>
      </c>
      <c r="V61" s="295"/>
      <c r="W61" s="295"/>
      <c r="X61" s="295"/>
      <c r="Y61" s="295"/>
      <c r="Z61" s="295"/>
      <c r="AA61" s="295"/>
      <c r="AB61" s="295"/>
      <c r="AC61" s="295"/>
      <c r="AD61" s="295"/>
      <c r="AE61" s="295"/>
      <c r="AF61" s="295">
        <v>1800</v>
      </c>
      <c r="AG61" s="295"/>
      <c r="AH61" s="295">
        <f t="shared" si="32"/>
        <v>4200</v>
      </c>
      <c r="AI61" s="295">
        <v>4200</v>
      </c>
      <c r="AJ61" s="295">
        <f t="shared" si="33"/>
        <v>0</v>
      </c>
      <c r="AK61" s="295"/>
      <c r="AL61" s="285">
        <f t="shared" si="3"/>
        <v>4200</v>
      </c>
      <c r="AM61" s="295">
        <f t="shared" si="30"/>
        <v>1800</v>
      </c>
      <c r="AN61" s="295">
        <f t="shared" si="30"/>
        <v>0</v>
      </c>
      <c r="AO61" s="295">
        <f t="shared" si="4"/>
        <v>1800</v>
      </c>
      <c r="AP61" s="295">
        <f t="shared" si="34"/>
        <v>2400</v>
      </c>
      <c r="AQ61" s="285">
        <f t="shared" si="31"/>
        <v>2400</v>
      </c>
      <c r="AR61" s="295">
        <v>1800</v>
      </c>
      <c r="AS61" s="295">
        <v>2500</v>
      </c>
      <c r="AT61" s="304"/>
      <c r="AU61" s="304" t="s">
        <v>776</v>
      </c>
    </row>
    <row r="62" spans="1:47" s="265" customFormat="1" ht="47.25" customHeight="1">
      <c r="A62" s="290" t="s">
        <v>340</v>
      </c>
      <c r="B62" s="297" t="s">
        <v>682</v>
      </c>
      <c r="C62" s="292"/>
      <c r="D62" s="279"/>
      <c r="E62" s="293"/>
      <c r="F62" s="279"/>
      <c r="G62" s="294"/>
      <c r="H62" s="285">
        <f t="shared" ref="H62:AR62" si="35">SUM(H63:H65)</f>
        <v>15730</v>
      </c>
      <c r="I62" s="285">
        <f t="shared" si="35"/>
        <v>0</v>
      </c>
      <c r="J62" s="285">
        <f t="shared" si="35"/>
        <v>0</v>
      </c>
      <c r="K62" s="285">
        <f t="shared" si="35"/>
        <v>0</v>
      </c>
      <c r="L62" s="285">
        <f t="shared" si="35"/>
        <v>0</v>
      </c>
      <c r="M62" s="285">
        <f t="shared" si="35"/>
        <v>0</v>
      </c>
      <c r="N62" s="285">
        <f t="shared" si="35"/>
        <v>0</v>
      </c>
      <c r="O62" s="285">
        <f t="shared" si="35"/>
        <v>0</v>
      </c>
      <c r="P62" s="285">
        <f t="shared" si="35"/>
        <v>0</v>
      </c>
      <c r="Q62" s="285">
        <f t="shared" si="35"/>
        <v>0</v>
      </c>
      <c r="R62" s="285">
        <f t="shared" si="35"/>
        <v>0</v>
      </c>
      <c r="S62" s="285">
        <f t="shared" si="35"/>
        <v>0</v>
      </c>
      <c r="T62" s="285">
        <f t="shared" si="35"/>
        <v>0</v>
      </c>
      <c r="U62" s="285">
        <f t="shared" si="35"/>
        <v>0</v>
      </c>
      <c r="V62" s="285">
        <f t="shared" si="35"/>
        <v>0</v>
      </c>
      <c r="W62" s="285">
        <f t="shared" si="35"/>
        <v>0</v>
      </c>
      <c r="X62" s="285">
        <f t="shared" si="35"/>
        <v>0</v>
      </c>
      <c r="Y62" s="285">
        <f t="shared" si="35"/>
        <v>0</v>
      </c>
      <c r="Z62" s="285">
        <f t="shared" si="35"/>
        <v>0</v>
      </c>
      <c r="AA62" s="285">
        <f t="shared" si="35"/>
        <v>0</v>
      </c>
      <c r="AB62" s="285">
        <f t="shared" si="35"/>
        <v>0</v>
      </c>
      <c r="AC62" s="285">
        <f t="shared" si="35"/>
        <v>0</v>
      </c>
      <c r="AD62" s="285">
        <f t="shared" si="35"/>
        <v>0</v>
      </c>
      <c r="AE62" s="285">
        <f t="shared" si="35"/>
        <v>0</v>
      </c>
      <c r="AF62" s="285">
        <f t="shared" si="35"/>
        <v>500</v>
      </c>
      <c r="AG62" s="285">
        <f t="shared" si="35"/>
        <v>0</v>
      </c>
      <c r="AH62" s="285">
        <f t="shared" si="35"/>
        <v>3600</v>
      </c>
      <c r="AI62" s="285">
        <f t="shared" si="35"/>
        <v>3600</v>
      </c>
      <c r="AJ62" s="285">
        <f t="shared" si="35"/>
        <v>0</v>
      </c>
      <c r="AK62" s="285">
        <f t="shared" si="35"/>
        <v>0</v>
      </c>
      <c r="AL62" s="285">
        <f t="shared" si="35"/>
        <v>3600</v>
      </c>
      <c r="AM62" s="285">
        <f t="shared" si="35"/>
        <v>0</v>
      </c>
      <c r="AN62" s="285">
        <f t="shared" si="35"/>
        <v>0</v>
      </c>
      <c r="AO62" s="285">
        <f t="shared" si="35"/>
        <v>0</v>
      </c>
      <c r="AP62" s="285">
        <f t="shared" si="35"/>
        <v>3600</v>
      </c>
      <c r="AQ62" s="285">
        <f t="shared" si="35"/>
        <v>3600</v>
      </c>
      <c r="AR62" s="285">
        <f t="shared" si="35"/>
        <v>0</v>
      </c>
      <c r="AS62" s="285">
        <f>SUM(AS63:AS65)</f>
        <v>6600</v>
      </c>
      <c r="AT62" s="296"/>
    </row>
    <row r="63" spans="1:47" ht="47.25" customHeight="1">
      <c r="A63" s="298">
        <v>1</v>
      </c>
      <c r="B63" s="305" t="s">
        <v>777</v>
      </c>
      <c r="C63" s="319" t="s">
        <v>766</v>
      </c>
      <c r="D63" s="300" t="s">
        <v>675</v>
      </c>
      <c r="E63" s="300"/>
      <c r="F63" s="300" t="s">
        <v>684</v>
      </c>
      <c r="G63" s="300"/>
      <c r="H63" s="295">
        <v>6000</v>
      </c>
      <c r="I63" s="295"/>
      <c r="J63" s="295">
        <f>I63*90%</f>
        <v>0</v>
      </c>
      <c r="K63" s="295"/>
      <c r="L63" s="295"/>
      <c r="M63" s="295"/>
      <c r="N63" s="295"/>
      <c r="O63" s="295">
        <f>Q63+S63</f>
        <v>0</v>
      </c>
      <c r="P63" s="295"/>
      <c r="Q63" s="295"/>
      <c r="R63" s="295"/>
      <c r="S63" s="295"/>
      <c r="T63" s="295">
        <f>V63+X63+Z63+AB63+AD63</f>
        <v>0</v>
      </c>
      <c r="U63" s="295">
        <f>W63+Y63+AA63+AC63+AE63</f>
        <v>0</v>
      </c>
      <c r="V63" s="295"/>
      <c r="W63" s="295"/>
      <c r="X63" s="295"/>
      <c r="Y63" s="295"/>
      <c r="Z63" s="295"/>
      <c r="AA63" s="295"/>
      <c r="AB63" s="295"/>
      <c r="AC63" s="295"/>
      <c r="AD63" s="295"/>
      <c r="AE63" s="295"/>
      <c r="AF63" s="295"/>
      <c r="AG63" s="295"/>
      <c r="AH63" s="295">
        <v>0</v>
      </c>
      <c r="AI63" s="295">
        <v>0</v>
      </c>
      <c r="AJ63" s="295">
        <f>R63+X63+Z63+AB63+AD63</f>
        <v>0</v>
      </c>
      <c r="AK63" s="295"/>
      <c r="AL63" s="285">
        <f t="shared" si="3"/>
        <v>0</v>
      </c>
      <c r="AM63" s="295">
        <f>N63+T63+AF63</f>
        <v>0</v>
      </c>
      <c r="AN63" s="295">
        <f>O63+U63+AG63</f>
        <v>0</v>
      </c>
      <c r="AO63" s="285">
        <f t="shared" si="4"/>
        <v>0</v>
      </c>
      <c r="AP63" s="295">
        <f>AH63-AM63</f>
        <v>0</v>
      </c>
      <c r="AQ63" s="285">
        <f>AP63-AK63</f>
        <v>0</v>
      </c>
      <c r="AR63" s="295">
        <v>0</v>
      </c>
      <c r="AS63" s="295">
        <v>1500</v>
      </c>
      <c r="AT63" s="313"/>
    </row>
    <row r="64" spans="1:47" ht="47.25" customHeight="1">
      <c r="A64" s="298">
        <v>2</v>
      </c>
      <c r="B64" s="314" t="s">
        <v>778</v>
      </c>
      <c r="C64" s="300" t="s">
        <v>761</v>
      </c>
      <c r="D64" s="300" t="s">
        <v>675</v>
      </c>
      <c r="E64" s="300"/>
      <c r="F64" s="300" t="s">
        <v>684</v>
      </c>
      <c r="G64" s="300"/>
      <c r="H64" s="295">
        <v>3800</v>
      </c>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85">
        <f t="shared" si="3"/>
        <v>0</v>
      </c>
      <c r="AM64" s="295"/>
      <c r="AN64" s="295"/>
      <c r="AO64" s="285">
        <f t="shared" si="4"/>
        <v>0</v>
      </c>
      <c r="AP64" s="295"/>
      <c r="AQ64" s="285"/>
      <c r="AR64" s="295">
        <v>0</v>
      </c>
      <c r="AS64" s="295">
        <v>1500</v>
      </c>
      <c r="AT64" s="313"/>
    </row>
    <row r="65" spans="1:47" ht="47.25" customHeight="1">
      <c r="A65" s="298">
        <v>3</v>
      </c>
      <c r="B65" s="305" t="s">
        <v>779</v>
      </c>
      <c r="C65" s="319"/>
      <c r="D65" s="301"/>
      <c r="E65" s="300"/>
      <c r="F65" s="300"/>
      <c r="G65" s="300"/>
      <c r="H65" s="295">
        <v>5930</v>
      </c>
      <c r="I65" s="295">
        <f t="shared" ref="I65:AQ65" si="36">SUM(I66:I68)</f>
        <v>0</v>
      </c>
      <c r="J65" s="295">
        <f t="shared" si="36"/>
        <v>0</v>
      </c>
      <c r="K65" s="295">
        <f t="shared" si="36"/>
        <v>0</v>
      </c>
      <c r="L65" s="295">
        <f t="shared" si="36"/>
        <v>0</v>
      </c>
      <c r="M65" s="295">
        <f t="shared" si="36"/>
        <v>0</v>
      </c>
      <c r="N65" s="295">
        <f t="shared" si="36"/>
        <v>0</v>
      </c>
      <c r="O65" s="295">
        <f t="shared" si="36"/>
        <v>0</v>
      </c>
      <c r="P65" s="295">
        <f t="shared" si="36"/>
        <v>0</v>
      </c>
      <c r="Q65" s="295">
        <f t="shared" si="36"/>
        <v>0</v>
      </c>
      <c r="R65" s="295">
        <f t="shared" si="36"/>
        <v>0</v>
      </c>
      <c r="S65" s="295">
        <f t="shared" si="36"/>
        <v>0</v>
      </c>
      <c r="T65" s="295">
        <f t="shared" si="36"/>
        <v>0</v>
      </c>
      <c r="U65" s="295">
        <f t="shared" si="36"/>
        <v>0</v>
      </c>
      <c r="V65" s="295">
        <f t="shared" si="36"/>
        <v>0</v>
      </c>
      <c r="W65" s="295">
        <f t="shared" si="36"/>
        <v>0</v>
      </c>
      <c r="X65" s="295">
        <f t="shared" si="36"/>
        <v>0</v>
      </c>
      <c r="Y65" s="295">
        <f t="shared" si="36"/>
        <v>0</v>
      </c>
      <c r="Z65" s="295">
        <f t="shared" si="36"/>
        <v>0</v>
      </c>
      <c r="AA65" s="295">
        <f t="shared" si="36"/>
        <v>0</v>
      </c>
      <c r="AB65" s="295">
        <f t="shared" si="36"/>
        <v>0</v>
      </c>
      <c r="AC65" s="295">
        <f t="shared" si="36"/>
        <v>0</v>
      </c>
      <c r="AD65" s="295">
        <f t="shared" si="36"/>
        <v>0</v>
      </c>
      <c r="AE65" s="295">
        <f t="shared" si="36"/>
        <v>0</v>
      </c>
      <c r="AF65" s="295">
        <f t="shared" si="36"/>
        <v>500</v>
      </c>
      <c r="AG65" s="295">
        <f t="shared" si="36"/>
        <v>0</v>
      </c>
      <c r="AH65" s="295">
        <f t="shared" si="36"/>
        <v>3600</v>
      </c>
      <c r="AI65" s="295">
        <f t="shared" si="36"/>
        <v>3600</v>
      </c>
      <c r="AJ65" s="295">
        <f t="shared" si="36"/>
        <v>0</v>
      </c>
      <c r="AK65" s="295">
        <f t="shared" si="36"/>
        <v>0</v>
      </c>
      <c r="AL65" s="295">
        <f t="shared" si="36"/>
        <v>3600</v>
      </c>
      <c r="AM65" s="295">
        <f t="shared" si="36"/>
        <v>0</v>
      </c>
      <c r="AN65" s="295">
        <f t="shared" si="36"/>
        <v>0</v>
      </c>
      <c r="AO65" s="295">
        <f t="shared" si="36"/>
        <v>0</v>
      </c>
      <c r="AP65" s="295">
        <f t="shared" si="36"/>
        <v>3600</v>
      </c>
      <c r="AQ65" s="295">
        <f t="shared" si="36"/>
        <v>3600</v>
      </c>
      <c r="AR65" s="295">
        <v>0</v>
      </c>
      <c r="AS65" s="295">
        <f>SUM(AS66:AS68)</f>
        <v>3600</v>
      </c>
      <c r="AT65" s="304"/>
    </row>
    <row r="66" spans="1:47" ht="47.25" customHeight="1">
      <c r="A66" s="298" t="s">
        <v>780</v>
      </c>
      <c r="B66" s="305" t="s">
        <v>781</v>
      </c>
      <c r="C66" s="319" t="s">
        <v>782</v>
      </c>
      <c r="D66" s="300" t="s">
        <v>675</v>
      </c>
      <c r="E66" s="300"/>
      <c r="F66" s="300" t="s">
        <v>684</v>
      </c>
      <c r="G66" s="300"/>
      <c r="H66" s="308">
        <v>3999</v>
      </c>
      <c r="I66" s="308"/>
      <c r="J66" s="295">
        <f>I66*90%</f>
        <v>0</v>
      </c>
      <c r="K66" s="295"/>
      <c r="L66" s="295"/>
      <c r="M66" s="295"/>
      <c r="N66" s="295"/>
      <c r="O66" s="295">
        <f t="shared" si="28"/>
        <v>0</v>
      </c>
      <c r="P66" s="295"/>
      <c r="Q66" s="295"/>
      <c r="R66" s="295"/>
      <c r="S66" s="295"/>
      <c r="T66" s="295">
        <f t="shared" si="29"/>
        <v>0</v>
      </c>
      <c r="U66" s="295">
        <f>W66+Y66+AA66+AC66+AE66</f>
        <v>0</v>
      </c>
      <c r="V66" s="295"/>
      <c r="W66" s="295"/>
      <c r="X66" s="295"/>
      <c r="Y66" s="295"/>
      <c r="Z66" s="295"/>
      <c r="AA66" s="295"/>
      <c r="AB66" s="295"/>
      <c r="AC66" s="295"/>
      <c r="AD66" s="295"/>
      <c r="AE66" s="295"/>
      <c r="AF66" s="295"/>
      <c r="AG66" s="295"/>
      <c r="AH66" s="295">
        <f t="shared" si="32"/>
        <v>3600</v>
      </c>
      <c r="AI66" s="295">
        <v>3600</v>
      </c>
      <c r="AJ66" s="295">
        <f t="shared" si="33"/>
        <v>0</v>
      </c>
      <c r="AK66" s="295"/>
      <c r="AL66" s="285">
        <f t="shared" si="3"/>
        <v>3600</v>
      </c>
      <c r="AM66" s="295">
        <f t="shared" si="30"/>
        <v>0</v>
      </c>
      <c r="AN66" s="295">
        <f t="shared" si="30"/>
        <v>0</v>
      </c>
      <c r="AO66" s="285">
        <f t="shared" si="4"/>
        <v>0</v>
      </c>
      <c r="AP66" s="295">
        <f t="shared" si="34"/>
        <v>3600</v>
      </c>
      <c r="AQ66" s="285">
        <f t="shared" si="31"/>
        <v>3600</v>
      </c>
      <c r="AR66" s="295">
        <v>0</v>
      </c>
      <c r="AS66" s="295">
        <v>2000</v>
      </c>
      <c r="AT66" s="304"/>
    </row>
    <row r="67" spans="1:47" ht="47.25" customHeight="1">
      <c r="A67" s="298" t="s">
        <v>783</v>
      </c>
      <c r="B67" s="305" t="s">
        <v>784</v>
      </c>
      <c r="C67" s="319" t="s">
        <v>785</v>
      </c>
      <c r="D67" s="300" t="s">
        <v>675</v>
      </c>
      <c r="E67" s="300"/>
      <c r="F67" s="300" t="s">
        <v>676</v>
      </c>
      <c r="G67" s="300" t="s">
        <v>786</v>
      </c>
      <c r="H67" s="308">
        <v>1931</v>
      </c>
      <c r="I67" s="295"/>
      <c r="J67" s="295">
        <f>I67*90%</f>
        <v>0</v>
      </c>
      <c r="K67" s="295"/>
      <c r="L67" s="295"/>
      <c r="M67" s="295"/>
      <c r="N67" s="295"/>
      <c r="O67" s="295">
        <f>Q67+S67</f>
        <v>0</v>
      </c>
      <c r="P67" s="295"/>
      <c r="Q67" s="295"/>
      <c r="R67" s="295"/>
      <c r="S67" s="295"/>
      <c r="T67" s="295">
        <f>V67+X67+Z67+AB67+AD67</f>
        <v>0</v>
      </c>
      <c r="U67" s="295">
        <f>W67+Y67+AA67+AC67+AE67</f>
        <v>0</v>
      </c>
      <c r="V67" s="295"/>
      <c r="W67" s="295"/>
      <c r="X67" s="295"/>
      <c r="Y67" s="295"/>
      <c r="Z67" s="295"/>
      <c r="AA67" s="295"/>
      <c r="AB67" s="295"/>
      <c r="AC67" s="295"/>
      <c r="AD67" s="295"/>
      <c r="AE67" s="295"/>
      <c r="AF67" s="295">
        <v>500</v>
      </c>
      <c r="AG67" s="295"/>
      <c r="AH67" s="295"/>
      <c r="AI67" s="295"/>
      <c r="AJ67" s="295">
        <f>R67+X67+Z67+AB67+AD67</f>
        <v>0</v>
      </c>
      <c r="AK67" s="295"/>
      <c r="AL67" s="285">
        <f>AI67+AJ67</f>
        <v>0</v>
      </c>
      <c r="AM67" s="295"/>
      <c r="AN67" s="295">
        <f>O67+U67+AG67</f>
        <v>0</v>
      </c>
      <c r="AO67" s="295">
        <f>K67+AM67</f>
        <v>0</v>
      </c>
      <c r="AP67" s="295">
        <f>AH67-AM67</f>
        <v>0</v>
      </c>
      <c r="AQ67" s="285">
        <f>AP67-AK67</f>
        <v>0</v>
      </c>
      <c r="AR67" s="295">
        <v>0</v>
      </c>
      <c r="AS67" s="295">
        <v>600</v>
      </c>
      <c r="AT67" s="305"/>
      <c r="AU67" s="304" t="s">
        <v>787</v>
      </c>
    </row>
    <row r="68" spans="1:47" ht="47.25" customHeight="1">
      <c r="A68" s="298" t="s">
        <v>788</v>
      </c>
      <c r="B68" s="305" t="s">
        <v>789</v>
      </c>
      <c r="C68" s="319" t="s">
        <v>790</v>
      </c>
      <c r="D68" s="301" t="s">
        <v>711</v>
      </c>
      <c r="E68" s="300"/>
      <c r="F68" s="300"/>
      <c r="G68" s="300"/>
      <c r="H68" s="308"/>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c r="AL68" s="285"/>
      <c r="AM68" s="295"/>
      <c r="AN68" s="295"/>
      <c r="AO68" s="295"/>
      <c r="AP68" s="295"/>
      <c r="AQ68" s="285"/>
      <c r="AR68" s="295"/>
      <c r="AS68" s="295">
        <v>1000</v>
      </c>
      <c r="AT68" s="305"/>
      <c r="AU68" s="255"/>
    </row>
    <row r="69" spans="1:47" s="265" customFormat="1" ht="47.25" customHeight="1">
      <c r="A69" s="279"/>
      <c r="B69" s="286"/>
      <c r="C69" s="301"/>
      <c r="D69" s="312"/>
      <c r="E69" s="312"/>
      <c r="F69" s="312"/>
      <c r="G69" s="320"/>
      <c r="H69" s="295"/>
      <c r="I69" s="295"/>
      <c r="J69" s="295">
        <f>I69*90%</f>
        <v>0</v>
      </c>
      <c r="K69" s="295"/>
      <c r="L69" s="295"/>
      <c r="M69" s="295"/>
      <c r="N69" s="295">
        <f>P69+R69</f>
        <v>0</v>
      </c>
      <c r="O69" s="295"/>
      <c r="P69" s="295"/>
      <c r="Q69" s="295"/>
      <c r="R69" s="295"/>
      <c r="S69" s="295"/>
      <c r="T69" s="295">
        <f>V69+X69+Z69+AB69+AD69</f>
        <v>0</v>
      </c>
      <c r="U69" s="295">
        <f>W69+Y69+AA69+AC69+AE69</f>
        <v>0</v>
      </c>
      <c r="V69" s="295"/>
      <c r="W69" s="295"/>
      <c r="X69" s="295"/>
      <c r="Y69" s="295"/>
      <c r="Z69" s="295"/>
      <c r="AA69" s="295"/>
      <c r="AB69" s="295"/>
      <c r="AC69" s="295"/>
      <c r="AD69" s="295"/>
      <c r="AE69" s="295"/>
      <c r="AF69" s="295"/>
      <c r="AG69" s="295"/>
      <c r="AH69" s="295">
        <f>AI69+AJ69</f>
        <v>0</v>
      </c>
      <c r="AI69" s="295"/>
      <c r="AJ69" s="295">
        <f t="shared" si="33"/>
        <v>0</v>
      </c>
      <c r="AK69" s="295"/>
      <c r="AL69" s="285">
        <f t="shared" si="3"/>
        <v>0</v>
      </c>
      <c r="AM69" s="295">
        <f t="shared" si="30"/>
        <v>0</v>
      </c>
      <c r="AN69" s="295">
        <f t="shared" si="30"/>
        <v>0</v>
      </c>
      <c r="AO69" s="285">
        <f t="shared" si="4"/>
        <v>0</v>
      </c>
      <c r="AP69" s="295">
        <f t="shared" si="34"/>
        <v>0</v>
      </c>
      <c r="AQ69" s="285">
        <f t="shared" si="31"/>
        <v>0</v>
      </c>
      <c r="AR69" s="295"/>
      <c r="AS69" s="295"/>
      <c r="AT69" s="304"/>
    </row>
    <row r="70" spans="1:47" s="265" customFormat="1" ht="47.25" customHeight="1">
      <c r="A70" s="290" t="s">
        <v>112</v>
      </c>
      <c r="B70" s="297" t="s">
        <v>791</v>
      </c>
      <c r="C70" s="292"/>
      <c r="D70" s="279"/>
      <c r="E70" s="293"/>
      <c r="F70" s="279"/>
      <c r="G70" s="294"/>
      <c r="H70" s="285">
        <f t="shared" ref="H70:AR70" si="37">H71+H74</f>
        <v>319165</v>
      </c>
      <c r="I70" s="285">
        <f t="shared" si="37"/>
        <v>0</v>
      </c>
      <c r="J70" s="285">
        <f t="shared" si="37"/>
        <v>0</v>
      </c>
      <c r="K70" s="285">
        <f t="shared" si="37"/>
        <v>14700</v>
      </c>
      <c r="L70" s="285">
        <f t="shared" si="37"/>
        <v>225000</v>
      </c>
      <c r="M70" s="285">
        <f t="shared" si="37"/>
        <v>225000</v>
      </c>
      <c r="N70" s="285">
        <f t="shared" si="37"/>
        <v>25645</v>
      </c>
      <c r="O70" s="285">
        <f t="shared" si="37"/>
        <v>24668</v>
      </c>
      <c r="P70" s="285">
        <f t="shared" si="37"/>
        <v>25645</v>
      </c>
      <c r="Q70" s="285">
        <f t="shared" si="37"/>
        <v>24668</v>
      </c>
      <c r="R70" s="285">
        <f t="shared" si="37"/>
        <v>0</v>
      </c>
      <c r="S70" s="285">
        <f t="shared" si="37"/>
        <v>0</v>
      </c>
      <c r="T70" s="285">
        <f t="shared" si="37"/>
        <v>49374</v>
      </c>
      <c r="U70" s="285">
        <f t="shared" si="37"/>
        <v>47494</v>
      </c>
      <c r="V70" s="285">
        <f t="shared" si="37"/>
        <v>49374</v>
      </c>
      <c r="W70" s="285">
        <f t="shared" si="37"/>
        <v>47494</v>
      </c>
      <c r="X70" s="285">
        <f t="shared" si="37"/>
        <v>0</v>
      </c>
      <c r="Y70" s="285">
        <f t="shared" si="37"/>
        <v>0</v>
      </c>
      <c r="Z70" s="285">
        <f t="shared" si="37"/>
        <v>0</v>
      </c>
      <c r="AA70" s="285">
        <f t="shared" si="37"/>
        <v>0</v>
      </c>
      <c r="AB70" s="285">
        <f t="shared" si="37"/>
        <v>0</v>
      </c>
      <c r="AC70" s="285">
        <f t="shared" si="37"/>
        <v>0</v>
      </c>
      <c r="AD70" s="285">
        <f t="shared" si="37"/>
        <v>0</v>
      </c>
      <c r="AE70" s="285">
        <f t="shared" si="37"/>
        <v>0</v>
      </c>
      <c r="AF70" s="285">
        <f t="shared" si="37"/>
        <v>86000</v>
      </c>
      <c r="AG70" s="285">
        <f t="shared" si="37"/>
        <v>18192</v>
      </c>
      <c r="AH70" s="285">
        <f t="shared" si="37"/>
        <v>275700</v>
      </c>
      <c r="AI70" s="285">
        <f t="shared" si="37"/>
        <v>260700</v>
      </c>
      <c r="AJ70" s="285">
        <f t="shared" si="37"/>
        <v>0</v>
      </c>
      <c r="AK70" s="285">
        <f t="shared" si="37"/>
        <v>15000</v>
      </c>
      <c r="AL70" s="285">
        <f t="shared" si="37"/>
        <v>260700</v>
      </c>
      <c r="AM70" s="285">
        <f t="shared" si="37"/>
        <v>161019</v>
      </c>
      <c r="AN70" s="285">
        <f t="shared" si="37"/>
        <v>90354</v>
      </c>
      <c r="AO70" s="285">
        <f t="shared" si="37"/>
        <v>175719</v>
      </c>
      <c r="AP70" s="285">
        <f t="shared" si="37"/>
        <v>114681</v>
      </c>
      <c r="AQ70" s="285">
        <f t="shared" si="37"/>
        <v>99681</v>
      </c>
      <c r="AR70" s="285">
        <f t="shared" si="37"/>
        <v>67458</v>
      </c>
      <c r="AS70" s="285">
        <f>AS71+AS74</f>
        <v>82000</v>
      </c>
      <c r="AT70" s="296"/>
    </row>
    <row r="71" spans="1:47" s="265" customFormat="1" ht="47.25" customHeight="1">
      <c r="A71" s="279" t="s">
        <v>337</v>
      </c>
      <c r="B71" s="297" t="s">
        <v>661</v>
      </c>
      <c r="C71" s="287"/>
      <c r="D71" s="288"/>
      <c r="E71" s="288"/>
      <c r="F71" s="282"/>
      <c r="G71" s="282"/>
      <c r="H71" s="285">
        <f t="shared" ref="H71:AR71" si="38">SUM(H72:H73)</f>
        <v>121712</v>
      </c>
      <c r="I71" s="285">
        <f t="shared" si="38"/>
        <v>0</v>
      </c>
      <c r="J71" s="285">
        <f t="shared" si="38"/>
        <v>0</v>
      </c>
      <c r="K71" s="285">
        <f t="shared" si="38"/>
        <v>0</v>
      </c>
      <c r="L71" s="285">
        <f t="shared" si="38"/>
        <v>0</v>
      </c>
      <c r="M71" s="285">
        <f t="shared" si="38"/>
        <v>0</v>
      </c>
      <c r="N71" s="285">
        <f t="shared" si="38"/>
        <v>0</v>
      </c>
      <c r="O71" s="285">
        <f t="shared" si="38"/>
        <v>0</v>
      </c>
      <c r="P71" s="285">
        <f t="shared" si="38"/>
        <v>0</v>
      </c>
      <c r="Q71" s="285">
        <f t="shared" si="38"/>
        <v>0</v>
      </c>
      <c r="R71" s="285">
        <f t="shared" si="38"/>
        <v>0</v>
      </c>
      <c r="S71" s="285">
        <f t="shared" si="38"/>
        <v>0</v>
      </c>
      <c r="T71" s="285">
        <f t="shared" si="38"/>
        <v>0</v>
      </c>
      <c r="U71" s="285">
        <f t="shared" si="38"/>
        <v>0</v>
      </c>
      <c r="V71" s="285">
        <f t="shared" si="38"/>
        <v>0</v>
      </c>
      <c r="W71" s="285">
        <f t="shared" si="38"/>
        <v>0</v>
      </c>
      <c r="X71" s="285">
        <f t="shared" si="38"/>
        <v>0</v>
      </c>
      <c r="Y71" s="285">
        <f t="shared" si="38"/>
        <v>0</v>
      </c>
      <c r="Z71" s="285">
        <f t="shared" si="38"/>
        <v>0</v>
      </c>
      <c r="AA71" s="285">
        <f t="shared" si="38"/>
        <v>0</v>
      </c>
      <c r="AB71" s="285">
        <f t="shared" si="38"/>
        <v>0</v>
      </c>
      <c r="AC71" s="285">
        <f t="shared" si="38"/>
        <v>0</v>
      </c>
      <c r="AD71" s="285">
        <f t="shared" si="38"/>
        <v>0</v>
      </c>
      <c r="AE71" s="285">
        <f t="shared" si="38"/>
        <v>0</v>
      </c>
      <c r="AF71" s="285">
        <f t="shared" si="38"/>
        <v>5000</v>
      </c>
      <c r="AG71" s="285">
        <f t="shared" si="38"/>
        <v>739</v>
      </c>
      <c r="AH71" s="285">
        <f t="shared" si="38"/>
        <v>13000</v>
      </c>
      <c r="AI71" s="285">
        <f t="shared" si="38"/>
        <v>13000</v>
      </c>
      <c r="AJ71" s="285">
        <f t="shared" si="38"/>
        <v>0</v>
      </c>
      <c r="AK71" s="285">
        <f t="shared" si="38"/>
        <v>0</v>
      </c>
      <c r="AL71" s="285">
        <f t="shared" si="38"/>
        <v>13000</v>
      </c>
      <c r="AM71" s="285">
        <f t="shared" si="38"/>
        <v>5000</v>
      </c>
      <c r="AN71" s="285">
        <f t="shared" si="38"/>
        <v>739</v>
      </c>
      <c r="AO71" s="285">
        <f t="shared" si="38"/>
        <v>5000</v>
      </c>
      <c r="AP71" s="285">
        <f t="shared" si="38"/>
        <v>8000</v>
      </c>
      <c r="AQ71" s="285">
        <f t="shared" si="38"/>
        <v>8000</v>
      </c>
      <c r="AR71" s="285">
        <f t="shared" si="38"/>
        <v>67458</v>
      </c>
      <c r="AS71" s="285">
        <f>SUM(AS72:AS73)</f>
        <v>6500</v>
      </c>
      <c r="AT71" s="315"/>
    </row>
    <row r="72" spans="1:47" s="265" customFormat="1" ht="47.25" customHeight="1">
      <c r="A72" s="321">
        <v>1</v>
      </c>
      <c r="B72" s="317" t="s">
        <v>792</v>
      </c>
      <c r="C72" s="300" t="s">
        <v>761</v>
      </c>
      <c r="D72" s="300" t="s">
        <v>675</v>
      </c>
      <c r="E72" s="300"/>
      <c r="F72" s="312" t="s">
        <v>666</v>
      </c>
      <c r="G72" s="300" t="s">
        <v>793</v>
      </c>
      <c r="H72" s="322">
        <v>107186</v>
      </c>
      <c r="I72" s="295"/>
      <c r="J72" s="295"/>
      <c r="K72" s="295"/>
      <c r="L72" s="295"/>
      <c r="M72" s="295"/>
      <c r="N72" s="295"/>
      <c r="O72" s="295"/>
      <c r="P72" s="295"/>
      <c r="Q72" s="295"/>
      <c r="R72" s="295"/>
      <c r="S72" s="295"/>
      <c r="T72" s="295"/>
      <c r="U72" s="295"/>
      <c r="V72" s="295"/>
      <c r="W72" s="295"/>
      <c r="X72" s="295"/>
      <c r="Y72" s="295"/>
      <c r="Z72" s="295"/>
      <c r="AA72" s="295"/>
      <c r="AB72" s="295"/>
      <c r="AC72" s="295"/>
      <c r="AD72" s="295"/>
      <c r="AE72" s="295"/>
      <c r="AF72" s="295"/>
      <c r="AG72" s="295"/>
      <c r="AH72" s="295"/>
      <c r="AI72" s="295"/>
      <c r="AJ72" s="295"/>
      <c r="AK72" s="295"/>
      <c r="AL72" s="285"/>
      <c r="AM72" s="295"/>
      <c r="AN72" s="295"/>
      <c r="AO72" s="295"/>
      <c r="AP72" s="295"/>
      <c r="AQ72" s="285"/>
      <c r="AR72" s="295">
        <v>62458</v>
      </c>
      <c r="AS72" s="295">
        <v>2000</v>
      </c>
      <c r="AT72" s="313"/>
    </row>
    <row r="73" spans="1:47" s="265" customFormat="1" ht="47.25" customHeight="1">
      <c r="A73" s="298">
        <v>2</v>
      </c>
      <c r="B73" s="317" t="s">
        <v>794</v>
      </c>
      <c r="C73" s="300" t="s">
        <v>726</v>
      </c>
      <c r="D73" s="300" t="s">
        <v>726</v>
      </c>
      <c r="E73" s="300"/>
      <c r="F73" s="312" t="s">
        <v>727</v>
      </c>
      <c r="G73" s="300" t="s">
        <v>795</v>
      </c>
      <c r="H73" s="295">
        <v>14526</v>
      </c>
      <c r="I73" s="295"/>
      <c r="J73" s="295">
        <f>I73*90%</f>
        <v>0</v>
      </c>
      <c r="K73" s="295"/>
      <c r="L73" s="295"/>
      <c r="M73" s="295"/>
      <c r="N73" s="295"/>
      <c r="O73" s="295">
        <f>Q73+S73</f>
        <v>0</v>
      </c>
      <c r="P73" s="295"/>
      <c r="Q73" s="295"/>
      <c r="R73" s="295"/>
      <c r="S73" s="295"/>
      <c r="T73" s="295">
        <f>V73+X73+Z73+AB73+AD73</f>
        <v>0</v>
      </c>
      <c r="U73" s="295">
        <f>W73+Y73+AA73+AC73+AE73</f>
        <v>0</v>
      </c>
      <c r="V73" s="295"/>
      <c r="W73" s="295"/>
      <c r="X73" s="295"/>
      <c r="Y73" s="295"/>
      <c r="Z73" s="295"/>
      <c r="AA73" s="295"/>
      <c r="AB73" s="295"/>
      <c r="AC73" s="295"/>
      <c r="AD73" s="295"/>
      <c r="AE73" s="295"/>
      <c r="AF73" s="295">
        <v>5000</v>
      </c>
      <c r="AG73" s="295">
        <v>739</v>
      </c>
      <c r="AH73" s="295">
        <f>AI73+AJ73+AK73</f>
        <v>13000</v>
      </c>
      <c r="AI73" s="295">
        <v>13000</v>
      </c>
      <c r="AJ73" s="295">
        <f>R73+X73+Z73+AB73+AD73</f>
        <v>0</v>
      </c>
      <c r="AK73" s="295"/>
      <c r="AL73" s="285">
        <f t="shared" si="3"/>
        <v>13000</v>
      </c>
      <c r="AM73" s="295">
        <f>N73+T73+AF73</f>
        <v>5000</v>
      </c>
      <c r="AN73" s="295">
        <f>O73+U73+AG73</f>
        <v>739</v>
      </c>
      <c r="AO73" s="295">
        <f t="shared" si="4"/>
        <v>5000</v>
      </c>
      <c r="AP73" s="295">
        <f>AH73-AM73</f>
        <v>8000</v>
      </c>
      <c r="AQ73" s="285">
        <f>AP73-AK73</f>
        <v>8000</v>
      </c>
      <c r="AR73" s="295">
        <v>5000</v>
      </c>
      <c r="AS73" s="295">
        <v>4500</v>
      </c>
      <c r="AT73" s="310"/>
    </row>
    <row r="74" spans="1:47" s="265" customFormat="1" ht="47.25" customHeight="1">
      <c r="A74" s="290" t="s">
        <v>340</v>
      </c>
      <c r="B74" s="297" t="s">
        <v>682</v>
      </c>
      <c r="C74" s="292"/>
      <c r="D74" s="279"/>
      <c r="E74" s="293"/>
      <c r="F74" s="279"/>
      <c r="G74" s="294"/>
      <c r="H74" s="285">
        <f t="shared" ref="H74:AR74" si="39">SUM(H75:H79)</f>
        <v>197453</v>
      </c>
      <c r="I74" s="285">
        <f t="shared" si="39"/>
        <v>0</v>
      </c>
      <c r="J74" s="285">
        <f t="shared" si="39"/>
        <v>0</v>
      </c>
      <c r="K74" s="285">
        <f t="shared" si="39"/>
        <v>14700</v>
      </c>
      <c r="L74" s="285">
        <f t="shared" si="39"/>
        <v>225000</v>
      </c>
      <c r="M74" s="285">
        <f t="shared" si="39"/>
        <v>225000</v>
      </c>
      <c r="N74" s="285">
        <f t="shared" si="39"/>
        <v>25645</v>
      </c>
      <c r="O74" s="285">
        <f t="shared" si="39"/>
        <v>24668</v>
      </c>
      <c r="P74" s="285">
        <f t="shared" si="39"/>
        <v>25645</v>
      </c>
      <c r="Q74" s="285">
        <f t="shared" si="39"/>
        <v>24668</v>
      </c>
      <c r="R74" s="285">
        <f t="shared" si="39"/>
        <v>0</v>
      </c>
      <c r="S74" s="285">
        <f t="shared" si="39"/>
        <v>0</v>
      </c>
      <c r="T74" s="285">
        <f t="shared" si="39"/>
        <v>49374</v>
      </c>
      <c r="U74" s="285">
        <f t="shared" si="39"/>
        <v>47494</v>
      </c>
      <c r="V74" s="285">
        <f t="shared" si="39"/>
        <v>49374</v>
      </c>
      <c r="W74" s="285">
        <f t="shared" si="39"/>
        <v>47494</v>
      </c>
      <c r="X74" s="285">
        <f t="shared" si="39"/>
        <v>0</v>
      </c>
      <c r="Y74" s="285">
        <f t="shared" si="39"/>
        <v>0</v>
      </c>
      <c r="Z74" s="285">
        <f t="shared" si="39"/>
        <v>0</v>
      </c>
      <c r="AA74" s="285">
        <f t="shared" si="39"/>
        <v>0</v>
      </c>
      <c r="AB74" s="285">
        <f t="shared" si="39"/>
        <v>0</v>
      </c>
      <c r="AC74" s="285">
        <f t="shared" si="39"/>
        <v>0</v>
      </c>
      <c r="AD74" s="285">
        <f t="shared" si="39"/>
        <v>0</v>
      </c>
      <c r="AE74" s="285">
        <f t="shared" si="39"/>
        <v>0</v>
      </c>
      <c r="AF74" s="285">
        <f t="shared" si="39"/>
        <v>81000</v>
      </c>
      <c r="AG74" s="285">
        <f t="shared" si="39"/>
        <v>17453</v>
      </c>
      <c r="AH74" s="285">
        <f t="shared" si="39"/>
        <v>262700</v>
      </c>
      <c r="AI74" s="285">
        <f t="shared" si="39"/>
        <v>247700</v>
      </c>
      <c r="AJ74" s="285">
        <f t="shared" si="39"/>
        <v>0</v>
      </c>
      <c r="AK74" s="285">
        <f t="shared" si="39"/>
        <v>15000</v>
      </c>
      <c r="AL74" s="285">
        <f t="shared" si="39"/>
        <v>247700</v>
      </c>
      <c r="AM74" s="285">
        <f t="shared" si="39"/>
        <v>156019</v>
      </c>
      <c r="AN74" s="285">
        <f t="shared" si="39"/>
        <v>89615</v>
      </c>
      <c r="AO74" s="285">
        <f t="shared" si="39"/>
        <v>170719</v>
      </c>
      <c r="AP74" s="285">
        <f t="shared" si="39"/>
        <v>106681</v>
      </c>
      <c r="AQ74" s="285">
        <f t="shared" si="39"/>
        <v>91681</v>
      </c>
      <c r="AR74" s="285">
        <f t="shared" si="39"/>
        <v>0</v>
      </c>
      <c r="AS74" s="285">
        <f>SUM(AS75:AS79)</f>
        <v>75500</v>
      </c>
      <c r="AT74" s="296"/>
    </row>
    <row r="75" spans="1:47" s="265" customFormat="1" ht="47.25" customHeight="1">
      <c r="A75" s="298">
        <v>1</v>
      </c>
      <c r="B75" s="314" t="s">
        <v>796</v>
      </c>
      <c r="C75" s="300" t="s">
        <v>797</v>
      </c>
      <c r="D75" s="300" t="s">
        <v>675</v>
      </c>
      <c r="E75" s="300"/>
      <c r="F75" s="312" t="s">
        <v>745</v>
      </c>
      <c r="G75" s="300"/>
      <c r="H75" s="295">
        <v>171034</v>
      </c>
      <c r="I75" s="295"/>
      <c r="J75" s="295"/>
      <c r="K75" s="295"/>
      <c r="L75" s="295"/>
      <c r="M75" s="295"/>
      <c r="N75" s="295"/>
      <c r="O75" s="295"/>
      <c r="P75" s="295"/>
      <c r="Q75" s="295"/>
      <c r="R75" s="295"/>
      <c r="S75" s="295"/>
      <c r="T75" s="295"/>
      <c r="U75" s="295"/>
      <c r="V75" s="295"/>
      <c r="W75" s="295"/>
      <c r="X75" s="295"/>
      <c r="Y75" s="295"/>
      <c r="Z75" s="295"/>
      <c r="AA75" s="295"/>
      <c r="AB75" s="295"/>
      <c r="AC75" s="295"/>
      <c r="AD75" s="295"/>
      <c r="AE75" s="295"/>
      <c r="AF75" s="295"/>
      <c r="AG75" s="295"/>
      <c r="AH75" s="295"/>
      <c r="AI75" s="295"/>
      <c r="AJ75" s="295"/>
      <c r="AK75" s="295"/>
      <c r="AL75" s="285">
        <f t="shared" si="3"/>
        <v>0</v>
      </c>
      <c r="AM75" s="295"/>
      <c r="AN75" s="295"/>
      <c r="AO75" s="295">
        <f t="shared" si="4"/>
        <v>0</v>
      </c>
      <c r="AP75" s="295"/>
      <c r="AQ75" s="285"/>
      <c r="AR75" s="295">
        <v>0</v>
      </c>
      <c r="AS75" s="295">
        <v>30000</v>
      </c>
      <c r="AT75" s="313"/>
    </row>
    <row r="76" spans="1:47" s="265" customFormat="1" ht="47.25" customHeight="1">
      <c r="A76" s="321">
        <v>2</v>
      </c>
      <c r="B76" s="317" t="s">
        <v>798</v>
      </c>
      <c r="C76" s="300" t="s">
        <v>698</v>
      </c>
      <c r="D76" s="300" t="s">
        <v>698</v>
      </c>
      <c r="E76" s="300"/>
      <c r="F76" s="312" t="s">
        <v>684</v>
      </c>
      <c r="G76" s="300"/>
      <c r="H76" s="295">
        <v>26419</v>
      </c>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295"/>
      <c r="AG76" s="295"/>
      <c r="AH76" s="295"/>
      <c r="AI76" s="295"/>
      <c r="AJ76" s="295"/>
      <c r="AK76" s="295"/>
      <c r="AL76" s="285"/>
      <c r="AM76" s="295"/>
      <c r="AN76" s="295"/>
      <c r="AO76" s="295"/>
      <c r="AP76" s="295"/>
      <c r="AQ76" s="285"/>
      <c r="AR76" s="295">
        <v>0</v>
      </c>
      <c r="AS76" s="295">
        <v>9000</v>
      </c>
      <c r="AT76" s="310"/>
    </row>
    <row r="77" spans="1:47" s="265" customFormat="1" ht="47.25" customHeight="1">
      <c r="A77" s="298">
        <v>3</v>
      </c>
      <c r="B77" s="314" t="s">
        <v>799</v>
      </c>
      <c r="C77" s="300" t="s">
        <v>659</v>
      </c>
      <c r="D77" s="300" t="s">
        <v>659</v>
      </c>
      <c r="E77" s="300"/>
      <c r="F77" s="312"/>
      <c r="G77" s="300"/>
      <c r="H77" s="295"/>
      <c r="I77" s="295"/>
      <c r="J77" s="295">
        <f>I77*90%</f>
        <v>0</v>
      </c>
      <c r="K77" s="295">
        <v>3300</v>
      </c>
      <c r="L77" s="295">
        <v>75000</v>
      </c>
      <c r="M77" s="295">
        <v>75000</v>
      </c>
      <c r="N77" s="295">
        <f t="shared" ref="N77:O79" si="40">P77+R77</f>
        <v>10423</v>
      </c>
      <c r="O77" s="295">
        <f t="shared" si="40"/>
        <v>9708</v>
      </c>
      <c r="P77" s="295">
        <v>10423</v>
      </c>
      <c r="Q77" s="295">
        <v>9708</v>
      </c>
      <c r="R77" s="295"/>
      <c r="S77" s="295"/>
      <c r="T77" s="295">
        <f t="shared" ref="T77:U80" si="41">V77+X77+Z77+AB77+AD77</f>
        <v>25300</v>
      </c>
      <c r="U77" s="295">
        <f t="shared" si="41"/>
        <v>24347</v>
      </c>
      <c r="V77" s="295">
        <v>25300</v>
      </c>
      <c r="W77" s="295">
        <v>24347</v>
      </c>
      <c r="X77" s="295"/>
      <c r="Y77" s="295"/>
      <c r="Z77" s="295"/>
      <c r="AA77" s="295"/>
      <c r="AB77" s="295"/>
      <c r="AC77" s="295"/>
      <c r="AD77" s="295"/>
      <c r="AE77" s="295"/>
      <c r="AF77" s="295">
        <v>33000</v>
      </c>
      <c r="AG77" s="295">
        <v>11340</v>
      </c>
      <c r="AH77" s="295">
        <f>AI77+AJ77+AK77</f>
        <v>110000</v>
      </c>
      <c r="AI77" s="295">
        <v>110000</v>
      </c>
      <c r="AJ77" s="295">
        <f>R77+X77+Z77+AB77+AD77</f>
        <v>0</v>
      </c>
      <c r="AK77" s="295"/>
      <c r="AL77" s="285">
        <f t="shared" si="3"/>
        <v>110000</v>
      </c>
      <c r="AM77" s="295">
        <f t="shared" si="30"/>
        <v>68723</v>
      </c>
      <c r="AN77" s="295">
        <f t="shared" si="30"/>
        <v>45395</v>
      </c>
      <c r="AO77" s="295">
        <f t="shared" si="4"/>
        <v>72023</v>
      </c>
      <c r="AP77" s="295">
        <f>AH77-AM77</f>
        <v>41277</v>
      </c>
      <c r="AQ77" s="285">
        <f t="shared" si="31"/>
        <v>41277</v>
      </c>
      <c r="AR77" s="295">
        <v>0</v>
      </c>
      <c r="AS77" s="295">
        <v>20000</v>
      </c>
      <c r="AT77" s="313"/>
    </row>
    <row r="78" spans="1:47" s="265" customFormat="1" ht="47.25" customHeight="1">
      <c r="A78" s="298">
        <v>4</v>
      </c>
      <c r="B78" s="314" t="s">
        <v>800</v>
      </c>
      <c r="C78" s="300" t="s">
        <v>801</v>
      </c>
      <c r="D78" s="300" t="s">
        <v>752</v>
      </c>
      <c r="E78" s="300"/>
      <c r="F78" s="312"/>
      <c r="G78" s="300"/>
      <c r="H78" s="295"/>
      <c r="I78" s="295"/>
      <c r="J78" s="295">
        <f>I78*90%</f>
        <v>0</v>
      </c>
      <c r="K78" s="295">
        <v>11400</v>
      </c>
      <c r="L78" s="295">
        <v>130000</v>
      </c>
      <c r="M78" s="295">
        <v>130000</v>
      </c>
      <c r="N78" s="295">
        <f t="shared" si="40"/>
        <v>15222</v>
      </c>
      <c r="O78" s="295">
        <f t="shared" si="40"/>
        <v>14960</v>
      </c>
      <c r="P78" s="295">
        <v>15222</v>
      </c>
      <c r="Q78" s="295">
        <v>14960</v>
      </c>
      <c r="R78" s="295"/>
      <c r="S78" s="295"/>
      <c r="T78" s="295">
        <f t="shared" si="41"/>
        <v>24074</v>
      </c>
      <c r="U78" s="295">
        <f t="shared" si="41"/>
        <v>23147</v>
      </c>
      <c r="V78" s="295">
        <v>24074</v>
      </c>
      <c r="W78" s="295">
        <v>23147</v>
      </c>
      <c r="X78" s="295"/>
      <c r="Y78" s="295"/>
      <c r="Z78" s="295"/>
      <c r="AA78" s="295"/>
      <c r="AB78" s="295"/>
      <c r="AC78" s="295"/>
      <c r="AD78" s="295"/>
      <c r="AE78" s="295"/>
      <c r="AF78" s="295">
        <v>48000</v>
      </c>
      <c r="AG78" s="295">
        <v>6113</v>
      </c>
      <c r="AH78" s="295">
        <f>AI78+AJ78+AK78</f>
        <v>130000</v>
      </c>
      <c r="AI78" s="295">
        <v>130000</v>
      </c>
      <c r="AJ78" s="295">
        <f>R78+X78+Z78+AB78+AD78</f>
        <v>0</v>
      </c>
      <c r="AK78" s="295"/>
      <c r="AL78" s="285">
        <f t="shared" si="3"/>
        <v>130000</v>
      </c>
      <c r="AM78" s="295">
        <f t="shared" si="30"/>
        <v>87296</v>
      </c>
      <c r="AN78" s="295">
        <f t="shared" si="30"/>
        <v>44220</v>
      </c>
      <c r="AO78" s="295">
        <f t="shared" si="4"/>
        <v>98696</v>
      </c>
      <c r="AP78" s="295">
        <f>AH78-AM78</f>
        <v>42704</v>
      </c>
      <c r="AQ78" s="285">
        <f t="shared" si="31"/>
        <v>42704</v>
      </c>
      <c r="AR78" s="295">
        <v>0</v>
      </c>
      <c r="AS78" s="295">
        <v>13500</v>
      </c>
      <c r="AT78" s="313"/>
    </row>
    <row r="79" spans="1:47" s="265" customFormat="1" ht="47.25" customHeight="1">
      <c r="A79" s="298">
        <v>5</v>
      </c>
      <c r="B79" s="314" t="s">
        <v>802</v>
      </c>
      <c r="C79" s="300" t="s">
        <v>803</v>
      </c>
      <c r="D79" s="300" t="s">
        <v>752</v>
      </c>
      <c r="E79" s="300"/>
      <c r="F79" s="312"/>
      <c r="G79" s="300"/>
      <c r="H79" s="295"/>
      <c r="I79" s="295"/>
      <c r="J79" s="295">
        <f>I79*90%</f>
        <v>0</v>
      </c>
      <c r="K79" s="295"/>
      <c r="L79" s="295">
        <v>20000</v>
      </c>
      <c r="M79" s="295">
        <v>20000</v>
      </c>
      <c r="N79" s="295">
        <f t="shared" si="40"/>
        <v>0</v>
      </c>
      <c r="O79" s="295">
        <f t="shared" si="40"/>
        <v>0</v>
      </c>
      <c r="P79" s="295">
        <v>0</v>
      </c>
      <c r="Q79" s="295"/>
      <c r="R79" s="295"/>
      <c r="S79" s="295"/>
      <c r="T79" s="295">
        <f t="shared" si="41"/>
        <v>0</v>
      </c>
      <c r="U79" s="295">
        <f t="shared" si="41"/>
        <v>0</v>
      </c>
      <c r="V79" s="295"/>
      <c r="W79" s="295"/>
      <c r="X79" s="295"/>
      <c r="Y79" s="295"/>
      <c r="Z79" s="295"/>
      <c r="AA79" s="295"/>
      <c r="AB79" s="295"/>
      <c r="AC79" s="295"/>
      <c r="AD79" s="295"/>
      <c r="AE79" s="295"/>
      <c r="AF79" s="295"/>
      <c r="AG79" s="295"/>
      <c r="AH79" s="295">
        <f>AI79+AJ79+AK79</f>
        <v>22700</v>
      </c>
      <c r="AI79" s="295">
        <f>6200-2500+4000</f>
        <v>7700</v>
      </c>
      <c r="AJ79" s="295">
        <f>R79+X79+Z79+AB79+AD79</f>
        <v>0</v>
      </c>
      <c r="AK79" s="295">
        <v>15000</v>
      </c>
      <c r="AL79" s="285">
        <f t="shared" si="3"/>
        <v>7700</v>
      </c>
      <c r="AM79" s="295">
        <f t="shared" si="30"/>
        <v>0</v>
      </c>
      <c r="AN79" s="295">
        <f t="shared" si="30"/>
        <v>0</v>
      </c>
      <c r="AO79" s="295">
        <f t="shared" si="4"/>
        <v>0</v>
      </c>
      <c r="AP79" s="295">
        <f>AH79-AM79</f>
        <v>22700</v>
      </c>
      <c r="AQ79" s="285">
        <f t="shared" si="31"/>
        <v>7700</v>
      </c>
      <c r="AR79" s="295">
        <v>0</v>
      </c>
      <c r="AS79" s="295">
        <v>3000</v>
      </c>
      <c r="AT79" s="313"/>
    </row>
    <row r="80" spans="1:47" ht="47.25" hidden="1" customHeight="1">
      <c r="A80" s="305"/>
      <c r="B80" s="305"/>
      <c r="C80" s="305"/>
      <c r="D80" s="305"/>
      <c r="E80" s="305"/>
      <c r="F80" s="300"/>
      <c r="G80" s="305"/>
      <c r="H80" s="295"/>
      <c r="I80" s="295"/>
      <c r="J80" s="295">
        <f>I80*90%</f>
        <v>0</v>
      </c>
      <c r="K80" s="295"/>
      <c r="L80" s="295"/>
      <c r="M80" s="295"/>
      <c r="N80" s="295">
        <f>P80+R80</f>
        <v>0</v>
      </c>
      <c r="O80" s="295"/>
      <c r="P80" s="295"/>
      <c r="Q80" s="295"/>
      <c r="R80" s="295"/>
      <c r="S80" s="295"/>
      <c r="T80" s="295">
        <f t="shared" si="41"/>
        <v>0</v>
      </c>
      <c r="U80" s="295">
        <f t="shared" si="41"/>
        <v>0</v>
      </c>
      <c r="V80" s="295"/>
      <c r="W80" s="295"/>
      <c r="X80" s="295"/>
      <c r="Y80" s="295"/>
      <c r="Z80" s="295"/>
      <c r="AA80" s="295"/>
      <c r="AB80" s="295"/>
      <c r="AC80" s="295"/>
      <c r="AD80" s="295"/>
      <c r="AE80" s="295"/>
      <c r="AF80" s="295"/>
      <c r="AG80" s="295"/>
      <c r="AH80" s="295">
        <f>AI80+AJ80</f>
        <v>0</v>
      </c>
      <c r="AI80" s="295"/>
      <c r="AJ80" s="295"/>
      <c r="AK80" s="295"/>
      <c r="AL80" s="285">
        <f t="shared" ref="AL80:AL126" si="42">AI80+AJ80</f>
        <v>0</v>
      </c>
      <c r="AM80" s="295">
        <f t="shared" si="30"/>
        <v>0</v>
      </c>
      <c r="AN80" s="295">
        <f t="shared" si="30"/>
        <v>0</v>
      </c>
      <c r="AO80" s="285">
        <f>K80+AM80</f>
        <v>0</v>
      </c>
      <c r="AP80" s="295">
        <f>AH80-AM80</f>
        <v>0</v>
      </c>
      <c r="AQ80" s="285">
        <f t="shared" si="31"/>
        <v>0</v>
      </c>
      <c r="AR80" s="295">
        <v>0</v>
      </c>
      <c r="AS80" s="295"/>
      <c r="AT80" s="300"/>
    </row>
    <row r="81" spans="1:46" s="265" customFormat="1" ht="15.75">
      <c r="A81" s="290" t="s">
        <v>114</v>
      </c>
      <c r="B81" s="297" t="s">
        <v>804</v>
      </c>
      <c r="C81" s="292"/>
      <c r="D81" s="279"/>
      <c r="E81" s="293"/>
      <c r="F81" s="279"/>
      <c r="G81" s="294"/>
      <c r="H81" s="285">
        <f t="shared" ref="H81:AR81" si="43">H82+H94</f>
        <v>183546</v>
      </c>
      <c r="I81" s="285">
        <f t="shared" si="43"/>
        <v>0</v>
      </c>
      <c r="J81" s="285">
        <f t="shared" si="43"/>
        <v>0</v>
      </c>
      <c r="K81" s="285">
        <f t="shared" si="43"/>
        <v>0</v>
      </c>
      <c r="L81" s="285">
        <f t="shared" si="43"/>
        <v>84815</v>
      </c>
      <c r="M81" s="285">
        <f t="shared" si="43"/>
        <v>84815</v>
      </c>
      <c r="N81" s="285">
        <f t="shared" si="43"/>
        <v>0</v>
      </c>
      <c r="O81" s="285">
        <f t="shared" si="43"/>
        <v>0</v>
      </c>
      <c r="P81" s="285">
        <f t="shared" si="43"/>
        <v>0</v>
      </c>
      <c r="Q81" s="285">
        <f t="shared" si="43"/>
        <v>0</v>
      </c>
      <c r="R81" s="285">
        <f t="shared" si="43"/>
        <v>0</v>
      </c>
      <c r="S81" s="285">
        <f t="shared" si="43"/>
        <v>0</v>
      </c>
      <c r="T81" s="285">
        <f t="shared" si="43"/>
        <v>0</v>
      </c>
      <c r="U81" s="285">
        <f t="shared" si="43"/>
        <v>0</v>
      </c>
      <c r="V81" s="285">
        <f t="shared" si="43"/>
        <v>0</v>
      </c>
      <c r="W81" s="285">
        <f t="shared" si="43"/>
        <v>0</v>
      </c>
      <c r="X81" s="285">
        <f t="shared" si="43"/>
        <v>0</v>
      </c>
      <c r="Y81" s="285">
        <f t="shared" si="43"/>
        <v>0</v>
      </c>
      <c r="Z81" s="285">
        <f t="shared" si="43"/>
        <v>0</v>
      </c>
      <c r="AA81" s="285">
        <f t="shared" si="43"/>
        <v>0</v>
      </c>
      <c r="AB81" s="285">
        <f t="shared" si="43"/>
        <v>0</v>
      </c>
      <c r="AC81" s="285">
        <f t="shared" si="43"/>
        <v>0</v>
      </c>
      <c r="AD81" s="285">
        <f t="shared" si="43"/>
        <v>0</v>
      </c>
      <c r="AE81" s="285">
        <f t="shared" si="43"/>
        <v>0</v>
      </c>
      <c r="AF81" s="285">
        <f t="shared" si="43"/>
        <v>44400</v>
      </c>
      <c r="AG81" s="285">
        <f t="shared" si="43"/>
        <v>163</v>
      </c>
      <c r="AH81" s="285">
        <f t="shared" si="43"/>
        <v>117135</v>
      </c>
      <c r="AI81" s="285">
        <f t="shared" si="43"/>
        <v>117135</v>
      </c>
      <c r="AJ81" s="285">
        <f t="shared" si="43"/>
        <v>0</v>
      </c>
      <c r="AK81" s="285">
        <f t="shared" si="43"/>
        <v>0</v>
      </c>
      <c r="AL81" s="285">
        <f t="shared" si="43"/>
        <v>117135</v>
      </c>
      <c r="AM81" s="285">
        <f t="shared" si="43"/>
        <v>44400</v>
      </c>
      <c r="AN81" s="285">
        <f t="shared" si="43"/>
        <v>163</v>
      </c>
      <c r="AO81" s="285">
        <f t="shared" si="43"/>
        <v>74546</v>
      </c>
      <c r="AP81" s="285">
        <f t="shared" si="43"/>
        <v>72735</v>
      </c>
      <c r="AQ81" s="285">
        <f t="shared" si="43"/>
        <v>77735</v>
      </c>
      <c r="AR81" s="285">
        <f t="shared" si="43"/>
        <v>48646</v>
      </c>
      <c r="AS81" s="285">
        <f>AS82+AS94</f>
        <v>51200</v>
      </c>
      <c r="AT81" s="296"/>
    </row>
    <row r="82" spans="1:46" s="265" customFormat="1" ht="15.75">
      <c r="A82" s="279" t="s">
        <v>337</v>
      </c>
      <c r="B82" s="297" t="s">
        <v>661</v>
      </c>
      <c r="C82" s="287"/>
      <c r="D82" s="288"/>
      <c r="E82" s="288"/>
      <c r="F82" s="282"/>
      <c r="G82" s="282"/>
      <c r="H82" s="285">
        <f t="shared" ref="H82:AR82" si="44">SUM(H83:H87)+H91</f>
        <v>134422</v>
      </c>
      <c r="I82" s="285">
        <f t="shared" si="44"/>
        <v>0</v>
      </c>
      <c r="J82" s="285">
        <f t="shared" si="44"/>
        <v>0</v>
      </c>
      <c r="K82" s="285">
        <f t="shared" si="44"/>
        <v>0</v>
      </c>
      <c r="L82" s="285">
        <f t="shared" si="44"/>
        <v>65900</v>
      </c>
      <c r="M82" s="285">
        <f t="shared" si="44"/>
        <v>65900</v>
      </c>
      <c r="N82" s="285">
        <f t="shared" si="44"/>
        <v>0</v>
      </c>
      <c r="O82" s="285">
        <f t="shared" si="44"/>
        <v>0</v>
      </c>
      <c r="P82" s="285">
        <f t="shared" si="44"/>
        <v>0</v>
      </c>
      <c r="Q82" s="285">
        <f t="shared" si="44"/>
        <v>0</v>
      </c>
      <c r="R82" s="285">
        <f t="shared" si="44"/>
        <v>0</v>
      </c>
      <c r="S82" s="285">
        <f t="shared" si="44"/>
        <v>0</v>
      </c>
      <c r="T82" s="285">
        <f t="shared" si="44"/>
        <v>0</v>
      </c>
      <c r="U82" s="285">
        <f t="shared" si="44"/>
        <v>0</v>
      </c>
      <c r="V82" s="285">
        <f t="shared" si="44"/>
        <v>0</v>
      </c>
      <c r="W82" s="285">
        <f t="shared" si="44"/>
        <v>0</v>
      </c>
      <c r="X82" s="285">
        <f t="shared" si="44"/>
        <v>0</v>
      </c>
      <c r="Y82" s="285">
        <f t="shared" si="44"/>
        <v>0</v>
      </c>
      <c r="Z82" s="285">
        <f t="shared" si="44"/>
        <v>0</v>
      </c>
      <c r="AA82" s="285">
        <f t="shared" si="44"/>
        <v>0</v>
      </c>
      <c r="AB82" s="285">
        <f t="shared" si="44"/>
        <v>0</v>
      </c>
      <c r="AC82" s="285">
        <f t="shared" si="44"/>
        <v>0</v>
      </c>
      <c r="AD82" s="285">
        <f t="shared" si="44"/>
        <v>0</v>
      </c>
      <c r="AE82" s="285">
        <f t="shared" si="44"/>
        <v>0</v>
      </c>
      <c r="AF82" s="285">
        <f t="shared" si="44"/>
        <v>38500</v>
      </c>
      <c r="AG82" s="285">
        <f t="shared" si="44"/>
        <v>163</v>
      </c>
      <c r="AH82" s="285">
        <f t="shared" si="44"/>
        <v>83000</v>
      </c>
      <c r="AI82" s="285">
        <f t="shared" si="44"/>
        <v>83000</v>
      </c>
      <c r="AJ82" s="285">
        <f t="shared" si="44"/>
        <v>0</v>
      </c>
      <c r="AK82" s="285">
        <f t="shared" si="44"/>
        <v>0</v>
      </c>
      <c r="AL82" s="285">
        <f t="shared" si="44"/>
        <v>83000</v>
      </c>
      <c r="AM82" s="285">
        <f t="shared" si="44"/>
        <v>38500</v>
      </c>
      <c r="AN82" s="285">
        <f t="shared" si="44"/>
        <v>163</v>
      </c>
      <c r="AO82" s="285">
        <f t="shared" si="44"/>
        <v>68646</v>
      </c>
      <c r="AP82" s="285">
        <f t="shared" si="44"/>
        <v>44500</v>
      </c>
      <c r="AQ82" s="285">
        <f t="shared" si="44"/>
        <v>49500</v>
      </c>
      <c r="AR82" s="285">
        <f t="shared" si="44"/>
        <v>48646</v>
      </c>
      <c r="AS82" s="285">
        <f>SUM(AS83:AS87)+AS91</f>
        <v>32000</v>
      </c>
      <c r="AT82" s="315"/>
    </row>
    <row r="83" spans="1:46" ht="47.25" customHeight="1">
      <c r="A83" s="298">
        <v>1</v>
      </c>
      <c r="B83" s="314" t="s">
        <v>805</v>
      </c>
      <c r="C83" s="300" t="s">
        <v>806</v>
      </c>
      <c r="D83" s="300" t="s">
        <v>675</v>
      </c>
      <c r="E83" s="300" t="s">
        <v>807</v>
      </c>
      <c r="F83" s="312" t="s">
        <v>671</v>
      </c>
      <c r="G83" s="300" t="s">
        <v>808</v>
      </c>
      <c r="H83" s="295">
        <v>44988</v>
      </c>
      <c r="I83" s="295"/>
      <c r="J83" s="295">
        <f t="shared" ref="J83:J91" si="45">I83*90%</f>
        <v>0</v>
      </c>
      <c r="K83" s="295"/>
      <c r="L83" s="295">
        <v>40500</v>
      </c>
      <c r="M83" s="295">
        <v>40500</v>
      </c>
      <c r="N83" s="295">
        <f t="shared" ref="N83:O85" si="46">P83+R83</f>
        <v>0</v>
      </c>
      <c r="O83" s="295">
        <f t="shared" si="46"/>
        <v>0</v>
      </c>
      <c r="P83" s="295"/>
      <c r="Q83" s="295"/>
      <c r="R83" s="295"/>
      <c r="S83" s="295"/>
      <c r="T83" s="295">
        <f t="shared" ref="T83:U85" si="47">V83+X83+Z83+AB83+AD83</f>
        <v>0</v>
      </c>
      <c r="U83" s="295">
        <f t="shared" si="47"/>
        <v>0</v>
      </c>
      <c r="V83" s="295">
        <v>0</v>
      </c>
      <c r="W83" s="295">
        <v>0</v>
      </c>
      <c r="X83" s="295"/>
      <c r="Y83" s="295"/>
      <c r="Z83" s="295"/>
      <c r="AA83" s="295"/>
      <c r="AB83" s="295"/>
      <c r="AC83" s="295"/>
      <c r="AD83" s="295"/>
      <c r="AE83" s="295"/>
      <c r="AF83" s="295">
        <v>20000</v>
      </c>
      <c r="AG83" s="295"/>
      <c r="AH83" s="295">
        <f>AI83+AJ83+AK83</f>
        <v>43000</v>
      </c>
      <c r="AI83" s="295">
        <v>43000</v>
      </c>
      <c r="AJ83" s="295">
        <f>R83+X83+Z83+AB83+AD83</f>
        <v>0</v>
      </c>
      <c r="AK83" s="295"/>
      <c r="AL83" s="295">
        <f t="shared" si="42"/>
        <v>43000</v>
      </c>
      <c r="AM83" s="295">
        <f t="shared" si="30"/>
        <v>20000</v>
      </c>
      <c r="AN83" s="295">
        <f t="shared" si="30"/>
        <v>0</v>
      </c>
      <c r="AO83" s="295">
        <f>K83+AM83</f>
        <v>20000</v>
      </c>
      <c r="AP83" s="295">
        <f>AH83-AM83</f>
        <v>23000</v>
      </c>
      <c r="AQ83" s="295">
        <f t="shared" si="31"/>
        <v>23000</v>
      </c>
      <c r="AR83" s="322">
        <v>0</v>
      </c>
      <c r="AS83" s="295">
        <v>10000</v>
      </c>
      <c r="AT83" s="310"/>
    </row>
    <row r="84" spans="1:46" ht="47.25" customHeight="1">
      <c r="A84" s="298">
        <v>2</v>
      </c>
      <c r="B84" s="314" t="s">
        <v>809</v>
      </c>
      <c r="C84" s="300" t="s">
        <v>806</v>
      </c>
      <c r="D84" s="300" t="s">
        <v>700</v>
      </c>
      <c r="E84" s="300" t="s">
        <v>810</v>
      </c>
      <c r="F84" s="312" t="s">
        <v>727</v>
      </c>
      <c r="G84" s="300" t="s">
        <v>811</v>
      </c>
      <c r="H84" s="322">
        <v>11603</v>
      </c>
      <c r="I84" s="322"/>
      <c r="J84" s="295">
        <f t="shared" si="45"/>
        <v>0</v>
      </c>
      <c r="K84" s="295"/>
      <c r="L84" s="295">
        <v>2700</v>
      </c>
      <c r="M84" s="295">
        <v>2700</v>
      </c>
      <c r="N84" s="295">
        <f t="shared" si="46"/>
        <v>0</v>
      </c>
      <c r="O84" s="295">
        <f t="shared" si="46"/>
        <v>0</v>
      </c>
      <c r="P84" s="295"/>
      <c r="Q84" s="295"/>
      <c r="R84" s="295"/>
      <c r="S84" s="295"/>
      <c r="T84" s="295">
        <f t="shared" si="47"/>
        <v>0</v>
      </c>
      <c r="U84" s="295">
        <f t="shared" si="47"/>
        <v>0</v>
      </c>
      <c r="V84" s="295"/>
      <c r="W84" s="295"/>
      <c r="X84" s="295"/>
      <c r="Y84" s="295"/>
      <c r="Z84" s="295"/>
      <c r="AA84" s="295"/>
      <c r="AB84" s="295"/>
      <c r="AC84" s="295"/>
      <c r="AD84" s="295"/>
      <c r="AE84" s="295"/>
      <c r="AF84" s="295">
        <v>6000</v>
      </c>
      <c r="AG84" s="295"/>
      <c r="AH84" s="295">
        <f>AI84+AJ84+AK84</f>
        <v>9000</v>
      </c>
      <c r="AI84" s="295">
        <v>9000</v>
      </c>
      <c r="AJ84" s="295">
        <f>R84+X84+Z84+AB84+AD84</f>
        <v>0</v>
      </c>
      <c r="AK84" s="295"/>
      <c r="AL84" s="295">
        <f t="shared" si="42"/>
        <v>9000</v>
      </c>
      <c r="AM84" s="295">
        <f t="shared" ref="AM84:AN126" si="48">N84+T84+AF84</f>
        <v>6000</v>
      </c>
      <c r="AN84" s="295">
        <f t="shared" si="48"/>
        <v>0</v>
      </c>
      <c r="AO84" s="295">
        <v>8413</v>
      </c>
      <c r="AP84" s="295">
        <f>AH84-AM84</f>
        <v>3000</v>
      </c>
      <c r="AQ84" s="295">
        <f>AP84-AK84</f>
        <v>3000</v>
      </c>
      <c r="AR84" s="295">
        <v>8413</v>
      </c>
      <c r="AS84" s="295">
        <v>2500</v>
      </c>
      <c r="AT84" s="313"/>
    </row>
    <row r="85" spans="1:46" ht="47.25" customHeight="1">
      <c r="A85" s="298">
        <v>3</v>
      </c>
      <c r="B85" s="299" t="s">
        <v>812</v>
      </c>
      <c r="C85" s="301" t="s">
        <v>806</v>
      </c>
      <c r="D85" s="301" t="s">
        <v>705</v>
      </c>
      <c r="E85" s="302" t="s">
        <v>813</v>
      </c>
      <c r="F85" s="298" t="s">
        <v>727</v>
      </c>
      <c r="G85" s="300" t="s">
        <v>814</v>
      </c>
      <c r="H85" s="322">
        <v>11414</v>
      </c>
      <c r="I85" s="322"/>
      <c r="J85" s="295">
        <f t="shared" si="45"/>
        <v>0</v>
      </c>
      <c r="K85" s="295"/>
      <c r="L85" s="295">
        <v>2700</v>
      </c>
      <c r="M85" s="295">
        <v>2700</v>
      </c>
      <c r="N85" s="295">
        <f t="shared" si="46"/>
        <v>0</v>
      </c>
      <c r="O85" s="295">
        <f t="shared" si="46"/>
        <v>0</v>
      </c>
      <c r="P85" s="295"/>
      <c r="Q85" s="295"/>
      <c r="R85" s="295"/>
      <c r="S85" s="295"/>
      <c r="T85" s="295">
        <f t="shared" si="47"/>
        <v>0</v>
      </c>
      <c r="U85" s="295">
        <f t="shared" si="47"/>
        <v>0</v>
      </c>
      <c r="V85" s="295"/>
      <c r="W85" s="295"/>
      <c r="X85" s="295"/>
      <c r="Y85" s="295"/>
      <c r="Z85" s="295"/>
      <c r="AA85" s="295"/>
      <c r="AB85" s="295"/>
      <c r="AC85" s="295"/>
      <c r="AD85" s="295"/>
      <c r="AE85" s="295"/>
      <c r="AF85" s="295">
        <v>6000</v>
      </c>
      <c r="AG85" s="295"/>
      <c r="AH85" s="295">
        <f>AI85+AJ85+AK85</f>
        <v>1000</v>
      </c>
      <c r="AI85" s="295">
        <v>1000</v>
      </c>
      <c r="AJ85" s="295">
        <f>R85+X85+Z85+AB85+AD85</f>
        <v>0</v>
      </c>
      <c r="AK85" s="295"/>
      <c r="AL85" s="295">
        <f t="shared" si="42"/>
        <v>1000</v>
      </c>
      <c r="AM85" s="295">
        <f t="shared" si="48"/>
        <v>6000</v>
      </c>
      <c r="AN85" s="295">
        <f t="shared" si="48"/>
        <v>0</v>
      </c>
      <c r="AO85" s="295">
        <v>8847</v>
      </c>
      <c r="AP85" s="295">
        <f>AH85-AM85</f>
        <v>-5000</v>
      </c>
      <c r="AQ85" s="295"/>
      <c r="AR85" s="295">
        <v>8847</v>
      </c>
      <c r="AS85" s="295">
        <v>1500</v>
      </c>
      <c r="AT85" s="313"/>
    </row>
    <row r="86" spans="1:46" ht="19.5" customHeight="1">
      <c r="A86" s="298">
        <v>4</v>
      </c>
      <c r="B86" s="317" t="s">
        <v>815</v>
      </c>
      <c r="C86" s="300" t="s">
        <v>806</v>
      </c>
      <c r="D86" s="301" t="s">
        <v>669</v>
      </c>
      <c r="E86" s="302"/>
      <c r="F86" s="300" t="s">
        <v>671</v>
      </c>
      <c r="G86" s="300" t="s">
        <v>816</v>
      </c>
      <c r="H86" s="322">
        <v>13987</v>
      </c>
      <c r="I86" s="322"/>
      <c r="J86" s="295"/>
      <c r="K86" s="295"/>
      <c r="L86" s="295"/>
      <c r="M86" s="295"/>
      <c r="N86" s="295"/>
      <c r="O86" s="295"/>
      <c r="P86" s="295"/>
      <c r="Q86" s="295"/>
      <c r="R86" s="295"/>
      <c r="S86" s="29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f>6579+4000</f>
        <v>10579</v>
      </c>
      <c r="AP86" s="295"/>
      <c r="AQ86" s="295"/>
      <c r="AR86" s="295">
        <v>10579</v>
      </c>
      <c r="AS86" s="295">
        <v>2000</v>
      </c>
      <c r="AT86" s="313"/>
    </row>
    <row r="87" spans="1:46" ht="47.25" customHeight="1">
      <c r="A87" s="298">
        <v>5</v>
      </c>
      <c r="B87" s="314" t="s">
        <v>817</v>
      </c>
      <c r="C87" s="300" t="s">
        <v>806</v>
      </c>
      <c r="D87" s="300" t="s">
        <v>818</v>
      </c>
      <c r="E87" s="300"/>
      <c r="F87" s="312" t="s">
        <v>727</v>
      </c>
      <c r="G87" s="300"/>
      <c r="H87" s="295">
        <v>32430</v>
      </c>
      <c r="I87" s="295">
        <f t="shared" ref="I87:AQ87" si="49">SUM(I88:I90)</f>
        <v>0</v>
      </c>
      <c r="J87" s="295">
        <f t="shared" si="49"/>
        <v>0</v>
      </c>
      <c r="K87" s="295">
        <f t="shared" si="49"/>
        <v>0</v>
      </c>
      <c r="L87" s="295">
        <f t="shared" si="49"/>
        <v>0</v>
      </c>
      <c r="M87" s="295">
        <f t="shared" si="49"/>
        <v>0</v>
      </c>
      <c r="N87" s="295">
        <f t="shared" si="49"/>
        <v>0</v>
      </c>
      <c r="O87" s="295">
        <f t="shared" si="49"/>
        <v>0</v>
      </c>
      <c r="P87" s="295">
        <f t="shared" si="49"/>
        <v>0</v>
      </c>
      <c r="Q87" s="295">
        <f t="shared" si="49"/>
        <v>0</v>
      </c>
      <c r="R87" s="295">
        <f t="shared" si="49"/>
        <v>0</v>
      </c>
      <c r="S87" s="295">
        <f t="shared" si="49"/>
        <v>0</v>
      </c>
      <c r="T87" s="295">
        <f t="shared" si="49"/>
        <v>0</v>
      </c>
      <c r="U87" s="295">
        <f t="shared" si="49"/>
        <v>0</v>
      </c>
      <c r="V87" s="295">
        <f t="shared" si="49"/>
        <v>0</v>
      </c>
      <c r="W87" s="295">
        <f t="shared" si="49"/>
        <v>0</v>
      </c>
      <c r="X87" s="295">
        <f t="shared" si="49"/>
        <v>0</v>
      </c>
      <c r="Y87" s="295">
        <f t="shared" si="49"/>
        <v>0</v>
      </c>
      <c r="Z87" s="295">
        <f t="shared" si="49"/>
        <v>0</v>
      </c>
      <c r="AA87" s="295">
        <f t="shared" si="49"/>
        <v>0</v>
      </c>
      <c r="AB87" s="295">
        <f t="shared" si="49"/>
        <v>0</v>
      </c>
      <c r="AC87" s="295">
        <f t="shared" si="49"/>
        <v>0</v>
      </c>
      <c r="AD87" s="295">
        <f t="shared" si="49"/>
        <v>0</v>
      </c>
      <c r="AE87" s="295">
        <f t="shared" si="49"/>
        <v>0</v>
      </c>
      <c r="AF87" s="295">
        <f t="shared" si="49"/>
        <v>0</v>
      </c>
      <c r="AG87" s="295">
        <f t="shared" si="49"/>
        <v>0</v>
      </c>
      <c r="AH87" s="295">
        <f t="shared" si="49"/>
        <v>0</v>
      </c>
      <c r="AI87" s="295">
        <f t="shared" si="49"/>
        <v>0</v>
      </c>
      <c r="AJ87" s="295">
        <f t="shared" si="49"/>
        <v>0</v>
      </c>
      <c r="AK87" s="295">
        <f t="shared" si="49"/>
        <v>0</v>
      </c>
      <c r="AL87" s="295">
        <f t="shared" si="49"/>
        <v>0</v>
      </c>
      <c r="AM87" s="295">
        <f t="shared" si="49"/>
        <v>0</v>
      </c>
      <c r="AN87" s="295">
        <f t="shared" si="49"/>
        <v>0</v>
      </c>
      <c r="AO87" s="295">
        <f t="shared" si="49"/>
        <v>14307</v>
      </c>
      <c r="AP87" s="295">
        <f t="shared" si="49"/>
        <v>0</v>
      </c>
      <c r="AQ87" s="295">
        <f t="shared" si="49"/>
        <v>0</v>
      </c>
      <c r="AR87" s="295">
        <v>14307</v>
      </c>
      <c r="AS87" s="295">
        <v>8000</v>
      </c>
      <c r="AT87" s="313"/>
    </row>
    <row r="88" spans="1:46" s="329" customFormat="1" ht="47.25" customHeight="1">
      <c r="A88" s="323" t="s">
        <v>819</v>
      </c>
      <c r="B88" s="324" t="s">
        <v>820</v>
      </c>
      <c r="C88" s="325" t="s">
        <v>806</v>
      </c>
      <c r="D88" s="325" t="s">
        <v>711</v>
      </c>
      <c r="E88" s="325"/>
      <c r="F88" s="326" t="s">
        <v>727</v>
      </c>
      <c r="G88" s="325" t="s">
        <v>821</v>
      </c>
      <c r="H88" s="327">
        <v>10936</v>
      </c>
      <c r="I88" s="327"/>
      <c r="J88" s="327"/>
      <c r="K88" s="327"/>
      <c r="L88" s="327"/>
      <c r="M88" s="327"/>
      <c r="N88" s="327"/>
      <c r="O88" s="327"/>
      <c r="P88" s="327"/>
      <c r="Q88" s="327"/>
      <c r="R88" s="327"/>
      <c r="S88" s="327"/>
      <c r="T88" s="327"/>
      <c r="U88" s="327"/>
      <c r="V88" s="327"/>
      <c r="W88" s="327"/>
      <c r="X88" s="327"/>
      <c r="Y88" s="327"/>
      <c r="Z88" s="327"/>
      <c r="AA88" s="327"/>
      <c r="AB88" s="327"/>
      <c r="AC88" s="327"/>
      <c r="AD88" s="327"/>
      <c r="AE88" s="327"/>
      <c r="AF88" s="327"/>
      <c r="AG88" s="327"/>
      <c r="AH88" s="327"/>
      <c r="AI88" s="327"/>
      <c r="AJ88" s="327"/>
      <c r="AK88" s="327"/>
      <c r="AL88" s="327"/>
      <c r="AM88" s="327"/>
      <c r="AN88" s="327"/>
      <c r="AO88" s="327">
        <v>7246</v>
      </c>
      <c r="AP88" s="327"/>
      <c r="AQ88" s="327"/>
      <c r="AR88" s="327">
        <v>7246</v>
      </c>
      <c r="AS88" s="327">
        <v>2500</v>
      </c>
      <c r="AT88" s="328"/>
    </row>
    <row r="89" spans="1:46" s="329" customFormat="1" ht="47.25" customHeight="1">
      <c r="A89" s="323" t="s">
        <v>822</v>
      </c>
      <c r="B89" s="324" t="s">
        <v>823</v>
      </c>
      <c r="C89" s="325" t="s">
        <v>806</v>
      </c>
      <c r="D89" s="325" t="s">
        <v>711</v>
      </c>
      <c r="E89" s="325"/>
      <c r="F89" s="326" t="s">
        <v>727</v>
      </c>
      <c r="G89" s="325" t="s">
        <v>824</v>
      </c>
      <c r="H89" s="327">
        <v>10669</v>
      </c>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v>7061</v>
      </c>
      <c r="AP89" s="327"/>
      <c r="AQ89" s="327"/>
      <c r="AR89" s="327">
        <v>7061</v>
      </c>
      <c r="AS89" s="327">
        <v>2500</v>
      </c>
      <c r="AT89" s="328"/>
    </row>
    <row r="90" spans="1:46" s="329" customFormat="1" ht="47.25" customHeight="1">
      <c r="A90" s="323" t="s">
        <v>825</v>
      </c>
      <c r="B90" s="324" t="s">
        <v>826</v>
      </c>
      <c r="C90" s="325" t="s">
        <v>806</v>
      </c>
      <c r="D90" s="325" t="s">
        <v>711</v>
      </c>
      <c r="E90" s="325"/>
      <c r="F90" s="326" t="s">
        <v>684</v>
      </c>
      <c r="G90" s="325"/>
      <c r="H90" s="327">
        <v>10825</v>
      </c>
      <c r="I90" s="327"/>
      <c r="J90" s="327"/>
      <c r="K90" s="327"/>
      <c r="L90" s="327"/>
      <c r="M90" s="327"/>
      <c r="N90" s="327"/>
      <c r="O90" s="327"/>
      <c r="P90" s="327"/>
      <c r="Q90" s="327"/>
      <c r="R90" s="327"/>
      <c r="S90" s="327"/>
      <c r="T90" s="327"/>
      <c r="U90" s="327"/>
      <c r="V90" s="327"/>
      <c r="W90" s="327"/>
      <c r="X90" s="327"/>
      <c r="Y90" s="327"/>
      <c r="Z90" s="327"/>
      <c r="AA90" s="327"/>
      <c r="AB90" s="327"/>
      <c r="AC90" s="327"/>
      <c r="AD90" s="327"/>
      <c r="AE90" s="327"/>
      <c r="AF90" s="327"/>
      <c r="AG90" s="327"/>
      <c r="AH90" s="327"/>
      <c r="AI90" s="327"/>
      <c r="AJ90" s="327"/>
      <c r="AK90" s="327"/>
      <c r="AL90" s="327"/>
      <c r="AM90" s="327"/>
      <c r="AN90" s="327"/>
      <c r="AO90" s="327"/>
      <c r="AP90" s="327"/>
      <c r="AQ90" s="327"/>
      <c r="AR90" s="327">
        <v>0</v>
      </c>
      <c r="AS90" s="327">
        <v>3000</v>
      </c>
      <c r="AT90" s="328"/>
    </row>
    <row r="91" spans="1:46" ht="47.25" customHeight="1">
      <c r="A91" s="298">
        <v>6</v>
      </c>
      <c r="B91" s="314" t="s">
        <v>827</v>
      </c>
      <c r="C91" s="300" t="s">
        <v>828</v>
      </c>
      <c r="D91" s="300" t="s">
        <v>818</v>
      </c>
      <c r="E91" s="300"/>
      <c r="F91" s="312" t="s">
        <v>727</v>
      </c>
      <c r="G91" s="300"/>
      <c r="H91" s="295">
        <v>20000</v>
      </c>
      <c r="I91" s="295"/>
      <c r="J91" s="295">
        <f t="shared" si="45"/>
        <v>0</v>
      </c>
      <c r="K91" s="295"/>
      <c r="L91" s="295">
        <v>20000</v>
      </c>
      <c r="M91" s="295">
        <v>20000</v>
      </c>
      <c r="N91" s="295">
        <f>P91+R91</f>
        <v>0</v>
      </c>
      <c r="O91" s="295">
        <f>Q91+S91</f>
        <v>0</v>
      </c>
      <c r="P91" s="295"/>
      <c r="Q91" s="295"/>
      <c r="R91" s="295"/>
      <c r="S91" s="295"/>
      <c r="T91" s="295">
        <f>V91+X91+Z91+AB91+AD91</f>
        <v>0</v>
      </c>
      <c r="U91" s="295">
        <f>W91+Y91+AA91+AC91+AE91</f>
        <v>0</v>
      </c>
      <c r="V91" s="295"/>
      <c r="W91" s="295"/>
      <c r="X91" s="295"/>
      <c r="Y91" s="295"/>
      <c r="Z91" s="295"/>
      <c r="AA91" s="295"/>
      <c r="AB91" s="295"/>
      <c r="AC91" s="295"/>
      <c r="AD91" s="295"/>
      <c r="AE91" s="295"/>
      <c r="AF91" s="295">
        <v>6500</v>
      </c>
      <c r="AG91" s="295">
        <v>163</v>
      </c>
      <c r="AH91" s="295">
        <f>AI91+AJ91+AK91</f>
        <v>30000</v>
      </c>
      <c r="AI91" s="295">
        <v>30000</v>
      </c>
      <c r="AJ91" s="295">
        <f>R91+X91+Z91+AB91+AD91</f>
        <v>0</v>
      </c>
      <c r="AK91" s="295"/>
      <c r="AL91" s="295">
        <f t="shared" si="42"/>
        <v>30000</v>
      </c>
      <c r="AM91" s="295">
        <f t="shared" si="48"/>
        <v>6500</v>
      </c>
      <c r="AN91" s="295">
        <f t="shared" si="48"/>
        <v>163</v>
      </c>
      <c r="AO91" s="295">
        <f>K91+AM91</f>
        <v>6500</v>
      </c>
      <c r="AP91" s="295">
        <f>AH91-AM91</f>
        <v>23500</v>
      </c>
      <c r="AQ91" s="295">
        <f>AP91-AK91</f>
        <v>23500</v>
      </c>
      <c r="AR91" s="295">
        <v>6500</v>
      </c>
      <c r="AS91" s="295">
        <v>8000</v>
      </c>
      <c r="AT91" s="310"/>
    </row>
    <row r="92" spans="1:46" s="329" customFormat="1" ht="47.25" customHeight="1">
      <c r="A92" s="323" t="s">
        <v>829</v>
      </c>
      <c r="B92" s="324" t="s">
        <v>830</v>
      </c>
      <c r="C92" s="325" t="s">
        <v>828</v>
      </c>
      <c r="D92" s="325" t="s">
        <v>711</v>
      </c>
      <c r="E92" s="325"/>
      <c r="F92" s="326" t="s">
        <v>676</v>
      </c>
      <c r="G92" s="325" t="s">
        <v>831</v>
      </c>
      <c r="H92" s="327">
        <v>8591</v>
      </c>
      <c r="I92" s="327"/>
      <c r="J92" s="327"/>
      <c r="K92" s="327"/>
      <c r="L92" s="327"/>
      <c r="M92" s="327"/>
      <c r="N92" s="327"/>
      <c r="O92" s="327"/>
      <c r="P92" s="327"/>
      <c r="Q92" s="327"/>
      <c r="R92" s="327"/>
      <c r="S92" s="327"/>
      <c r="T92" s="327"/>
      <c r="U92" s="327"/>
      <c r="V92" s="327"/>
      <c r="W92" s="327"/>
      <c r="X92" s="327"/>
      <c r="Y92" s="327"/>
      <c r="Z92" s="327"/>
      <c r="AA92" s="327"/>
      <c r="AB92" s="327"/>
      <c r="AC92" s="327"/>
      <c r="AD92" s="327"/>
      <c r="AE92" s="327"/>
      <c r="AF92" s="327"/>
      <c r="AG92" s="327"/>
      <c r="AH92" s="327"/>
      <c r="AI92" s="327"/>
      <c r="AJ92" s="327"/>
      <c r="AK92" s="327"/>
      <c r="AL92" s="327"/>
      <c r="AM92" s="327"/>
      <c r="AN92" s="327"/>
      <c r="AO92" s="327"/>
      <c r="AP92" s="327"/>
      <c r="AQ92" s="327"/>
      <c r="AR92" s="330">
        <v>4700</v>
      </c>
      <c r="AS92" s="327">
        <v>2000</v>
      </c>
      <c r="AT92" s="331"/>
    </row>
    <row r="93" spans="1:46" s="329" customFormat="1" ht="47.25" customHeight="1">
      <c r="A93" s="323" t="s">
        <v>832</v>
      </c>
      <c r="B93" s="324" t="s">
        <v>833</v>
      </c>
      <c r="C93" s="325" t="s">
        <v>828</v>
      </c>
      <c r="D93" s="325" t="s">
        <v>711</v>
      </c>
      <c r="E93" s="325"/>
      <c r="F93" s="326" t="s">
        <v>684</v>
      </c>
      <c r="G93" s="325"/>
      <c r="H93" s="327">
        <v>22357</v>
      </c>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AR93" s="330">
        <v>0</v>
      </c>
      <c r="AS93" s="327">
        <v>6000</v>
      </c>
      <c r="AT93" s="331"/>
    </row>
    <row r="94" spans="1:46" s="265" customFormat="1" ht="47.25" customHeight="1">
      <c r="A94" s="290" t="s">
        <v>340</v>
      </c>
      <c r="B94" s="297" t="s">
        <v>682</v>
      </c>
      <c r="C94" s="292"/>
      <c r="D94" s="279"/>
      <c r="E94" s="293"/>
      <c r="F94" s="279"/>
      <c r="G94" s="294"/>
      <c r="H94" s="285">
        <f t="shared" ref="H94:AS94" si="50">SUM(H95:H102)</f>
        <v>49124</v>
      </c>
      <c r="I94" s="285">
        <f t="shared" si="50"/>
        <v>0</v>
      </c>
      <c r="J94" s="285">
        <f t="shared" si="50"/>
        <v>0</v>
      </c>
      <c r="K94" s="285">
        <f t="shared" si="50"/>
        <v>0</v>
      </c>
      <c r="L94" s="285">
        <f t="shared" si="50"/>
        <v>18915</v>
      </c>
      <c r="M94" s="285">
        <f t="shared" si="50"/>
        <v>18915</v>
      </c>
      <c r="N94" s="285">
        <f t="shared" si="50"/>
        <v>0</v>
      </c>
      <c r="O94" s="285">
        <f t="shared" si="50"/>
        <v>0</v>
      </c>
      <c r="P94" s="285">
        <f t="shared" si="50"/>
        <v>0</v>
      </c>
      <c r="Q94" s="285">
        <f t="shared" si="50"/>
        <v>0</v>
      </c>
      <c r="R94" s="285">
        <f t="shared" si="50"/>
        <v>0</v>
      </c>
      <c r="S94" s="285">
        <f t="shared" si="50"/>
        <v>0</v>
      </c>
      <c r="T94" s="285">
        <f t="shared" si="50"/>
        <v>0</v>
      </c>
      <c r="U94" s="285">
        <f t="shared" si="50"/>
        <v>0</v>
      </c>
      <c r="V94" s="285">
        <f t="shared" si="50"/>
        <v>0</v>
      </c>
      <c r="W94" s="285">
        <f t="shared" si="50"/>
        <v>0</v>
      </c>
      <c r="X94" s="285">
        <f t="shared" si="50"/>
        <v>0</v>
      </c>
      <c r="Y94" s="285">
        <f t="shared" si="50"/>
        <v>0</v>
      </c>
      <c r="Z94" s="285">
        <f t="shared" si="50"/>
        <v>0</v>
      </c>
      <c r="AA94" s="285">
        <f t="shared" si="50"/>
        <v>0</v>
      </c>
      <c r="AB94" s="285">
        <f t="shared" si="50"/>
        <v>0</v>
      </c>
      <c r="AC94" s="285">
        <f t="shared" si="50"/>
        <v>0</v>
      </c>
      <c r="AD94" s="285">
        <f t="shared" si="50"/>
        <v>0</v>
      </c>
      <c r="AE94" s="285">
        <f t="shared" si="50"/>
        <v>0</v>
      </c>
      <c r="AF94" s="285">
        <f t="shared" si="50"/>
        <v>5900</v>
      </c>
      <c r="AG94" s="285">
        <f t="shared" si="50"/>
        <v>0</v>
      </c>
      <c r="AH94" s="285">
        <f t="shared" si="50"/>
        <v>34135</v>
      </c>
      <c r="AI94" s="285">
        <f t="shared" si="50"/>
        <v>34135</v>
      </c>
      <c r="AJ94" s="285">
        <f t="shared" si="50"/>
        <v>0</v>
      </c>
      <c r="AK94" s="285">
        <f t="shared" si="50"/>
        <v>0</v>
      </c>
      <c r="AL94" s="285">
        <f t="shared" si="50"/>
        <v>34135</v>
      </c>
      <c r="AM94" s="285">
        <f t="shared" si="50"/>
        <v>5900</v>
      </c>
      <c r="AN94" s="285">
        <f t="shared" si="50"/>
        <v>0</v>
      </c>
      <c r="AO94" s="285">
        <f t="shared" si="50"/>
        <v>5900</v>
      </c>
      <c r="AP94" s="285">
        <f t="shared" si="50"/>
        <v>28235</v>
      </c>
      <c r="AQ94" s="285">
        <f t="shared" si="50"/>
        <v>28235</v>
      </c>
      <c r="AR94" s="285">
        <f t="shared" si="50"/>
        <v>0</v>
      </c>
      <c r="AS94" s="285">
        <f t="shared" si="50"/>
        <v>19200</v>
      </c>
      <c r="AT94" s="296"/>
    </row>
    <row r="95" spans="1:46" s="265" customFormat="1" ht="47.25" customHeight="1">
      <c r="A95" s="298">
        <v>1</v>
      </c>
      <c r="B95" s="314" t="s">
        <v>834</v>
      </c>
      <c r="C95" s="300" t="s">
        <v>835</v>
      </c>
      <c r="D95" s="300" t="s">
        <v>669</v>
      </c>
      <c r="E95" s="300"/>
      <c r="F95" s="312" t="s">
        <v>727</v>
      </c>
      <c r="G95" s="300" t="s">
        <v>836</v>
      </c>
      <c r="H95" s="295">
        <v>5040</v>
      </c>
      <c r="I95" s="295"/>
      <c r="J95" s="295">
        <f>I95*90%</f>
        <v>0</v>
      </c>
      <c r="K95" s="295"/>
      <c r="L95" s="295">
        <v>1125</v>
      </c>
      <c r="M95" s="295">
        <v>1125</v>
      </c>
      <c r="N95" s="295">
        <f>P95+R95</f>
        <v>0</v>
      </c>
      <c r="O95" s="295">
        <f>Q95+S95</f>
        <v>0</v>
      </c>
      <c r="P95" s="295"/>
      <c r="Q95" s="295"/>
      <c r="R95" s="295"/>
      <c r="S95" s="295"/>
      <c r="T95" s="295">
        <f>V95+X95+Z95+AB95+AD95</f>
        <v>0</v>
      </c>
      <c r="U95" s="295">
        <f t="shared" ref="U95:U143" si="51">W95+Y95+AA95+AC95+AE95</f>
        <v>0</v>
      </c>
      <c r="V95" s="295"/>
      <c r="W95" s="295"/>
      <c r="X95" s="295"/>
      <c r="Y95" s="295"/>
      <c r="Z95" s="295"/>
      <c r="AA95" s="295"/>
      <c r="AB95" s="295"/>
      <c r="AC95" s="295"/>
      <c r="AD95" s="295"/>
      <c r="AE95" s="295"/>
      <c r="AF95" s="295"/>
      <c r="AG95" s="295"/>
      <c r="AH95" s="295">
        <f>AI95+AJ95+AK95</f>
        <v>1250</v>
      </c>
      <c r="AI95" s="295">
        <v>1250</v>
      </c>
      <c r="AJ95" s="295">
        <f>R95+X95+Z95+AB95+AD95</f>
        <v>0</v>
      </c>
      <c r="AK95" s="295"/>
      <c r="AL95" s="285">
        <f t="shared" si="42"/>
        <v>1250</v>
      </c>
      <c r="AM95" s="295">
        <f t="shared" si="48"/>
        <v>0</v>
      </c>
      <c r="AN95" s="295">
        <f t="shared" si="48"/>
        <v>0</v>
      </c>
      <c r="AO95" s="285">
        <f t="shared" ref="AO95:AO103" si="52">K95+AM95</f>
        <v>0</v>
      </c>
      <c r="AP95" s="295">
        <f>AH95-AM95</f>
        <v>1250</v>
      </c>
      <c r="AQ95" s="285">
        <f t="shared" si="31"/>
        <v>1250</v>
      </c>
      <c r="AR95" s="295">
        <v>0</v>
      </c>
      <c r="AS95" s="295">
        <v>2000</v>
      </c>
      <c r="AT95" s="310"/>
    </row>
    <row r="96" spans="1:46" s="265" customFormat="1" ht="47.25" customHeight="1">
      <c r="A96" s="298">
        <v>2</v>
      </c>
      <c r="B96" s="314" t="s">
        <v>837</v>
      </c>
      <c r="C96" s="300" t="s">
        <v>835</v>
      </c>
      <c r="D96" s="300" t="s">
        <v>669</v>
      </c>
      <c r="E96" s="300"/>
      <c r="F96" s="312" t="s">
        <v>684</v>
      </c>
      <c r="G96" s="300" t="s">
        <v>838</v>
      </c>
      <c r="H96" s="295">
        <v>2305</v>
      </c>
      <c r="I96" s="295"/>
      <c r="J96" s="295">
        <f>I96*90%</f>
        <v>0</v>
      </c>
      <c r="K96" s="295"/>
      <c r="L96" s="295">
        <v>1620</v>
      </c>
      <c r="M96" s="295">
        <v>1620</v>
      </c>
      <c r="N96" s="295">
        <f>P96+R96</f>
        <v>0</v>
      </c>
      <c r="O96" s="295">
        <f>Q96+S96</f>
        <v>0</v>
      </c>
      <c r="P96" s="295"/>
      <c r="Q96" s="295"/>
      <c r="R96" s="295"/>
      <c r="S96" s="295"/>
      <c r="T96" s="295">
        <f>V96+X96+Z96+AB96+AD96</f>
        <v>0</v>
      </c>
      <c r="U96" s="295">
        <f>W96+Y96+AA96+AC96+AE96</f>
        <v>0</v>
      </c>
      <c r="V96" s="295"/>
      <c r="W96" s="295"/>
      <c r="X96" s="295"/>
      <c r="Y96" s="295"/>
      <c r="Z96" s="295"/>
      <c r="AA96" s="295"/>
      <c r="AB96" s="295"/>
      <c r="AC96" s="295"/>
      <c r="AD96" s="295"/>
      <c r="AE96" s="295"/>
      <c r="AF96" s="295"/>
      <c r="AG96" s="295"/>
      <c r="AH96" s="295">
        <f>AI96+AJ96+AK96</f>
        <v>1620</v>
      </c>
      <c r="AI96" s="295">
        <v>1620</v>
      </c>
      <c r="AJ96" s="295">
        <f>R96+X96+Z96+AB96+AD96</f>
        <v>0</v>
      </c>
      <c r="AK96" s="295"/>
      <c r="AL96" s="285">
        <f>AI96+AJ96</f>
        <v>1620</v>
      </c>
      <c r="AM96" s="295">
        <f>N96+T96+AF96</f>
        <v>0</v>
      </c>
      <c r="AN96" s="295">
        <f>O96+U96+AG96</f>
        <v>0</v>
      </c>
      <c r="AO96" s="285">
        <f>K96+AM96</f>
        <v>0</v>
      </c>
      <c r="AP96" s="295">
        <f>AH96-AM96</f>
        <v>1620</v>
      </c>
      <c r="AQ96" s="285">
        <f>AP96-AK96</f>
        <v>1620</v>
      </c>
      <c r="AR96" s="295">
        <v>0</v>
      </c>
      <c r="AS96" s="295">
        <v>1500</v>
      </c>
      <c r="AT96" s="313"/>
    </row>
    <row r="97" spans="1:47" s="265" customFormat="1" ht="47.25" customHeight="1">
      <c r="A97" s="298">
        <v>3</v>
      </c>
      <c r="B97" s="305" t="s">
        <v>839</v>
      </c>
      <c r="C97" s="300" t="s">
        <v>806</v>
      </c>
      <c r="D97" s="300" t="s">
        <v>669</v>
      </c>
      <c r="E97" s="300"/>
      <c r="F97" s="312" t="s">
        <v>684</v>
      </c>
      <c r="G97" s="300" t="s">
        <v>840</v>
      </c>
      <c r="H97" s="295">
        <v>2845</v>
      </c>
      <c r="I97" s="295"/>
      <c r="J97" s="295"/>
      <c r="K97" s="295"/>
      <c r="L97" s="295"/>
      <c r="M97" s="295"/>
      <c r="N97" s="295"/>
      <c r="O97" s="295"/>
      <c r="P97" s="295"/>
      <c r="Q97" s="295"/>
      <c r="R97" s="295"/>
      <c r="S97" s="295"/>
      <c r="T97" s="295"/>
      <c r="U97" s="295"/>
      <c r="V97" s="295"/>
      <c r="W97" s="295"/>
      <c r="X97" s="295"/>
      <c r="Y97" s="295"/>
      <c r="Z97" s="295"/>
      <c r="AA97" s="295"/>
      <c r="AB97" s="295"/>
      <c r="AC97" s="295"/>
      <c r="AD97" s="295"/>
      <c r="AE97" s="295"/>
      <c r="AF97" s="295"/>
      <c r="AG97" s="295"/>
      <c r="AH97" s="295"/>
      <c r="AI97" s="295"/>
      <c r="AJ97" s="295"/>
      <c r="AK97" s="295"/>
      <c r="AL97" s="285">
        <f t="shared" si="42"/>
        <v>0</v>
      </c>
      <c r="AM97" s="295"/>
      <c r="AN97" s="295"/>
      <c r="AO97" s="285">
        <f t="shared" si="52"/>
        <v>0</v>
      </c>
      <c r="AP97" s="295"/>
      <c r="AQ97" s="285"/>
      <c r="AR97" s="295">
        <v>0</v>
      </c>
      <c r="AS97" s="295">
        <v>1000</v>
      </c>
      <c r="AT97" s="313"/>
      <c r="AU97" s="332" t="s">
        <v>841</v>
      </c>
    </row>
    <row r="98" spans="1:47" s="265" customFormat="1" ht="47.25" customHeight="1">
      <c r="A98" s="298">
        <v>4</v>
      </c>
      <c r="B98" s="314" t="s">
        <v>842</v>
      </c>
      <c r="C98" s="300" t="s">
        <v>806</v>
      </c>
      <c r="D98" s="300" t="s">
        <v>675</v>
      </c>
      <c r="E98" s="300" t="s">
        <v>843</v>
      </c>
      <c r="F98" s="312" t="s">
        <v>684</v>
      </c>
      <c r="G98" s="300" t="s">
        <v>844</v>
      </c>
      <c r="H98" s="295">
        <v>4954</v>
      </c>
      <c r="I98" s="295"/>
      <c r="J98" s="295">
        <f>I98*90%</f>
        <v>0</v>
      </c>
      <c r="K98" s="295"/>
      <c r="L98" s="295">
        <v>4500</v>
      </c>
      <c r="M98" s="295">
        <v>4500</v>
      </c>
      <c r="N98" s="295">
        <f t="shared" ref="N98:O100" si="53">P98+R98</f>
        <v>0</v>
      </c>
      <c r="O98" s="295">
        <f t="shared" si="53"/>
        <v>0</v>
      </c>
      <c r="P98" s="295"/>
      <c r="Q98" s="295"/>
      <c r="R98" s="295"/>
      <c r="S98" s="295"/>
      <c r="T98" s="295">
        <f t="shared" ref="T98:T103" si="54">V98+X98+Z98+AB98+AD98</f>
        <v>0</v>
      </c>
      <c r="U98" s="295">
        <f t="shared" si="51"/>
        <v>0</v>
      </c>
      <c r="V98" s="295"/>
      <c r="W98" s="295"/>
      <c r="X98" s="295"/>
      <c r="Y98" s="295"/>
      <c r="Z98" s="295"/>
      <c r="AA98" s="295"/>
      <c r="AB98" s="295"/>
      <c r="AC98" s="295"/>
      <c r="AD98" s="295"/>
      <c r="AE98" s="295"/>
      <c r="AF98" s="295"/>
      <c r="AG98" s="295"/>
      <c r="AH98" s="295">
        <f>AI98+AJ98+AK98</f>
        <v>4500</v>
      </c>
      <c r="AI98" s="295">
        <v>4500</v>
      </c>
      <c r="AJ98" s="295">
        <f t="shared" ref="AJ98:AJ103" si="55">R98+X98+Z98+AB98+AD98</f>
        <v>0</v>
      </c>
      <c r="AK98" s="295"/>
      <c r="AL98" s="285">
        <f t="shared" si="42"/>
        <v>4500</v>
      </c>
      <c r="AM98" s="295">
        <f t="shared" si="48"/>
        <v>0</v>
      </c>
      <c r="AN98" s="295">
        <f t="shared" si="48"/>
        <v>0</v>
      </c>
      <c r="AO98" s="285">
        <f t="shared" si="52"/>
        <v>0</v>
      </c>
      <c r="AP98" s="295">
        <f t="shared" ref="AP98:AP103" si="56">AH98-AM98</f>
        <v>4500</v>
      </c>
      <c r="AQ98" s="285">
        <f t="shared" si="31"/>
        <v>4500</v>
      </c>
      <c r="AR98" s="295">
        <v>0</v>
      </c>
      <c r="AS98" s="295">
        <v>2000</v>
      </c>
      <c r="AT98" s="313"/>
    </row>
    <row r="99" spans="1:47" s="265" customFormat="1" ht="47.25" customHeight="1">
      <c r="A99" s="298">
        <v>5</v>
      </c>
      <c r="B99" s="314" t="s">
        <v>845</v>
      </c>
      <c r="C99" s="300" t="s">
        <v>806</v>
      </c>
      <c r="D99" s="300" t="s">
        <v>675</v>
      </c>
      <c r="E99" s="300" t="s">
        <v>846</v>
      </c>
      <c r="F99" s="312" t="s">
        <v>684</v>
      </c>
      <c r="G99" s="300" t="s">
        <v>847</v>
      </c>
      <c r="H99" s="295">
        <v>1992</v>
      </c>
      <c r="I99" s="295"/>
      <c r="J99" s="295">
        <f t="shared" ref="J99:J126" si="57">I99*90%</f>
        <v>0</v>
      </c>
      <c r="K99" s="295"/>
      <c r="L99" s="295">
        <v>1350</v>
      </c>
      <c r="M99" s="295">
        <v>1350</v>
      </c>
      <c r="N99" s="295">
        <f t="shared" si="53"/>
        <v>0</v>
      </c>
      <c r="O99" s="295">
        <f t="shared" si="53"/>
        <v>0</v>
      </c>
      <c r="P99" s="295"/>
      <c r="Q99" s="295"/>
      <c r="R99" s="295"/>
      <c r="S99" s="295"/>
      <c r="T99" s="295">
        <f t="shared" si="54"/>
        <v>0</v>
      </c>
      <c r="U99" s="295">
        <f t="shared" si="51"/>
        <v>0</v>
      </c>
      <c r="V99" s="295"/>
      <c r="W99" s="295"/>
      <c r="X99" s="295"/>
      <c r="Y99" s="295"/>
      <c r="Z99" s="295"/>
      <c r="AA99" s="295"/>
      <c r="AB99" s="295"/>
      <c r="AC99" s="295"/>
      <c r="AD99" s="295"/>
      <c r="AE99" s="295"/>
      <c r="AF99" s="295"/>
      <c r="AG99" s="295"/>
      <c r="AH99" s="295">
        <f>AI99+AJ99+AK99</f>
        <v>1350</v>
      </c>
      <c r="AI99" s="295">
        <v>1350</v>
      </c>
      <c r="AJ99" s="295">
        <f t="shared" si="55"/>
        <v>0</v>
      </c>
      <c r="AK99" s="295"/>
      <c r="AL99" s="285">
        <f t="shared" si="42"/>
        <v>1350</v>
      </c>
      <c r="AM99" s="295">
        <f t="shared" si="48"/>
        <v>0</v>
      </c>
      <c r="AN99" s="295">
        <f t="shared" si="48"/>
        <v>0</v>
      </c>
      <c r="AO99" s="285">
        <f t="shared" si="52"/>
        <v>0</v>
      </c>
      <c r="AP99" s="295">
        <f t="shared" si="56"/>
        <v>1350</v>
      </c>
      <c r="AQ99" s="285">
        <f t="shared" si="31"/>
        <v>1350</v>
      </c>
      <c r="AR99" s="295">
        <v>0</v>
      </c>
      <c r="AS99" s="295">
        <v>1000</v>
      </c>
      <c r="AT99" s="313"/>
    </row>
    <row r="100" spans="1:47" s="265" customFormat="1" ht="47.25" customHeight="1">
      <c r="A100" s="298">
        <v>6</v>
      </c>
      <c r="B100" s="314" t="s">
        <v>848</v>
      </c>
      <c r="C100" s="300" t="s">
        <v>806</v>
      </c>
      <c r="D100" s="300" t="s">
        <v>675</v>
      </c>
      <c r="E100" s="300" t="s">
        <v>849</v>
      </c>
      <c r="F100" s="312" t="s">
        <v>684</v>
      </c>
      <c r="G100" s="300" t="s">
        <v>850</v>
      </c>
      <c r="H100" s="295">
        <v>1988</v>
      </c>
      <c r="I100" s="295"/>
      <c r="J100" s="295">
        <f t="shared" si="57"/>
        <v>0</v>
      </c>
      <c r="K100" s="295"/>
      <c r="L100" s="295">
        <v>1350</v>
      </c>
      <c r="M100" s="295">
        <v>1350</v>
      </c>
      <c r="N100" s="295">
        <f t="shared" si="53"/>
        <v>0</v>
      </c>
      <c r="O100" s="295">
        <f t="shared" si="53"/>
        <v>0</v>
      </c>
      <c r="P100" s="295"/>
      <c r="Q100" s="295"/>
      <c r="R100" s="295"/>
      <c r="S100" s="295"/>
      <c r="T100" s="295">
        <f t="shared" si="54"/>
        <v>0</v>
      </c>
      <c r="U100" s="295">
        <f t="shared" si="51"/>
        <v>0</v>
      </c>
      <c r="V100" s="295"/>
      <c r="W100" s="295"/>
      <c r="X100" s="295"/>
      <c r="Y100" s="295"/>
      <c r="Z100" s="295"/>
      <c r="AA100" s="295"/>
      <c r="AB100" s="295"/>
      <c r="AC100" s="295"/>
      <c r="AD100" s="295"/>
      <c r="AE100" s="295"/>
      <c r="AF100" s="295"/>
      <c r="AG100" s="295"/>
      <c r="AH100" s="295">
        <f>AI100+AJ100+AK100</f>
        <v>1350</v>
      </c>
      <c r="AI100" s="295">
        <v>1350</v>
      </c>
      <c r="AJ100" s="295">
        <f t="shared" si="55"/>
        <v>0</v>
      </c>
      <c r="AK100" s="295"/>
      <c r="AL100" s="285">
        <f t="shared" si="42"/>
        <v>1350</v>
      </c>
      <c r="AM100" s="295">
        <f t="shared" si="48"/>
        <v>0</v>
      </c>
      <c r="AN100" s="295">
        <f t="shared" si="48"/>
        <v>0</v>
      </c>
      <c r="AO100" s="285">
        <f t="shared" si="52"/>
        <v>0</v>
      </c>
      <c r="AP100" s="295">
        <f t="shared" si="56"/>
        <v>1350</v>
      </c>
      <c r="AQ100" s="285">
        <f t="shared" si="31"/>
        <v>1350</v>
      </c>
      <c r="AR100" s="295">
        <v>0</v>
      </c>
      <c r="AS100" s="295">
        <v>1000</v>
      </c>
      <c r="AT100" s="313"/>
    </row>
    <row r="101" spans="1:47" s="265" customFormat="1" ht="47.25" customHeight="1">
      <c r="A101" s="298">
        <v>7</v>
      </c>
      <c r="B101" s="317" t="s">
        <v>851</v>
      </c>
      <c r="C101" s="300" t="s">
        <v>828</v>
      </c>
      <c r="D101" s="300" t="s">
        <v>852</v>
      </c>
      <c r="E101" s="300"/>
      <c r="F101" s="312" t="s">
        <v>684</v>
      </c>
      <c r="G101" s="300"/>
      <c r="H101" s="322">
        <v>30000</v>
      </c>
      <c r="I101" s="322"/>
      <c r="J101" s="295">
        <f t="shared" si="57"/>
        <v>0</v>
      </c>
      <c r="K101" s="295"/>
      <c r="L101" s="295"/>
      <c r="M101" s="295"/>
      <c r="N101" s="295"/>
      <c r="O101" s="295">
        <f>Q101+S101</f>
        <v>0</v>
      </c>
      <c r="P101" s="295"/>
      <c r="Q101" s="295"/>
      <c r="R101" s="295"/>
      <c r="S101" s="295"/>
      <c r="T101" s="295">
        <f t="shared" si="54"/>
        <v>0</v>
      </c>
      <c r="U101" s="295">
        <f t="shared" si="51"/>
        <v>0</v>
      </c>
      <c r="V101" s="295"/>
      <c r="W101" s="295"/>
      <c r="X101" s="295"/>
      <c r="Y101" s="295"/>
      <c r="Z101" s="295"/>
      <c r="AA101" s="295"/>
      <c r="AB101" s="295"/>
      <c r="AC101" s="295"/>
      <c r="AD101" s="295"/>
      <c r="AE101" s="295"/>
      <c r="AF101" s="295"/>
      <c r="AG101" s="295"/>
      <c r="AH101" s="295">
        <f>AI101+AJ101+AK101</f>
        <v>20000</v>
      </c>
      <c r="AI101" s="295">
        <v>20000</v>
      </c>
      <c r="AJ101" s="295">
        <f t="shared" si="55"/>
        <v>0</v>
      </c>
      <c r="AK101" s="295"/>
      <c r="AL101" s="285">
        <f t="shared" si="42"/>
        <v>20000</v>
      </c>
      <c r="AM101" s="295">
        <f t="shared" si="48"/>
        <v>0</v>
      </c>
      <c r="AN101" s="295">
        <f t="shared" si="48"/>
        <v>0</v>
      </c>
      <c r="AO101" s="285">
        <f t="shared" si="52"/>
        <v>0</v>
      </c>
      <c r="AP101" s="295">
        <f t="shared" si="56"/>
        <v>20000</v>
      </c>
      <c r="AQ101" s="285">
        <f t="shared" si="31"/>
        <v>20000</v>
      </c>
      <c r="AR101" s="295">
        <v>0</v>
      </c>
      <c r="AS101" s="295">
        <v>7000</v>
      </c>
      <c r="AT101" s="304"/>
    </row>
    <row r="102" spans="1:47" ht="47.25" customHeight="1">
      <c r="A102" s="298">
        <v>8</v>
      </c>
      <c r="B102" s="314" t="s">
        <v>853</v>
      </c>
      <c r="C102" s="300" t="s">
        <v>854</v>
      </c>
      <c r="D102" s="300" t="s">
        <v>711</v>
      </c>
      <c r="E102" s="300"/>
      <c r="F102" s="312"/>
      <c r="G102" s="300"/>
      <c r="H102" s="295"/>
      <c r="I102" s="295"/>
      <c r="J102" s="295">
        <f>I102*90%</f>
        <v>0</v>
      </c>
      <c r="K102" s="295"/>
      <c r="L102" s="295">
        <v>8970</v>
      </c>
      <c r="M102" s="295">
        <v>8970</v>
      </c>
      <c r="N102" s="295">
        <f>P102+R102</f>
        <v>0</v>
      </c>
      <c r="O102" s="295">
        <f>Q102+S102</f>
        <v>0</v>
      </c>
      <c r="P102" s="295"/>
      <c r="Q102" s="295"/>
      <c r="R102" s="295"/>
      <c r="S102" s="295"/>
      <c r="T102" s="295">
        <f t="shared" si="54"/>
        <v>0</v>
      </c>
      <c r="U102" s="295">
        <f t="shared" si="51"/>
        <v>0</v>
      </c>
      <c r="V102" s="295"/>
      <c r="W102" s="295"/>
      <c r="X102" s="295"/>
      <c r="Y102" s="295"/>
      <c r="Z102" s="295"/>
      <c r="AA102" s="295"/>
      <c r="AB102" s="295"/>
      <c r="AC102" s="295"/>
      <c r="AD102" s="295"/>
      <c r="AE102" s="295"/>
      <c r="AF102" s="295">
        <v>5900</v>
      </c>
      <c r="AG102" s="295"/>
      <c r="AH102" s="295">
        <f>AI102+AJ102+AK102</f>
        <v>4065</v>
      </c>
      <c r="AI102" s="295">
        <f>9000-4935</f>
        <v>4065</v>
      </c>
      <c r="AJ102" s="295">
        <f t="shared" si="55"/>
        <v>0</v>
      </c>
      <c r="AK102" s="295"/>
      <c r="AL102" s="295">
        <f t="shared" si="42"/>
        <v>4065</v>
      </c>
      <c r="AM102" s="295">
        <f t="shared" si="48"/>
        <v>5900</v>
      </c>
      <c r="AN102" s="295">
        <f t="shared" si="48"/>
        <v>0</v>
      </c>
      <c r="AO102" s="295">
        <f t="shared" si="52"/>
        <v>5900</v>
      </c>
      <c r="AP102" s="295">
        <f t="shared" si="56"/>
        <v>-1835</v>
      </c>
      <c r="AQ102" s="295">
        <f t="shared" si="31"/>
        <v>-1835</v>
      </c>
      <c r="AR102" s="295">
        <v>0</v>
      </c>
      <c r="AS102" s="295">
        <f>4000-300</f>
        <v>3700</v>
      </c>
      <c r="AT102" s="313"/>
    </row>
    <row r="103" spans="1:47" s="265" customFormat="1" ht="47.25" hidden="1" customHeight="1">
      <c r="A103" s="298"/>
      <c r="B103" s="299"/>
      <c r="C103" s="301"/>
      <c r="D103" s="301"/>
      <c r="E103" s="302"/>
      <c r="F103" s="298"/>
      <c r="G103" s="307"/>
      <c r="H103" s="295"/>
      <c r="I103" s="295"/>
      <c r="J103" s="295">
        <f t="shared" si="57"/>
        <v>0</v>
      </c>
      <c r="K103" s="295"/>
      <c r="L103" s="295"/>
      <c r="M103" s="295"/>
      <c r="N103" s="295">
        <f>P103+R103</f>
        <v>0</v>
      </c>
      <c r="O103" s="295"/>
      <c r="P103" s="295"/>
      <c r="Q103" s="295"/>
      <c r="R103" s="295"/>
      <c r="S103" s="295"/>
      <c r="T103" s="295">
        <f t="shared" si="54"/>
        <v>0</v>
      </c>
      <c r="U103" s="295">
        <f t="shared" si="51"/>
        <v>0</v>
      </c>
      <c r="V103" s="295"/>
      <c r="W103" s="295"/>
      <c r="X103" s="295"/>
      <c r="Y103" s="295"/>
      <c r="Z103" s="295"/>
      <c r="AA103" s="295"/>
      <c r="AB103" s="295"/>
      <c r="AC103" s="295"/>
      <c r="AD103" s="295"/>
      <c r="AE103" s="295"/>
      <c r="AF103" s="295"/>
      <c r="AG103" s="295"/>
      <c r="AH103" s="295">
        <f>AI103+AJ103</f>
        <v>0</v>
      </c>
      <c r="AI103" s="295"/>
      <c r="AJ103" s="295">
        <f t="shared" si="55"/>
        <v>0</v>
      </c>
      <c r="AK103" s="295"/>
      <c r="AL103" s="285">
        <f t="shared" si="42"/>
        <v>0</v>
      </c>
      <c r="AM103" s="295">
        <f t="shared" si="48"/>
        <v>0</v>
      </c>
      <c r="AN103" s="295">
        <f t="shared" si="48"/>
        <v>0</v>
      </c>
      <c r="AO103" s="285">
        <f t="shared" si="52"/>
        <v>0</v>
      </c>
      <c r="AP103" s="295">
        <f t="shared" si="56"/>
        <v>0</v>
      </c>
      <c r="AQ103" s="285">
        <f t="shared" si="31"/>
        <v>0</v>
      </c>
      <c r="AR103" s="295">
        <v>0</v>
      </c>
      <c r="AS103" s="295"/>
      <c r="AT103" s="304"/>
    </row>
    <row r="104" spans="1:47" s="265" customFormat="1" ht="15.75">
      <c r="A104" s="290" t="s">
        <v>266</v>
      </c>
      <c r="B104" s="297" t="s">
        <v>855</v>
      </c>
      <c r="C104" s="292"/>
      <c r="D104" s="279"/>
      <c r="E104" s="293"/>
      <c r="F104" s="279"/>
      <c r="G104" s="294"/>
      <c r="H104" s="285">
        <f t="shared" ref="H104:AS104" si="58">H105+H106+H107+H108+H113+H120</f>
        <v>4148102</v>
      </c>
      <c r="I104" s="285">
        <f t="shared" si="58"/>
        <v>0</v>
      </c>
      <c r="J104" s="285">
        <f t="shared" si="58"/>
        <v>0</v>
      </c>
      <c r="K104" s="285">
        <f t="shared" si="58"/>
        <v>17877</v>
      </c>
      <c r="L104" s="285">
        <f t="shared" si="58"/>
        <v>450585</v>
      </c>
      <c r="M104" s="285">
        <f t="shared" si="58"/>
        <v>450585</v>
      </c>
      <c r="N104" s="285">
        <f t="shared" si="58"/>
        <v>65393</v>
      </c>
      <c r="O104" s="285">
        <f t="shared" si="58"/>
        <v>82025.823999999993</v>
      </c>
      <c r="P104" s="285">
        <f t="shared" si="58"/>
        <v>33450</v>
      </c>
      <c r="Q104" s="285">
        <f t="shared" si="58"/>
        <v>33450</v>
      </c>
      <c r="R104" s="285">
        <f t="shared" si="58"/>
        <v>49598</v>
      </c>
      <c r="S104" s="285">
        <f t="shared" si="58"/>
        <v>48575.824000000001</v>
      </c>
      <c r="T104" s="285">
        <f t="shared" si="58"/>
        <v>166550</v>
      </c>
      <c r="U104" s="285">
        <f t="shared" si="58"/>
        <v>162197</v>
      </c>
      <c r="V104" s="285">
        <f t="shared" si="58"/>
        <v>89476</v>
      </c>
      <c r="W104" s="285">
        <f t="shared" si="58"/>
        <v>87581</v>
      </c>
      <c r="X104" s="285">
        <f t="shared" si="58"/>
        <v>44375</v>
      </c>
      <c r="Y104" s="285">
        <f t="shared" si="58"/>
        <v>44375</v>
      </c>
      <c r="Z104" s="285">
        <f t="shared" si="58"/>
        <v>12699</v>
      </c>
      <c r="AA104" s="285">
        <f t="shared" si="58"/>
        <v>10241</v>
      </c>
      <c r="AB104" s="285">
        <f t="shared" si="58"/>
        <v>0</v>
      </c>
      <c r="AC104" s="285">
        <f t="shared" si="58"/>
        <v>0</v>
      </c>
      <c r="AD104" s="285">
        <f t="shared" si="58"/>
        <v>20000</v>
      </c>
      <c r="AE104" s="285">
        <f t="shared" si="58"/>
        <v>20000</v>
      </c>
      <c r="AF104" s="285">
        <f t="shared" si="58"/>
        <v>113817</v>
      </c>
      <c r="AG104" s="285">
        <f t="shared" si="58"/>
        <v>78249</v>
      </c>
      <c r="AH104" s="285">
        <f t="shared" si="58"/>
        <v>676172</v>
      </c>
      <c r="AI104" s="285">
        <f t="shared" si="58"/>
        <v>549500</v>
      </c>
      <c r="AJ104" s="285">
        <f t="shared" si="58"/>
        <v>126672</v>
      </c>
      <c r="AK104" s="285">
        <f t="shared" si="58"/>
        <v>0</v>
      </c>
      <c r="AL104" s="285">
        <f t="shared" si="58"/>
        <v>676172</v>
      </c>
      <c r="AM104" s="285">
        <f t="shared" si="58"/>
        <v>345760</v>
      </c>
      <c r="AN104" s="285">
        <f t="shared" si="58"/>
        <v>322471.82400000002</v>
      </c>
      <c r="AO104" s="285">
        <f t="shared" si="58"/>
        <v>363637</v>
      </c>
      <c r="AP104" s="285">
        <f t="shared" si="58"/>
        <v>330412</v>
      </c>
      <c r="AQ104" s="285">
        <f t="shared" si="58"/>
        <v>330412</v>
      </c>
      <c r="AR104" s="285">
        <f t="shared" si="58"/>
        <v>417067</v>
      </c>
      <c r="AS104" s="285">
        <f t="shared" si="58"/>
        <v>132213</v>
      </c>
      <c r="AT104" s="296"/>
    </row>
    <row r="105" spans="1:47" s="265" customFormat="1" ht="15.75">
      <c r="A105" s="298">
        <v>1</v>
      </c>
      <c r="B105" s="314" t="s">
        <v>856</v>
      </c>
      <c r="C105" s="300"/>
      <c r="D105" s="300"/>
      <c r="E105" s="300"/>
      <c r="F105" s="312"/>
      <c r="G105" s="300"/>
      <c r="H105" s="295">
        <v>0</v>
      </c>
      <c r="I105" s="295"/>
      <c r="J105" s="295">
        <f t="shared" si="57"/>
        <v>0</v>
      </c>
      <c r="K105" s="295"/>
      <c r="L105" s="295">
        <v>50000</v>
      </c>
      <c r="M105" s="295">
        <v>50000</v>
      </c>
      <c r="N105" s="295">
        <f>P105+R105</f>
        <v>10000</v>
      </c>
      <c r="O105" s="295">
        <f>Q105+S105</f>
        <v>10000</v>
      </c>
      <c r="P105" s="295">
        <v>10000</v>
      </c>
      <c r="Q105" s="295">
        <v>10000</v>
      </c>
      <c r="R105" s="295"/>
      <c r="S105" s="295"/>
      <c r="T105" s="295">
        <f>V105+X105+Z105+AB105+AD105</f>
        <v>1500</v>
      </c>
      <c r="U105" s="295">
        <f t="shared" si="51"/>
        <v>1174</v>
      </c>
      <c r="V105" s="295">
        <v>1500</v>
      </c>
      <c r="W105" s="295">
        <v>1174</v>
      </c>
      <c r="X105" s="295"/>
      <c r="Y105" s="295"/>
      <c r="Z105" s="295"/>
      <c r="AA105" s="295"/>
      <c r="AB105" s="295"/>
      <c r="AC105" s="295"/>
      <c r="AD105" s="295"/>
      <c r="AE105" s="295"/>
      <c r="AF105" s="295">
        <v>10000</v>
      </c>
      <c r="AG105" s="295"/>
      <c r="AH105" s="295">
        <f>AI105+AJ105+AK105</f>
        <v>40000</v>
      </c>
      <c r="AI105" s="295">
        <v>40000</v>
      </c>
      <c r="AJ105" s="295">
        <f>R105+X105+Z105+AB105+AD105</f>
        <v>0</v>
      </c>
      <c r="AK105" s="295"/>
      <c r="AL105" s="285">
        <f t="shared" si="42"/>
        <v>40000</v>
      </c>
      <c r="AM105" s="295">
        <f t="shared" si="48"/>
        <v>21500</v>
      </c>
      <c r="AN105" s="295">
        <f t="shared" si="48"/>
        <v>11174</v>
      </c>
      <c r="AO105" s="295">
        <f t="shared" ref="AO105:AO112" si="59">K105+AM105</f>
        <v>21500</v>
      </c>
      <c r="AP105" s="295">
        <f>AH105-AM105</f>
        <v>18500</v>
      </c>
      <c r="AQ105" s="285">
        <f t="shared" si="31"/>
        <v>18500</v>
      </c>
      <c r="AR105" s="295">
        <v>0</v>
      </c>
      <c r="AS105" s="295">
        <v>20000</v>
      </c>
      <c r="AT105" s="313"/>
    </row>
    <row r="106" spans="1:47" ht="47.25" customHeight="1">
      <c r="A106" s="298">
        <v>2</v>
      </c>
      <c r="B106" s="333" t="s">
        <v>857</v>
      </c>
      <c r="C106" s="300"/>
      <c r="D106" s="300"/>
      <c r="E106" s="300"/>
      <c r="F106" s="312"/>
      <c r="G106" s="300"/>
      <c r="H106" s="295">
        <v>0</v>
      </c>
      <c r="I106" s="295"/>
      <c r="J106" s="295">
        <f t="shared" si="57"/>
        <v>0</v>
      </c>
      <c r="K106" s="295">
        <v>0</v>
      </c>
      <c r="L106" s="295">
        <v>0</v>
      </c>
      <c r="M106" s="295">
        <v>0</v>
      </c>
      <c r="N106" s="295">
        <v>0</v>
      </c>
      <c r="O106" s="295">
        <f>Q106+S106</f>
        <v>17655</v>
      </c>
      <c r="P106" s="295">
        <v>0</v>
      </c>
      <c r="Q106" s="295"/>
      <c r="R106" s="295">
        <v>17655</v>
      </c>
      <c r="S106" s="295">
        <v>17655</v>
      </c>
      <c r="T106" s="295">
        <f>V106+X106+Z106+AB106+AD106</f>
        <v>510</v>
      </c>
      <c r="U106" s="295">
        <f t="shared" si="51"/>
        <v>510</v>
      </c>
      <c r="V106" s="295">
        <v>510</v>
      </c>
      <c r="W106" s="295">
        <v>510</v>
      </c>
      <c r="X106" s="295"/>
      <c r="Y106" s="295"/>
      <c r="Z106" s="295"/>
      <c r="AA106" s="295"/>
      <c r="AB106" s="295"/>
      <c r="AC106" s="295"/>
      <c r="AD106" s="295"/>
      <c r="AE106" s="295"/>
      <c r="AF106" s="295">
        <v>2260</v>
      </c>
      <c r="AG106" s="295"/>
      <c r="AH106" s="295">
        <f>AI106+AJ106+AK106</f>
        <v>46155</v>
      </c>
      <c r="AI106" s="295">
        <v>28500</v>
      </c>
      <c r="AJ106" s="295">
        <f>R106+X106+Z106+AB106+AD106</f>
        <v>17655</v>
      </c>
      <c r="AK106" s="295"/>
      <c r="AL106" s="285">
        <f t="shared" si="42"/>
        <v>46155</v>
      </c>
      <c r="AM106" s="295">
        <f t="shared" si="48"/>
        <v>2770</v>
      </c>
      <c r="AN106" s="295">
        <f t="shared" si="48"/>
        <v>18165</v>
      </c>
      <c r="AO106" s="295">
        <f t="shared" si="59"/>
        <v>2770</v>
      </c>
      <c r="AP106" s="295">
        <f>AH106-AM106</f>
        <v>43385</v>
      </c>
      <c r="AQ106" s="285">
        <f t="shared" si="31"/>
        <v>43385</v>
      </c>
      <c r="AR106" s="295">
        <v>0</v>
      </c>
      <c r="AS106" s="295">
        <v>5200</v>
      </c>
      <c r="AT106" s="313"/>
    </row>
    <row r="107" spans="1:47" s="265" customFormat="1" ht="47.25" customHeight="1">
      <c r="A107" s="298">
        <v>3</v>
      </c>
      <c r="B107" s="305" t="s">
        <v>858</v>
      </c>
      <c r="C107" s="300" t="s">
        <v>859</v>
      </c>
      <c r="D107" s="300" t="s">
        <v>675</v>
      </c>
      <c r="E107" s="300"/>
      <c r="F107" s="312" t="s">
        <v>684</v>
      </c>
      <c r="G107" s="300"/>
      <c r="H107" s="295">
        <v>17834</v>
      </c>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85">
        <f t="shared" si="42"/>
        <v>0</v>
      </c>
      <c r="AM107" s="295"/>
      <c r="AN107" s="295"/>
      <c r="AO107" s="295">
        <f t="shared" si="59"/>
        <v>0</v>
      </c>
      <c r="AP107" s="295"/>
      <c r="AQ107" s="285"/>
      <c r="AR107" s="295">
        <v>0</v>
      </c>
      <c r="AS107" s="295">
        <f>4000+1000</f>
        <v>5000</v>
      </c>
      <c r="AT107" s="313"/>
      <c r="AU107" s="265">
        <f>H107*35%</f>
        <v>6241.9</v>
      </c>
    </row>
    <row r="108" spans="1:47" s="265" customFormat="1" ht="15.75">
      <c r="A108" s="290">
        <v>4</v>
      </c>
      <c r="B108" s="297" t="s">
        <v>860</v>
      </c>
      <c r="C108" s="292"/>
      <c r="D108" s="279"/>
      <c r="E108" s="293"/>
      <c r="F108" s="279"/>
      <c r="G108" s="294"/>
      <c r="H108" s="285">
        <f t="shared" ref="H108:AR108" si="60">SUM(H109:H112)</f>
        <v>2075136</v>
      </c>
      <c r="I108" s="285">
        <f t="shared" si="60"/>
        <v>0</v>
      </c>
      <c r="J108" s="285">
        <f t="shared" si="60"/>
        <v>0</v>
      </c>
      <c r="K108" s="285">
        <f t="shared" si="60"/>
        <v>17877</v>
      </c>
      <c r="L108" s="285">
        <f t="shared" si="60"/>
        <v>118000</v>
      </c>
      <c r="M108" s="285">
        <f t="shared" si="60"/>
        <v>118000</v>
      </c>
      <c r="N108" s="285">
        <f t="shared" si="60"/>
        <v>20000</v>
      </c>
      <c r="O108" s="285">
        <f t="shared" si="60"/>
        <v>20000</v>
      </c>
      <c r="P108" s="285">
        <f t="shared" si="60"/>
        <v>20000</v>
      </c>
      <c r="Q108" s="285">
        <f t="shared" si="60"/>
        <v>20000</v>
      </c>
      <c r="R108" s="285">
        <f t="shared" si="60"/>
        <v>0</v>
      </c>
      <c r="S108" s="285">
        <f t="shared" si="60"/>
        <v>0</v>
      </c>
      <c r="T108" s="285">
        <f t="shared" si="60"/>
        <v>43612</v>
      </c>
      <c r="U108" s="285">
        <f t="shared" si="60"/>
        <v>41060</v>
      </c>
      <c r="V108" s="285">
        <f t="shared" si="60"/>
        <v>33112</v>
      </c>
      <c r="W108" s="285">
        <f t="shared" si="60"/>
        <v>33018</v>
      </c>
      <c r="X108" s="285">
        <f t="shared" si="60"/>
        <v>0</v>
      </c>
      <c r="Y108" s="285">
        <f t="shared" si="60"/>
        <v>0</v>
      </c>
      <c r="Z108" s="285">
        <f t="shared" si="60"/>
        <v>10500</v>
      </c>
      <c r="AA108" s="285">
        <f t="shared" si="60"/>
        <v>8042</v>
      </c>
      <c r="AB108" s="285">
        <f t="shared" si="60"/>
        <v>0</v>
      </c>
      <c r="AC108" s="285">
        <f t="shared" si="60"/>
        <v>0</v>
      </c>
      <c r="AD108" s="285">
        <f t="shared" si="60"/>
        <v>0</v>
      </c>
      <c r="AE108" s="285">
        <f t="shared" si="60"/>
        <v>0</v>
      </c>
      <c r="AF108" s="285">
        <f t="shared" si="60"/>
        <v>27000</v>
      </c>
      <c r="AG108" s="285">
        <f t="shared" si="60"/>
        <v>15881</v>
      </c>
      <c r="AH108" s="285">
        <f t="shared" si="60"/>
        <v>113500</v>
      </c>
      <c r="AI108" s="285">
        <f t="shared" si="60"/>
        <v>103000</v>
      </c>
      <c r="AJ108" s="285">
        <f t="shared" si="60"/>
        <v>10500</v>
      </c>
      <c r="AK108" s="285">
        <f t="shared" si="60"/>
        <v>0</v>
      </c>
      <c r="AL108" s="285">
        <f t="shared" si="60"/>
        <v>113500</v>
      </c>
      <c r="AM108" s="285">
        <f t="shared" si="60"/>
        <v>90612</v>
      </c>
      <c r="AN108" s="285">
        <f t="shared" si="60"/>
        <v>76941</v>
      </c>
      <c r="AO108" s="285">
        <f t="shared" si="60"/>
        <v>108489</v>
      </c>
      <c r="AP108" s="285">
        <f t="shared" si="60"/>
        <v>22888</v>
      </c>
      <c r="AQ108" s="285">
        <f t="shared" si="60"/>
        <v>22888</v>
      </c>
      <c r="AR108" s="285">
        <f t="shared" si="60"/>
        <v>186189</v>
      </c>
      <c r="AS108" s="285">
        <f>SUM(AS109:AS112)</f>
        <v>13000</v>
      </c>
      <c r="AT108" s="296"/>
    </row>
    <row r="109" spans="1:47" s="265" customFormat="1" ht="47.25" customHeight="1">
      <c r="A109" s="298" t="s">
        <v>861</v>
      </c>
      <c r="B109" s="314" t="s">
        <v>862</v>
      </c>
      <c r="C109" s="300" t="s">
        <v>674</v>
      </c>
      <c r="D109" s="300" t="s">
        <v>700</v>
      </c>
      <c r="E109" s="300" t="s">
        <v>863</v>
      </c>
      <c r="F109" s="312" t="s">
        <v>864</v>
      </c>
      <c r="G109" s="300" t="s">
        <v>865</v>
      </c>
      <c r="H109" s="295">
        <v>365820</v>
      </c>
      <c r="I109" s="295"/>
      <c r="J109" s="295">
        <f t="shared" si="57"/>
        <v>0</v>
      </c>
      <c r="K109" s="295">
        <f>15500+2000+230+147</f>
        <v>17877</v>
      </c>
      <c r="L109" s="295">
        <v>60000</v>
      </c>
      <c r="M109" s="295">
        <v>60000</v>
      </c>
      <c r="N109" s="295">
        <f>P109+R109</f>
        <v>20000</v>
      </c>
      <c r="O109" s="295">
        <f>Q109+S109</f>
        <v>20000</v>
      </c>
      <c r="P109" s="295">
        <v>20000</v>
      </c>
      <c r="Q109" s="295">
        <v>20000</v>
      </c>
      <c r="R109" s="295"/>
      <c r="S109" s="295"/>
      <c r="T109" s="295">
        <f>V109+X109+Z109+AB109+AD109</f>
        <v>30612</v>
      </c>
      <c r="U109" s="295">
        <f t="shared" si="51"/>
        <v>30612</v>
      </c>
      <c r="V109" s="295">
        <v>30612</v>
      </c>
      <c r="W109" s="295">
        <v>30612</v>
      </c>
      <c r="X109" s="295">
        <v>0</v>
      </c>
      <c r="Y109" s="295"/>
      <c r="Z109" s="295"/>
      <c r="AA109" s="295"/>
      <c r="AB109" s="295"/>
      <c r="AC109" s="295"/>
      <c r="AD109" s="295"/>
      <c r="AE109" s="295"/>
      <c r="AF109" s="295">
        <v>12000</v>
      </c>
      <c r="AG109" s="295">
        <v>9847</v>
      </c>
      <c r="AH109" s="295">
        <f>AI109+AJ109+AK109</f>
        <v>65000</v>
      </c>
      <c r="AI109" s="295">
        <v>65000</v>
      </c>
      <c r="AJ109" s="295">
        <f>R109+X109+Z109+AB109+AD109</f>
        <v>0</v>
      </c>
      <c r="AK109" s="295"/>
      <c r="AL109" s="285">
        <f t="shared" si="42"/>
        <v>65000</v>
      </c>
      <c r="AM109" s="295">
        <f t="shared" si="48"/>
        <v>62612</v>
      </c>
      <c r="AN109" s="295">
        <f t="shared" si="48"/>
        <v>60459</v>
      </c>
      <c r="AO109" s="295">
        <f t="shared" si="59"/>
        <v>80489</v>
      </c>
      <c r="AP109" s="295">
        <f>AH109-AM109</f>
        <v>2388</v>
      </c>
      <c r="AQ109" s="285">
        <f t="shared" si="31"/>
        <v>2388</v>
      </c>
      <c r="AR109" s="295">
        <v>80489</v>
      </c>
      <c r="AS109" s="295">
        <v>6000</v>
      </c>
      <c r="AT109" s="310" t="s">
        <v>866</v>
      </c>
    </row>
    <row r="110" spans="1:47" s="265" customFormat="1" ht="47.25" customHeight="1">
      <c r="A110" s="298" t="s">
        <v>867</v>
      </c>
      <c r="B110" s="299" t="s">
        <v>868</v>
      </c>
      <c r="C110" s="301" t="s">
        <v>674</v>
      </c>
      <c r="D110" s="301" t="s">
        <v>869</v>
      </c>
      <c r="E110" s="302" t="s">
        <v>870</v>
      </c>
      <c r="F110" s="298" t="s">
        <v>871</v>
      </c>
      <c r="G110" s="303" t="s">
        <v>872</v>
      </c>
      <c r="H110" s="295">
        <v>329015</v>
      </c>
      <c r="I110" s="295"/>
      <c r="J110" s="295">
        <f t="shared" si="57"/>
        <v>0</v>
      </c>
      <c r="K110" s="295">
        <v>0</v>
      </c>
      <c r="L110" s="295">
        <v>50000</v>
      </c>
      <c r="M110" s="295">
        <v>50000</v>
      </c>
      <c r="N110" s="295">
        <f>P110+R110</f>
        <v>0</v>
      </c>
      <c r="O110" s="295">
        <f>Q110+S110</f>
        <v>0</v>
      </c>
      <c r="P110" s="295"/>
      <c r="Q110" s="295"/>
      <c r="R110" s="295"/>
      <c r="S110" s="295"/>
      <c r="T110" s="295">
        <f>V110+X110+Z110+AB110+AD110</f>
        <v>13000</v>
      </c>
      <c r="U110" s="295">
        <f t="shared" si="51"/>
        <v>10448</v>
      </c>
      <c r="V110" s="295">
        <v>2500</v>
      </c>
      <c r="W110" s="295">
        <v>2406</v>
      </c>
      <c r="X110" s="295"/>
      <c r="Y110" s="295"/>
      <c r="Z110" s="295">
        <f>14000-3500</f>
        <v>10500</v>
      </c>
      <c r="AA110" s="295">
        <v>8042</v>
      </c>
      <c r="AB110" s="295"/>
      <c r="AC110" s="295"/>
      <c r="AD110" s="295"/>
      <c r="AE110" s="295"/>
      <c r="AF110" s="295">
        <v>12000</v>
      </c>
      <c r="AG110" s="295">
        <v>6034</v>
      </c>
      <c r="AH110" s="295">
        <f>AI110+AJ110+AK110</f>
        <v>40500</v>
      </c>
      <c r="AI110" s="295">
        <v>30000</v>
      </c>
      <c r="AJ110" s="295">
        <f>R110+X110+Z110+AB110+AD110</f>
        <v>10500</v>
      </c>
      <c r="AK110" s="295"/>
      <c r="AL110" s="285">
        <f t="shared" si="42"/>
        <v>40500</v>
      </c>
      <c r="AM110" s="295">
        <f t="shared" si="48"/>
        <v>25000</v>
      </c>
      <c r="AN110" s="295">
        <f t="shared" si="48"/>
        <v>16482</v>
      </c>
      <c r="AO110" s="295">
        <f t="shared" si="59"/>
        <v>25000</v>
      </c>
      <c r="AP110" s="295">
        <f>AH110-AM110</f>
        <v>15500</v>
      </c>
      <c r="AQ110" s="285">
        <f t="shared" si="31"/>
        <v>15500</v>
      </c>
      <c r="AR110" s="295">
        <v>25000</v>
      </c>
      <c r="AS110" s="295">
        <v>4000</v>
      </c>
      <c r="AT110" s="313"/>
    </row>
    <row r="111" spans="1:47" s="265" customFormat="1" ht="47.25" customHeight="1">
      <c r="A111" s="298" t="s">
        <v>873</v>
      </c>
      <c r="B111" s="299" t="s">
        <v>874</v>
      </c>
      <c r="C111" s="300" t="s">
        <v>675</v>
      </c>
      <c r="D111" s="301" t="s">
        <v>675</v>
      </c>
      <c r="E111" s="302" t="s">
        <v>875</v>
      </c>
      <c r="F111" s="298" t="s">
        <v>876</v>
      </c>
      <c r="G111" s="303" t="s">
        <v>877</v>
      </c>
      <c r="H111" s="295">
        <v>1343809</v>
      </c>
      <c r="I111" s="295"/>
      <c r="J111" s="295"/>
      <c r="K111" s="295"/>
      <c r="L111" s="295"/>
      <c r="M111" s="295"/>
      <c r="N111" s="295"/>
      <c r="O111" s="295"/>
      <c r="P111" s="295"/>
      <c r="Q111" s="295"/>
      <c r="R111" s="295"/>
      <c r="S111" s="295"/>
      <c r="T111" s="295"/>
      <c r="U111" s="295"/>
      <c r="V111" s="295"/>
      <c r="W111" s="295"/>
      <c r="X111" s="295"/>
      <c r="Y111" s="295"/>
      <c r="Z111" s="295"/>
      <c r="AA111" s="295"/>
      <c r="AB111" s="295"/>
      <c r="AC111" s="295"/>
      <c r="AD111" s="295"/>
      <c r="AE111" s="295"/>
      <c r="AF111" s="295"/>
      <c r="AG111" s="295"/>
      <c r="AH111" s="295"/>
      <c r="AI111" s="295"/>
      <c r="AJ111" s="295"/>
      <c r="AK111" s="295"/>
      <c r="AL111" s="285"/>
      <c r="AM111" s="295"/>
      <c r="AN111" s="295"/>
      <c r="AO111" s="295"/>
      <c r="AP111" s="295"/>
      <c r="AQ111" s="285"/>
      <c r="AR111" s="295">
        <v>80700</v>
      </c>
      <c r="AS111" s="295">
        <v>1000</v>
      </c>
      <c r="AT111" s="313"/>
    </row>
    <row r="112" spans="1:47" s="265" customFormat="1" ht="47.25" customHeight="1">
      <c r="A112" s="298" t="s">
        <v>878</v>
      </c>
      <c r="B112" s="314" t="s">
        <v>879</v>
      </c>
      <c r="C112" s="300" t="s">
        <v>771</v>
      </c>
      <c r="D112" s="300" t="s">
        <v>852</v>
      </c>
      <c r="E112" s="300"/>
      <c r="F112" s="312" t="s">
        <v>727</v>
      </c>
      <c r="G112" s="300" t="s">
        <v>880</v>
      </c>
      <c r="H112" s="295">
        <v>36492</v>
      </c>
      <c r="I112" s="295"/>
      <c r="J112" s="295">
        <f t="shared" si="57"/>
        <v>0</v>
      </c>
      <c r="K112" s="295">
        <v>0</v>
      </c>
      <c r="L112" s="295">
        <v>8000</v>
      </c>
      <c r="M112" s="295">
        <v>8000</v>
      </c>
      <c r="N112" s="295">
        <f>P112+R112</f>
        <v>0</v>
      </c>
      <c r="O112" s="295">
        <f>Q112+S112</f>
        <v>0</v>
      </c>
      <c r="P112" s="295"/>
      <c r="Q112" s="295"/>
      <c r="R112" s="295"/>
      <c r="S112" s="295"/>
      <c r="T112" s="295">
        <f>V112+X112+Z112+AB112+AD112</f>
        <v>0</v>
      </c>
      <c r="U112" s="295">
        <f t="shared" si="51"/>
        <v>0</v>
      </c>
      <c r="V112" s="295"/>
      <c r="W112" s="295"/>
      <c r="X112" s="295"/>
      <c r="Y112" s="295"/>
      <c r="Z112" s="295"/>
      <c r="AA112" s="295"/>
      <c r="AB112" s="295"/>
      <c r="AC112" s="295"/>
      <c r="AD112" s="295"/>
      <c r="AE112" s="295"/>
      <c r="AF112" s="295">
        <v>3000</v>
      </c>
      <c r="AG112" s="295"/>
      <c r="AH112" s="295">
        <f>AI112+AJ112+AK112</f>
        <v>8000</v>
      </c>
      <c r="AI112" s="295">
        <v>8000</v>
      </c>
      <c r="AJ112" s="295">
        <f>R112+X112+Z112+AB112+AD112</f>
        <v>0</v>
      </c>
      <c r="AK112" s="295"/>
      <c r="AL112" s="285">
        <f t="shared" si="42"/>
        <v>8000</v>
      </c>
      <c r="AM112" s="295">
        <f t="shared" si="48"/>
        <v>3000</v>
      </c>
      <c r="AN112" s="295">
        <f t="shared" si="48"/>
        <v>0</v>
      </c>
      <c r="AO112" s="295">
        <f t="shared" si="59"/>
        <v>3000</v>
      </c>
      <c r="AP112" s="295">
        <f>AH112-AM112</f>
        <v>5000</v>
      </c>
      <c r="AQ112" s="285">
        <f t="shared" si="31"/>
        <v>5000</v>
      </c>
      <c r="AR112" s="295">
        <v>0</v>
      </c>
      <c r="AS112" s="295">
        <v>2000</v>
      </c>
      <c r="AT112" s="313"/>
    </row>
    <row r="113" spans="1:48" s="265" customFormat="1" ht="47.25" customHeight="1">
      <c r="A113" s="279">
        <v>5</v>
      </c>
      <c r="B113" s="286" t="s">
        <v>881</v>
      </c>
      <c r="C113" s="287"/>
      <c r="D113" s="288"/>
      <c r="E113" s="288"/>
      <c r="F113" s="282"/>
      <c r="G113" s="282"/>
      <c r="H113" s="285">
        <f t="shared" ref="H113:AS113" si="61">SUM(H114:H119)</f>
        <v>2055132</v>
      </c>
      <c r="I113" s="285">
        <f t="shared" si="61"/>
        <v>0</v>
      </c>
      <c r="J113" s="285">
        <f t="shared" si="61"/>
        <v>0</v>
      </c>
      <c r="K113" s="285">
        <f t="shared" si="61"/>
        <v>0</v>
      </c>
      <c r="L113" s="285">
        <f t="shared" si="61"/>
        <v>253460</v>
      </c>
      <c r="M113" s="285">
        <f t="shared" si="61"/>
        <v>253460</v>
      </c>
      <c r="N113" s="285">
        <f t="shared" si="61"/>
        <v>0</v>
      </c>
      <c r="O113" s="285">
        <f t="shared" si="61"/>
        <v>0</v>
      </c>
      <c r="P113" s="285">
        <f t="shared" si="61"/>
        <v>0</v>
      </c>
      <c r="Q113" s="285">
        <f t="shared" si="61"/>
        <v>0</v>
      </c>
      <c r="R113" s="285">
        <f t="shared" si="61"/>
        <v>0</v>
      </c>
      <c r="S113" s="285">
        <f t="shared" si="61"/>
        <v>0</v>
      </c>
      <c r="T113" s="285">
        <f t="shared" si="61"/>
        <v>100500</v>
      </c>
      <c r="U113" s="285">
        <f t="shared" si="61"/>
        <v>100500</v>
      </c>
      <c r="V113" s="285">
        <f t="shared" si="61"/>
        <v>40000</v>
      </c>
      <c r="W113" s="285">
        <f t="shared" si="61"/>
        <v>40000</v>
      </c>
      <c r="X113" s="285">
        <f t="shared" si="61"/>
        <v>40500</v>
      </c>
      <c r="Y113" s="285">
        <f t="shared" si="61"/>
        <v>40500</v>
      </c>
      <c r="Z113" s="285">
        <f t="shared" si="61"/>
        <v>0</v>
      </c>
      <c r="AA113" s="285">
        <f t="shared" si="61"/>
        <v>0</v>
      </c>
      <c r="AB113" s="285">
        <f t="shared" si="61"/>
        <v>0</v>
      </c>
      <c r="AC113" s="285">
        <f t="shared" si="61"/>
        <v>0</v>
      </c>
      <c r="AD113" s="285">
        <f t="shared" si="61"/>
        <v>20000</v>
      </c>
      <c r="AE113" s="285">
        <f t="shared" si="61"/>
        <v>20000</v>
      </c>
      <c r="AF113" s="285">
        <f t="shared" si="61"/>
        <v>69000</v>
      </c>
      <c r="AG113" s="285">
        <f t="shared" si="61"/>
        <v>59368</v>
      </c>
      <c r="AH113" s="285">
        <f t="shared" si="61"/>
        <v>408500</v>
      </c>
      <c r="AI113" s="285">
        <f t="shared" si="61"/>
        <v>348000</v>
      </c>
      <c r="AJ113" s="285">
        <f t="shared" si="61"/>
        <v>60500</v>
      </c>
      <c r="AK113" s="285">
        <f t="shared" si="61"/>
        <v>0</v>
      </c>
      <c r="AL113" s="285">
        <f t="shared" si="61"/>
        <v>408500</v>
      </c>
      <c r="AM113" s="285">
        <f t="shared" si="61"/>
        <v>169500</v>
      </c>
      <c r="AN113" s="285">
        <f t="shared" si="61"/>
        <v>159868</v>
      </c>
      <c r="AO113" s="285">
        <f t="shared" si="61"/>
        <v>169500</v>
      </c>
      <c r="AP113" s="285">
        <f t="shared" si="61"/>
        <v>239000</v>
      </c>
      <c r="AQ113" s="285">
        <f t="shared" si="61"/>
        <v>239000</v>
      </c>
      <c r="AR113" s="285">
        <f t="shared" si="61"/>
        <v>169500</v>
      </c>
      <c r="AS113" s="285">
        <f t="shared" si="61"/>
        <v>67500</v>
      </c>
      <c r="AT113" s="315"/>
    </row>
    <row r="114" spans="1:48" s="265" customFormat="1" ht="47.25" customHeight="1">
      <c r="A114" s="298" t="s">
        <v>819</v>
      </c>
      <c r="B114" s="314" t="s">
        <v>882</v>
      </c>
      <c r="C114" s="300" t="s">
        <v>714</v>
      </c>
      <c r="D114" s="300" t="s">
        <v>705</v>
      </c>
      <c r="E114" s="300" t="s">
        <v>883</v>
      </c>
      <c r="F114" s="312" t="s">
        <v>666</v>
      </c>
      <c r="G114" s="300" t="s">
        <v>884</v>
      </c>
      <c r="H114" s="295">
        <v>984319</v>
      </c>
      <c r="I114" s="295"/>
      <c r="J114" s="295">
        <f t="shared" si="57"/>
        <v>0</v>
      </c>
      <c r="K114" s="295"/>
      <c r="L114" s="295">
        <v>20000</v>
      </c>
      <c r="M114" s="295">
        <v>20000</v>
      </c>
      <c r="N114" s="295">
        <f t="shared" ref="N114:O118" si="62">P114+R114</f>
        <v>0</v>
      </c>
      <c r="O114" s="295">
        <f t="shared" si="62"/>
        <v>0</v>
      </c>
      <c r="P114" s="295"/>
      <c r="Q114" s="295"/>
      <c r="R114" s="295"/>
      <c r="S114" s="295"/>
      <c r="T114" s="295">
        <f t="shared" ref="T114:T120" si="63">V114+X114+Z114+AB114+AD114</f>
        <v>23500</v>
      </c>
      <c r="U114" s="295">
        <f t="shared" si="51"/>
        <v>23500</v>
      </c>
      <c r="V114" s="295">
        <v>8000</v>
      </c>
      <c r="W114" s="295">
        <v>8000</v>
      </c>
      <c r="X114" s="295">
        <v>15500</v>
      </c>
      <c r="Y114" s="295">
        <v>15500</v>
      </c>
      <c r="Z114" s="295"/>
      <c r="AA114" s="295"/>
      <c r="AB114" s="295"/>
      <c r="AC114" s="295"/>
      <c r="AD114" s="295"/>
      <c r="AE114" s="295"/>
      <c r="AF114" s="295">
        <v>1000</v>
      </c>
      <c r="AG114" s="295">
        <v>535</v>
      </c>
      <c r="AH114" s="295">
        <f t="shared" ref="AH114:AH119" si="64">AI114+AJ114+AK114</f>
        <v>38500</v>
      </c>
      <c r="AI114" s="295">
        <v>23000</v>
      </c>
      <c r="AJ114" s="295">
        <v>15500</v>
      </c>
      <c r="AK114" s="295"/>
      <c r="AL114" s="285">
        <f t="shared" si="42"/>
        <v>38500</v>
      </c>
      <c r="AM114" s="295">
        <f t="shared" si="48"/>
        <v>24500</v>
      </c>
      <c r="AN114" s="295">
        <f t="shared" si="48"/>
        <v>24035</v>
      </c>
      <c r="AO114" s="295">
        <f t="shared" ref="AO114:AO121" si="65">K114+AM114</f>
        <v>24500</v>
      </c>
      <c r="AP114" s="295">
        <f t="shared" ref="AP114:AP120" si="66">AH114-AM114</f>
        <v>14000</v>
      </c>
      <c r="AQ114" s="285">
        <f t="shared" si="31"/>
        <v>14000</v>
      </c>
      <c r="AR114" s="295">
        <v>24500</v>
      </c>
      <c r="AS114" s="295">
        <v>7000</v>
      </c>
      <c r="AT114" s="316"/>
    </row>
    <row r="115" spans="1:48" s="265" customFormat="1" ht="47.25" customHeight="1">
      <c r="A115" s="298" t="s">
        <v>822</v>
      </c>
      <c r="B115" s="314" t="s">
        <v>885</v>
      </c>
      <c r="C115" s="300" t="s">
        <v>726</v>
      </c>
      <c r="D115" s="300" t="s">
        <v>726</v>
      </c>
      <c r="E115" s="300" t="s">
        <v>886</v>
      </c>
      <c r="F115" s="312" t="s">
        <v>887</v>
      </c>
      <c r="G115" s="300" t="s">
        <v>888</v>
      </c>
      <c r="H115" s="295">
        <v>139624</v>
      </c>
      <c r="I115" s="295"/>
      <c r="J115" s="295">
        <f t="shared" si="57"/>
        <v>0</v>
      </c>
      <c r="K115" s="295"/>
      <c r="L115" s="295">
        <v>1460</v>
      </c>
      <c r="M115" s="295">
        <v>1460</v>
      </c>
      <c r="N115" s="295">
        <f t="shared" si="62"/>
        <v>0</v>
      </c>
      <c r="O115" s="295">
        <f t="shared" si="62"/>
        <v>0</v>
      </c>
      <c r="P115" s="295"/>
      <c r="Q115" s="295"/>
      <c r="R115" s="295"/>
      <c r="S115" s="295"/>
      <c r="T115" s="295">
        <f t="shared" si="63"/>
        <v>0</v>
      </c>
      <c r="U115" s="295">
        <f t="shared" si="51"/>
        <v>0</v>
      </c>
      <c r="V115" s="295">
        <v>0</v>
      </c>
      <c r="W115" s="295"/>
      <c r="X115" s="295">
        <v>0</v>
      </c>
      <c r="Y115" s="295"/>
      <c r="Z115" s="295">
        <v>0</v>
      </c>
      <c r="AA115" s="295"/>
      <c r="AB115" s="295"/>
      <c r="AC115" s="295"/>
      <c r="AD115" s="295"/>
      <c r="AE115" s="295"/>
      <c r="AF115" s="295">
        <v>18000</v>
      </c>
      <c r="AG115" s="295">
        <v>16527</v>
      </c>
      <c r="AH115" s="295">
        <f t="shared" si="64"/>
        <v>20000</v>
      </c>
      <c r="AI115" s="295">
        <v>20000</v>
      </c>
      <c r="AJ115" s="295">
        <f t="shared" ref="AJ115:AJ120" si="67">R115+X115+Z115+AB115+AD115</f>
        <v>0</v>
      </c>
      <c r="AK115" s="295"/>
      <c r="AL115" s="285">
        <f t="shared" si="42"/>
        <v>20000</v>
      </c>
      <c r="AM115" s="295">
        <f t="shared" si="48"/>
        <v>18000</v>
      </c>
      <c r="AN115" s="295">
        <f t="shared" si="48"/>
        <v>16527</v>
      </c>
      <c r="AO115" s="295">
        <f t="shared" si="65"/>
        <v>18000</v>
      </c>
      <c r="AP115" s="295">
        <f t="shared" si="66"/>
        <v>2000</v>
      </c>
      <c r="AQ115" s="285">
        <f t="shared" si="31"/>
        <v>2000</v>
      </c>
      <c r="AR115" s="295">
        <v>18000</v>
      </c>
      <c r="AS115" s="295">
        <v>1000</v>
      </c>
      <c r="AT115" s="313"/>
    </row>
    <row r="116" spans="1:48" s="265" customFormat="1" ht="47.25" customHeight="1">
      <c r="A116" s="298" t="s">
        <v>825</v>
      </c>
      <c r="B116" s="314" t="s">
        <v>889</v>
      </c>
      <c r="C116" s="300" t="s">
        <v>700</v>
      </c>
      <c r="D116" s="300" t="s">
        <v>700</v>
      </c>
      <c r="E116" s="300" t="s">
        <v>890</v>
      </c>
      <c r="F116" s="312" t="s">
        <v>666</v>
      </c>
      <c r="G116" s="300" t="s">
        <v>891</v>
      </c>
      <c r="H116" s="295">
        <v>486309</v>
      </c>
      <c r="I116" s="295"/>
      <c r="J116" s="295">
        <f t="shared" si="57"/>
        <v>0</v>
      </c>
      <c r="K116" s="295"/>
      <c r="L116" s="295">
        <v>187000</v>
      </c>
      <c r="M116" s="295">
        <v>187000</v>
      </c>
      <c r="N116" s="295">
        <f t="shared" si="62"/>
        <v>0</v>
      </c>
      <c r="O116" s="295">
        <f t="shared" si="62"/>
        <v>0</v>
      </c>
      <c r="P116" s="295"/>
      <c r="Q116" s="295"/>
      <c r="R116" s="295"/>
      <c r="S116" s="295"/>
      <c r="T116" s="295">
        <f t="shared" si="63"/>
        <v>70000</v>
      </c>
      <c r="U116" s="295">
        <f t="shared" si="51"/>
        <v>70000</v>
      </c>
      <c r="V116" s="295">
        <v>25000</v>
      </c>
      <c r="W116" s="295">
        <v>25000</v>
      </c>
      <c r="X116" s="295">
        <v>25000</v>
      </c>
      <c r="Y116" s="295">
        <v>25000</v>
      </c>
      <c r="Z116" s="295">
        <v>0</v>
      </c>
      <c r="AA116" s="295"/>
      <c r="AB116" s="295"/>
      <c r="AC116" s="295"/>
      <c r="AD116" s="295">
        <v>20000</v>
      </c>
      <c r="AE116" s="295">
        <v>20000</v>
      </c>
      <c r="AF116" s="295">
        <v>45000</v>
      </c>
      <c r="AG116" s="295">
        <v>37306</v>
      </c>
      <c r="AH116" s="295">
        <f t="shared" si="64"/>
        <v>230000</v>
      </c>
      <c r="AI116" s="295">
        <v>185000</v>
      </c>
      <c r="AJ116" s="295">
        <f t="shared" si="67"/>
        <v>45000</v>
      </c>
      <c r="AK116" s="295"/>
      <c r="AL116" s="285">
        <f t="shared" si="42"/>
        <v>230000</v>
      </c>
      <c r="AM116" s="295">
        <f t="shared" si="48"/>
        <v>115000</v>
      </c>
      <c r="AN116" s="295">
        <f t="shared" si="48"/>
        <v>107306</v>
      </c>
      <c r="AO116" s="295">
        <f t="shared" si="65"/>
        <v>115000</v>
      </c>
      <c r="AP116" s="295">
        <f t="shared" si="66"/>
        <v>115000</v>
      </c>
      <c r="AQ116" s="285">
        <f t="shared" si="31"/>
        <v>115000</v>
      </c>
      <c r="AR116" s="295">
        <v>115000</v>
      </c>
      <c r="AS116" s="295">
        <v>30000</v>
      </c>
      <c r="AT116" s="313"/>
    </row>
    <row r="117" spans="1:48" s="265" customFormat="1" ht="47.25" customHeight="1">
      <c r="A117" s="298" t="s">
        <v>892</v>
      </c>
      <c r="B117" s="314" t="s">
        <v>893</v>
      </c>
      <c r="C117" s="300" t="s">
        <v>663</v>
      </c>
      <c r="D117" s="300" t="s">
        <v>669</v>
      </c>
      <c r="E117" s="300" t="s">
        <v>894</v>
      </c>
      <c r="F117" s="312" t="s">
        <v>666</v>
      </c>
      <c r="G117" s="300" t="s">
        <v>895</v>
      </c>
      <c r="H117" s="295">
        <v>157528</v>
      </c>
      <c r="I117" s="295"/>
      <c r="J117" s="295">
        <f t="shared" si="57"/>
        <v>0</v>
      </c>
      <c r="K117" s="295"/>
      <c r="L117" s="295">
        <v>20000</v>
      </c>
      <c r="M117" s="295">
        <v>20000</v>
      </c>
      <c r="N117" s="295">
        <f t="shared" si="62"/>
        <v>0</v>
      </c>
      <c r="O117" s="295">
        <f t="shared" si="62"/>
        <v>0</v>
      </c>
      <c r="P117" s="295"/>
      <c r="Q117" s="295"/>
      <c r="R117" s="295"/>
      <c r="S117" s="295"/>
      <c r="T117" s="295">
        <f t="shared" si="63"/>
        <v>7000</v>
      </c>
      <c r="U117" s="295">
        <f t="shared" si="51"/>
        <v>7000</v>
      </c>
      <c r="V117" s="295">
        <v>7000</v>
      </c>
      <c r="W117" s="295">
        <v>7000</v>
      </c>
      <c r="X117" s="295"/>
      <c r="Y117" s="295"/>
      <c r="Z117" s="295"/>
      <c r="AA117" s="295"/>
      <c r="AB117" s="295"/>
      <c r="AC117" s="295"/>
      <c r="AD117" s="295"/>
      <c r="AE117" s="295"/>
      <c r="AF117" s="295">
        <v>5000</v>
      </c>
      <c r="AG117" s="295">
        <v>5000</v>
      </c>
      <c r="AH117" s="295">
        <f t="shared" si="64"/>
        <v>30000</v>
      </c>
      <c r="AI117" s="295">
        <v>30000</v>
      </c>
      <c r="AJ117" s="295">
        <f t="shared" si="67"/>
        <v>0</v>
      </c>
      <c r="AK117" s="295"/>
      <c r="AL117" s="285">
        <f t="shared" si="42"/>
        <v>30000</v>
      </c>
      <c r="AM117" s="295">
        <f t="shared" si="48"/>
        <v>12000</v>
      </c>
      <c r="AN117" s="295">
        <f t="shared" si="48"/>
        <v>12000</v>
      </c>
      <c r="AO117" s="295">
        <f t="shared" si="65"/>
        <v>12000</v>
      </c>
      <c r="AP117" s="295">
        <f t="shared" si="66"/>
        <v>18000</v>
      </c>
      <c r="AQ117" s="285">
        <f t="shared" si="31"/>
        <v>18000</v>
      </c>
      <c r="AR117" s="295">
        <v>12000</v>
      </c>
      <c r="AS117" s="295">
        <v>9500</v>
      </c>
      <c r="AT117" s="313"/>
    </row>
    <row r="118" spans="1:48" s="265" customFormat="1" ht="47.25" customHeight="1">
      <c r="A118" s="298" t="s">
        <v>896</v>
      </c>
      <c r="B118" s="314" t="s">
        <v>897</v>
      </c>
      <c r="C118" s="300" t="s">
        <v>726</v>
      </c>
      <c r="D118" s="300" t="s">
        <v>726</v>
      </c>
      <c r="E118" s="300" t="s">
        <v>898</v>
      </c>
      <c r="F118" s="312" t="s">
        <v>899</v>
      </c>
      <c r="G118" s="300" t="s">
        <v>900</v>
      </c>
      <c r="H118" s="295">
        <v>81352</v>
      </c>
      <c r="I118" s="295"/>
      <c r="J118" s="295">
        <f t="shared" si="57"/>
        <v>0</v>
      </c>
      <c r="K118" s="295"/>
      <c r="L118" s="295">
        <v>25000</v>
      </c>
      <c r="M118" s="295">
        <v>25000</v>
      </c>
      <c r="N118" s="295">
        <f t="shared" si="62"/>
        <v>0</v>
      </c>
      <c r="O118" s="295">
        <f t="shared" si="62"/>
        <v>0</v>
      </c>
      <c r="P118" s="295"/>
      <c r="Q118" s="295"/>
      <c r="R118" s="295"/>
      <c r="S118" s="295"/>
      <c r="T118" s="295">
        <f t="shared" si="63"/>
        <v>0</v>
      </c>
      <c r="U118" s="295">
        <f t="shared" si="51"/>
        <v>0</v>
      </c>
      <c r="V118" s="295"/>
      <c r="W118" s="295"/>
      <c r="X118" s="295"/>
      <c r="Y118" s="295"/>
      <c r="Z118" s="295"/>
      <c r="AA118" s="295"/>
      <c r="AB118" s="295"/>
      <c r="AC118" s="295"/>
      <c r="AD118" s="295"/>
      <c r="AE118" s="295"/>
      <c r="AF118" s="295"/>
      <c r="AG118" s="295"/>
      <c r="AH118" s="295">
        <f t="shared" si="64"/>
        <v>30000</v>
      </c>
      <c r="AI118" s="295">
        <v>30000</v>
      </c>
      <c r="AJ118" s="295">
        <f t="shared" si="67"/>
        <v>0</v>
      </c>
      <c r="AK118" s="295"/>
      <c r="AL118" s="285">
        <f t="shared" si="42"/>
        <v>30000</v>
      </c>
      <c r="AM118" s="295">
        <f t="shared" si="48"/>
        <v>0</v>
      </c>
      <c r="AN118" s="295">
        <f t="shared" si="48"/>
        <v>0</v>
      </c>
      <c r="AO118" s="295">
        <f t="shared" si="65"/>
        <v>0</v>
      </c>
      <c r="AP118" s="295">
        <f t="shared" si="66"/>
        <v>30000</v>
      </c>
      <c r="AQ118" s="285">
        <f t="shared" si="31"/>
        <v>30000</v>
      </c>
      <c r="AR118" s="295">
        <v>0</v>
      </c>
      <c r="AS118" s="295">
        <v>12000</v>
      </c>
      <c r="AT118" s="313"/>
    </row>
    <row r="119" spans="1:48" s="265" customFormat="1" ht="47.25" customHeight="1">
      <c r="A119" s="298" t="s">
        <v>901</v>
      </c>
      <c r="B119" s="314" t="s">
        <v>902</v>
      </c>
      <c r="C119" s="300" t="s">
        <v>663</v>
      </c>
      <c r="D119" s="300" t="s">
        <v>903</v>
      </c>
      <c r="E119" s="300"/>
      <c r="F119" s="312" t="s">
        <v>904</v>
      </c>
      <c r="G119" s="303" t="s">
        <v>905</v>
      </c>
      <c r="H119" s="295">
        <v>206000</v>
      </c>
      <c r="I119" s="295"/>
      <c r="J119" s="295">
        <f t="shared" si="57"/>
        <v>0</v>
      </c>
      <c r="K119" s="295"/>
      <c r="L119" s="295"/>
      <c r="M119" s="295"/>
      <c r="N119" s="295"/>
      <c r="O119" s="295">
        <f>Q119+S119</f>
        <v>0</v>
      </c>
      <c r="P119" s="295"/>
      <c r="Q119" s="295"/>
      <c r="R119" s="295"/>
      <c r="S119" s="295"/>
      <c r="T119" s="295">
        <f t="shared" si="63"/>
        <v>0</v>
      </c>
      <c r="U119" s="295">
        <f t="shared" si="51"/>
        <v>0</v>
      </c>
      <c r="V119" s="295"/>
      <c r="W119" s="295"/>
      <c r="X119" s="295"/>
      <c r="Y119" s="295"/>
      <c r="Z119" s="295"/>
      <c r="AA119" s="295"/>
      <c r="AB119" s="295"/>
      <c r="AC119" s="295"/>
      <c r="AD119" s="295"/>
      <c r="AE119" s="295"/>
      <c r="AF119" s="295"/>
      <c r="AG119" s="295"/>
      <c r="AH119" s="295">
        <f t="shared" si="64"/>
        <v>60000</v>
      </c>
      <c r="AI119" s="295">
        <v>60000</v>
      </c>
      <c r="AJ119" s="295">
        <f t="shared" si="67"/>
        <v>0</v>
      </c>
      <c r="AK119" s="295"/>
      <c r="AL119" s="285">
        <f t="shared" si="42"/>
        <v>60000</v>
      </c>
      <c r="AM119" s="295">
        <f t="shared" si="48"/>
        <v>0</v>
      </c>
      <c r="AN119" s="295">
        <f t="shared" si="48"/>
        <v>0</v>
      </c>
      <c r="AO119" s="295">
        <f t="shared" si="65"/>
        <v>0</v>
      </c>
      <c r="AP119" s="295">
        <f t="shared" si="66"/>
        <v>60000</v>
      </c>
      <c r="AQ119" s="285">
        <f t="shared" si="31"/>
        <v>60000</v>
      </c>
      <c r="AR119" s="295">
        <v>0</v>
      </c>
      <c r="AS119" s="295">
        <v>8000</v>
      </c>
      <c r="AT119" s="310"/>
    </row>
    <row r="120" spans="1:48" s="265" customFormat="1" ht="47.25" customHeight="1">
      <c r="A120" s="279">
        <v>6</v>
      </c>
      <c r="B120" s="297" t="s">
        <v>906</v>
      </c>
      <c r="C120" s="287" t="s">
        <v>907</v>
      </c>
      <c r="D120" s="282" t="s">
        <v>659</v>
      </c>
      <c r="E120" s="283"/>
      <c r="F120" s="282"/>
      <c r="G120" s="334"/>
      <c r="H120" s="285">
        <v>0</v>
      </c>
      <c r="I120" s="285"/>
      <c r="J120" s="285">
        <f t="shared" si="57"/>
        <v>0</v>
      </c>
      <c r="K120" s="285"/>
      <c r="L120" s="285">
        <f>18825+10000+300</f>
        <v>29125</v>
      </c>
      <c r="M120" s="285">
        <f>18825+10000+300</f>
        <v>29125</v>
      </c>
      <c r="N120" s="285">
        <f>P120+R120</f>
        <v>35393</v>
      </c>
      <c r="O120" s="285">
        <f>Q120+S120</f>
        <v>34370.824000000001</v>
      </c>
      <c r="P120" s="285">
        <v>3450</v>
      </c>
      <c r="Q120" s="285">
        <v>3450</v>
      </c>
      <c r="R120" s="285">
        <f>25003+2804+1940+750+827+81+209+144+59+46+13+28+24+15</f>
        <v>31943</v>
      </c>
      <c r="S120" s="285">
        <f>R120*96.8%</f>
        <v>30920.824000000001</v>
      </c>
      <c r="T120" s="285">
        <f t="shared" si="63"/>
        <v>20428</v>
      </c>
      <c r="U120" s="295">
        <f t="shared" si="51"/>
        <v>18953</v>
      </c>
      <c r="V120" s="285">
        <v>14354</v>
      </c>
      <c r="W120" s="285">
        <v>12879</v>
      </c>
      <c r="X120" s="285">
        <f>3875</f>
        <v>3875</v>
      </c>
      <c r="Y120" s="285">
        <v>3875</v>
      </c>
      <c r="Z120" s="285">
        <v>2199</v>
      </c>
      <c r="AA120" s="285">
        <v>2199</v>
      </c>
      <c r="AB120" s="285"/>
      <c r="AC120" s="285"/>
      <c r="AD120" s="285"/>
      <c r="AE120" s="285"/>
      <c r="AF120" s="285">
        <v>5557</v>
      </c>
      <c r="AG120" s="285">
        <v>3000</v>
      </c>
      <c r="AH120" s="285">
        <f>AI120+AJ120+AK120</f>
        <v>68017</v>
      </c>
      <c r="AI120" s="285">
        <v>30000</v>
      </c>
      <c r="AJ120" s="285">
        <f t="shared" si="67"/>
        <v>38017</v>
      </c>
      <c r="AK120" s="285"/>
      <c r="AL120" s="285">
        <f t="shared" si="42"/>
        <v>68017</v>
      </c>
      <c r="AM120" s="295">
        <f t="shared" si="48"/>
        <v>61378</v>
      </c>
      <c r="AN120" s="295">
        <f t="shared" si="48"/>
        <v>56323.824000000001</v>
      </c>
      <c r="AO120" s="285">
        <f t="shared" si="65"/>
        <v>61378</v>
      </c>
      <c r="AP120" s="295">
        <f t="shared" si="66"/>
        <v>6639</v>
      </c>
      <c r="AQ120" s="285">
        <f t="shared" si="31"/>
        <v>6639</v>
      </c>
      <c r="AR120" s="295">
        <v>61378</v>
      </c>
      <c r="AS120" s="285">
        <f>20000+2513-1000</f>
        <v>21513</v>
      </c>
      <c r="AT120" s="296"/>
    </row>
    <row r="121" spans="1:48" s="339" customFormat="1" ht="47.25" hidden="1" customHeight="1">
      <c r="A121" s="279"/>
      <c r="B121" s="335"/>
      <c r="C121" s="287"/>
      <c r="D121" s="336"/>
      <c r="E121" s="337"/>
      <c r="F121" s="279"/>
      <c r="G121" s="338"/>
      <c r="H121" s="295"/>
      <c r="I121" s="295"/>
      <c r="J121" s="295">
        <f t="shared" si="57"/>
        <v>0</v>
      </c>
      <c r="K121" s="295"/>
      <c r="L121" s="295"/>
      <c r="M121" s="295"/>
      <c r="N121" s="295" t="e">
        <f>P121+R121</f>
        <v>#REF!</v>
      </c>
      <c r="O121" s="295"/>
      <c r="P121" s="295" t="e">
        <f>#REF!+P108</f>
        <v>#REF!</v>
      </c>
      <c r="Q121" s="295"/>
      <c r="R121" s="295"/>
      <c r="S121" s="295"/>
      <c r="T121" s="295"/>
      <c r="U121" s="295">
        <f t="shared" si="51"/>
        <v>0</v>
      </c>
      <c r="V121" s="295"/>
      <c r="W121" s="295"/>
      <c r="X121" s="295"/>
      <c r="Y121" s="295"/>
      <c r="Z121" s="295"/>
      <c r="AA121" s="295"/>
      <c r="AB121" s="295"/>
      <c r="AC121" s="295"/>
      <c r="AD121" s="295"/>
      <c r="AE121" s="295"/>
      <c r="AF121" s="295"/>
      <c r="AG121" s="295"/>
      <c r="AH121" s="295"/>
      <c r="AI121" s="295"/>
      <c r="AJ121" s="295"/>
      <c r="AK121" s="295"/>
      <c r="AL121" s="285">
        <f t="shared" si="42"/>
        <v>0</v>
      </c>
      <c r="AM121" s="295"/>
      <c r="AN121" s="295"/>
      <c r="AO121" s="285">
        <f t="shared" si="65"/>
        <v>0</v>
      </c>
      <c r="AP121" s="295"/>
      <c r="AQ121" s="285">
        <f t="shared" si="31"/>
        <v>0</v>
      </c>
      <c r="AR121" s="295">
        <v>0</v>
      </c>
      <c r="AS121" s="295"/>
      <c r="AT121" s="296"/>
    </row>
    <row r="122" spans="1:48" s="265" customFormat="1" ht="15.75">
      <c r="A122" s="290" t="s">
        <v>908</v>
      </c>
      <c r="B122" s="297" t="s">
        <v>909</v>
      </c>
      <c r="C122" s="292"/>
      <c r="D122" s="279"/>
      <c r="E122" s="293"/>
      <c r="F122" s="279"/>
      <c r="G122" s="294"/>
      <c r="H122" s="285">
        <f t="shared" ref="H122:AR122" si="68">H123+H204+H222+H229+H240+H246+H260+H277+H330+H336</f>
        <v>10572893.147086002</v>
      </c>
      <c r="I122" s="285">
        <f t="shared" si="68"/>
        <v>169209</v>
      </c>
      <c r="J122" s="285" t="e">
        <f t="shared" si="68"/>
        <v>#REF!</v>
      </c>
      <c r="K122" s="285" t="e">
        <f t="shared" si="68"/>
        <v>#REF!</v>
      </c>
      <c r="L122" s="285" t="e">
        <f t="shared" si="68"/>
        <v>#REF!</v>
      </c>
      <c r="M122" s="285" t="e">
        <f t="shared" si="68"/>
        <v>#REF!</v>
      </c>
      <c r="N122" s="285" t="e">
        <f t="shared" si="68"/>
        <v>#REF!</v>
      </c>
      <c r="O122" s="285" t="e">
        <f t="shared" si="68"/>
        <v>#REF!</v>
      </c>
      <c r="P122" s="285" t="e">
        <f t="shared" si="68"/>
        <v>#REF!</v>
      </c>
      <c r="Q122" s="285" t="e">
        <f t="shared" si="68"/>
        <v>#REF!</v>
      </c>
      <c r="R122" s="285" t="e">
        <f t="shared" si="68"/>
        <v>#REF!</v>
      </c>
      <c r="S122" s="285" t="e">
        <f t="shared" si="68"/>
        <v>#REF!</v>
      </c>
      <c r="T122" s="285" t="e">
        <f t="shared" si="68"/>
        <v>#REF!</v>
      </c>
      <c r="U122" s="285" t="e">
        <f t="shared" si="68"/>
        <v>#REF!</v>
      </c>
      <c r="V122" s="285" t="e">
        <f t="shared" si="68"/>
        <v>#REF!</v>
      </c>
      <c r="W122" s="285" t="e">
        <f t="shared" si="68"/>
        <v>#REF!</v>
      </c>
      <c r="X122" s="285" t="e">
        <f t="shared" si="68"/>
        <v>#REF!</v>
      </c>
      <c r="Y122" s="285" t="e">
        <f t="shared" si="68"/>
        <v>#REF!</v>
      </c>
      <c r="Z122" s="285" t="e">
        <f t="shared" si="68"/>
        <v>#REF!</v>
      </c>
      <c r="AA122" s="285" t="e">
        <f t="shared" si="68"/>
        <v>#REF!</v>
      </c>
      <c r="AB122" s="285" t="e">
        <f t="shared" si="68"/>
        <v>#REF!</v>
      </c>
      <c r="AC122" s="285" t="e">
        <f t="shared" si="68"/>
        <v>#REF!</v>
      </c>
      <c r="AD122" s="285" t="e">
        <f t="shared" si="68"/>
        <v>#REF!</v>
      </c>
      <c r="AE122" s="285" t="e">
        <f t="shared" si="68"/>
        <v>#REF!</v>
      </c>
      <c r="AF122" s="285" t="e">
        <f t="shared" si="68"/>
        <v>#REF!</v>
      </c>
      <c r="AG122" s="285" t="e">
        <f t="shared" si="68"/>
        <v>#REF!</v>
      </c>
      <c r="AH122" s="285" t="e">
        <f t="shared" si="68"/>
        <v>#REF!</v>
      </c>
      <c r="AI122" s="285" t="e">
        <f t="shared" si="68"/>
        <v>#REF!</v>
      </c>
      <c r="AJ122" s="285" t="e">
        <f t="shared" si="68"/>
        <v>#REF!</v>
      </c>
      <c r="AK122" s="285" t="e">
        <f t="shared" si="68"/>
        <v>#REF!</v>
      </c>
      <c r="AL122" s="285" t="e">
        <f t="shared" si="68"/>
        <v>#REF!</v>
      </c>
      <c r="AM122" s="285" t="e">
        <f t="shared" si="68"/>
        <v>#REF!</v>
      </c>
      <c r="AN122" s="285" t="e">
        <f t="shared" si="68"/>
        <v>#REF!</v>
      </c>
      <c r="AO122" s="285" t="e">
        <f t="shared" si="68"/>
        <v>#REF!</v>
      </c>
      <c r="AP122" s="285" t="e">
        <f t="shared" si="68"/>
        <v>#REF!</v>
      </c>
      <c r="AQ122" s="285" t="e">
        <f t="shared" si="68"/>
        <v>#REF!</v>
      </c>
      <c r="AR122" s="285">
        <f t="shared" si="68"/>
        <v>2533122</v>
      </c>
      <c r="AS122" s="285">
        <f>AS123+AS204+AS222+AS229+AS240+AS246+AS260+AS277+AS330+AS336</f>
        <v>1650000</v>
      </c>
      <c r="AT122" s="296"/>
      <c r="AU122" s="265">
        <f>AU123+AS204</f>
        <v>825160</v>
      </c>
      <c r="AV122" s="340">
        <f>AU122/AS122</f>
        <v>0.50009696969696971</v>
      </c>
    </row>
    <row r="123" spans="1:48" s="265" customFormat="1" ht="15.75">
      <c r="A123" s="290" t="s">
        <v>16</v>
      </c>
      <c r="B123" s="297" t="s">
        <v>910</v>
      </c>
      <c r="C123" s="292"/>
      <c r="D123" s="279"/>
      <c r="E123" s="293"/>
      <c r="F123" s="279"/>
      <c r="G123" s="294"/>
      <c r="H123" s="285">
        <f t="shared" ref="H123:AR123" si="69">H124+H169</f>
        <v>2448087.0997360004</v>
      </c>
      <c r="I123" s="285">
        <f t="shared" si="69"/>
        <v>0</v>
      </c>
      <c r="J123" s="285" t="e">
        <f t="shared" si="69"/>
        <v>#REF!</v>
      </c>
      <c r="K123" s="285" t="e">
        <f t="shared" si="69"/>
        <v>#REF!</v>
      </c>
      <c r="L123" s="285" t="e">
        <f t="shared" si="69"/>
        <v>#REF!</v>
      </c>
      <c r="M123" s="285" t="e">
        <f t="shared" si="69"/>
        <v>#REF!</v>
      </c>
      <c r="N123" s="285" t="e">
        <f t="shared" si="69"/>
        <v>#REF!</v>
      </c>
      <c r="O123" s="285" t="e">
        <f t="shared" si="69"/>
        <v>#REF!</v>
      </c>
      <c r="P123" s="285" t="e">
        <f t="shared" si="69"/>
        <v>#REF!</v>
      </c>
      <c r="Q123" s="285" t="e">
        <f t="shared" si="69"/>
        <v>#REF!</v>
      </c>
      <c r="R123" s="285" t="e">
        <f t="shared" si="69"/>
        <v>#REF!</v>
      </c>
      <c r="S123" s="285" t="e">
        <f t="shared" si="69"/>
        <v>#REF!</v>
      </c>
      <c r="T123" s="285" t="e">
        <f t="shared" si="69"/>
        <v>#REF!</v>
      </c>
      <c r="U123" s="285" t="e">
        <f t="shared" si="69"/>
        <v>#REF!</v>
      </c>
      <c r="V123" s="285" t="e">
        <f t="shared" si="69"/>
        <v>#REF!</v>
      </c>
      <c r="W123" s="285" t="e">
        <f t="shared" si="69"/>
        <v>#REF!</v>
      </c>
      <c r="X123" s="285" t="e">
        <f t="shared" si="69"/>
        <v>#REF!</v>
      </c>
      <c r="Y123" s="285" t="e">
        <f t="shared" si="69"/>
        <v>#REF!</v>
      </c>
      <c r="Z123" s="285" t="e">
        <f t="shared" si="69"/>
        <v>#REF!</v>
      </c>
      <c r="AA123" s="285" t="e">
        <f t="shared" si="69"/>
        <v>#REF!</v>
      </c>
      <c r="AB123" s="285" t="e">
        <f t="shared" si="69"/>
        <v>#REF!</v>
      </c>
      <c r="AC123" s="285" t="e">
        <f t="shared" si="69"/>
        <v>#REF!</v>
      </c>
      <c r="AD123" s="285" t="e">
        <f t="shared" si="69"/>
        <v>#REF!</v>
      </c>
      <c r="AE123" s="285" t="e">
        <f t="shared" si="69"/>
        <v>#REF!</v>
      </c>
      <c r="AF123" s="285" t="e">
        <f t="shared" si="69"/>
        <v>#REF!</v>
      </c>
      <c r="AG123" s="285" t="e">
        <f t="shared" si="69"/>
        <v>#REF!</v>
      </c>
      <c r="AH123" s="285" t="e">
        <f t="shared" si="69"/>
        <v>#REF!</v>
      </c>
      <c r="AI123" s="285" t="e">
        <f t="shared" si="69"/>
        <v>#REF!</v>
      </c>
      <c r="AJ123" s="285" t="e">
        <f t="shared" si="69"/>
        <v>#REF!</v>
      </c>
      <c r="AK123" s="285" t="e">
        <f t="shared" si="69"/>
        <v>#REF!</v>
      </c>
      <c r="AL123" s="285" t="e">
        <f t="shared" si="69"/>
        <v>#REF!</v>
      </c>
      <c r="AM123" s="285" t="e">
        <f t="shared" si="69"/>
        <v>#REF!</v>
      </c>
      <c r="AN123" s="285" t="e">
        <f t="shared" si="69"/>
        <v>#REF!</v>
      </c>
      <c r="AO123" s="285" t="e">
        <f t="shared" si="69"/>
        <v>#REF!</v>
      </c>
      <c r="AP123" s="285" t="e">
        <f t="shared" si="69"/>
        <v>#REF!</v>
      </c>
      <c r="AQ123" s="285" t="e">
        <f t="shared" si="69"/>
        <v>#REF!</v>
      </c>
      <c r="AR123" s="285">
        <f t="shared" si="69"/>
        <v>974941</v>
      </c>
      <c r="AS123" s="285">
        <f>AS124+AS169</f>
        <v>641100</v>
      </c>
      <c r="AT123" s="296"/>
      <c r="AU123" s="285">
        <v>641100</v>
      </c>
      <c r="AV123" s="265">
        <f>AU123-AS123</f>
        <v>0</v>
      </c>
    </row>
    <row r="124" spans="1:48" s="265" customFormat="1" ht="15.75">
      <c r="A124" s="290" t="s">
        <v>337</v>
      </c>
      <c r="B124" s="297" t="s">
        <v>661</v>
      </c>
      <c r="C124" s="292"/>
      <c r="D124" s="279"/>
      <c r="E124" s="293"/>
      <c r="F124" s="279"/>
      <c r="G124" s="294"/>
      <c r="H124" s="285">
        <f t="shared" ref="H124:AR124" si="70">H125+H164+H165</f>
        <v>1724977.0997360002</v>
      </c>
      <c r="I124" s="285">
        <f t="shared" si="70"/>
        <v>0</v>
      </c>
      <c r="J124" s="285">
        <f t="shared" si="70"/>
        <v>0</v>
      </c>
      <c r="K124" s="285">
        <f t="shared" si="70"/>
        <v>202363</v>
      </c>
      <c r="L124" s="285">
        <f t="shared" si="70"/>
        <v>667900</v>
      </c>
      <c r="M124" s="285">
        <f t="shared" si="70"/>
        <v>667900</v>
      </c>
      <c r="N124" s="285">
        <f t="shared" si="70"/>
        <v>101243</v>
      </c>
      <c r="O124" s="285">
        <f t="shared" si="70"/>
        <v>86378</v>
      </c>
      <c r="P124" s="285">
        <f t="shared" si="70"/>
        <v>101243</v>
      </c>
      <c r="Q124" s="285">
        <f t="shared" si="70"/>
        <v>86378</v>
      </c>
      <c r="R124" s="285">
        <f t="shared" si="70"/>
        <v>0</v>
      </c>
      <c r="S124" s="285">
        <f t="shared" si="70"/>
        <v>0</v>
      </c>
      <c r="T124" s="285">
        <f t="shared" si="70"/>
        <v>161431</v>
      </c>
      <c r="U124" s="285">
        <f t="shared" si="70"/>
        <v>160999</v>
      </c>
      <c r="V124" s="285">
        <f t="shared" si="70"/>
        <v>148131</v>
      </c>
      <c r="W124" s="285">
        <f t="shared" si="70"/>
        <v>147705</v>
      </c>
      <c r="X124" s="285">
        <f t="shared" si="70"/>
        <v>13300</v>
      </c>
      <c r="Y124" s="285">
        <f t="shared" si="70"/>
        <v>13294</v>
      </c>
      <c r="Z124" s="285">
        <f t="shared" si="70"/>
        <v>0</v>
      </c>
      <c r="AA124" s="285">
        <f t="shared" si="70"/>
        <v>0</v>
      </c>
      <c r="AB124" s="285">
        <f t="shared" si="70"/>
        <v>0</v>
      </c>
      <c r="AC124" s="285">
        <f t="shared" si="70"/>
        <v>0</v>
      </c>
      <c r="AD124" s="285">
        <f t="shared" si="70"/>
        <v>0</v>
      </c>
      <c r="AE124" s="285">
        <f t="shared" si="70"/>
        <v>0</v>
      </c>
      <c r="AF124" s="285">
        <f t="shared" si="70"/>
        <v>301500</v>
      </c>
      <c r="AG124" s="285">
        <f t="shared" si="70"/>
        <v>77881</v>
      </c>
      <c r="AH124" s="285">
        <f t="shared" si="70"/>
        <v>1000800</v>
      </c>
      <c r="AI124" s="285">
        <f t="shared" si="70"/>
        <v>987500</v>
      </c>
      <c r="AJ124" s="285">
        <f t="shared" si="70"/>
        <v>13300</v>
      </c>
      <c r="AK124" s="285">
        <f t="shared" si="70"/>
        <v>0</v>
      </c>
      <c r="AL124" s="285">
        <f t="shared" si="70"/>
        <v>1000800</v>
      </c>
      <c r="AM124" s="285">
        <f t="shared" si="70"/>
        <v>693423</v>
      </c>
      <c r="AN124" s="285">
        <f t="shared" si="70"/>
        <v>325258</v>
      </c>
      <c r="AO124" s="285">
        <f t="shared" si="70"/>
        <v>895786</v>
      </c>
      <c r="AP124" s="285">
        <f t="shared" si="70"/>
        <v>436626</v>
      </c>
      <c r="AQ124" s="285">
        <f t="shared" si="70"/>
        <v>436626</v>
      </c>
      <c r="AR124" s="285">
        <f t="shared" si="70"/>
        <v>974941</v>
      </c>
      <c r="AS124" s="285">
        <f>AS125+AS164+AS165</f>
        <v>342500</v>
      </c>
      <c r="AT124" s="296"/>
      <c r="AU124" s="285">
        <v>362700</v>
      </c>
    </row>
    <row r="125" spans="1:48" s="265" customFormat="1" ht="31.5">
      <c r="A125" s="290" t="s">
        <v>16</v>
      </c>
      <c r="B125" s="297" t="s">
        <v>911</v>
      </c>
      <c r="C125" s="292"/>
      <c r="D125" s="279"/>
      <c r="E125" s="293"/>
      <c r="F125" s="279"/>
      <c r="G125" s="294"/>
      <c r="H125" s="285">
        <f t="shared" ref="H125:AR125" si="71">SUM(H126:H163)</f>
        <v>1416218.0997360002</v>
      </c>
      <c r="I125" s="285">
        <f t="shared" si="71"/>
        <v>0</v>
      </c>
      <c r="J125" s="285">
        <f t="shared" si="71"/>
        <v>0</v>
      </c>
      <c r="K125" s="285">
        <f t="shared" si="71"/>
        <v>202363</v>
      </c>
      <c r="L125" s="285">
        <f t="shared" si="71"/>
        <v>667900</v>
      </c>
      <c r="M125" s="285">
        <f t="shared" si="71"/>
        <v>667900</v>
      </c>
      <c r="N125" s="285">
        <f t="shared" si="71"/>
        <v>101243</v>
      </c>
      <c r="O125" s="285">
        <f t="shared" si="71"/>
        <v>86378</v>
      </c>
      <c r="P125" s="285">
        <f t="shared" si="71"/>
        <v>101243</v>
      </c>
      <c r="Q125" s="285">
        <f t="shared" si="71"/>
        <v>86378</v>
      </c>
      <c r="R125" s="285">
        <f t="shared" si="71"/>
        <v>0</v>
      </c>
      <c r="S125" s="285">
        <f t="shared" si="71"/>
        <v>0</v>
      </c>
      <c r="T125" s="285">
        <f t="shared" si="71"/>
        <v>161431</v>
      </c>
      <c r="U125" s="285">
        <f t="shared" si="71"/>
        <v>160999</v>
      </c>
      <c r="V125" s="285">
        <f t="shared" si="71"/>
        <v>148131</v>
      </c>
      <c r="W125" s="285">
        <f t="shared" si="71"/>
        <v>147705</v>
      </c>
      <c r="X125" s="285">
        <f t="shared" si="71"/>
        <v>13300</v>
      </c>
      <c r="Y125" s="285">
        <f t="shared" si="71"/>
        <v>13294</v>
      </c>
      <c r="Z125" s="285">
        <f t="shared" si="71"/>
        <v>0</v>
      </c>
      <c r="AA125" s="285">
        <f t="shared" si="71"/>
        <v>0</v>
      </c>
      <c r="AB125" s="285">
        <f t="shared" si="71"/>
        <v>0</v>
      </c>
      <c r="AC125" s="285">
        <f t="shared" si="71"/>
        <v>0</v>
      </c>
      <c r="AD125" s="285">
        <f t="shared" si="71"/>
        <v>0</v>
      </c>
      <c r="AE125" s="285">
        <f t="shared" si="71"/>
        <v>0</v>
      </c>
      <c r="AF125" s="285">
        <f t="shared" si="71"/>
        <v>301500</v>
      </c>
      <c r="AG125" s="285">
        <f t="shared" si="71"/>
        <v>77881</v>
      </c>
      <c r="AH125" s="285">
        <f t="shared" si="71"/>
        <v>1000800</v>
      </c>
      <c r="AI125" s="285">
        <f t="shared" si="71"/>
        <v>987500</v>
      </c>
      <c r="AJ125" s="285">
        <f t="shared" si="71"/>
        <v>13300</v>
      </c>
      <c r="AK125" s="285">
        <f t="shared" si="71"/>
        <v>0</v>
      </c>
      <c r="AL125" s="285">
        <f t="shared" si="71"/>
        <v>1000800</v>
      </c>
      <c r="AM125" s="285">
        <f t="shared" si="71"/>
        <v>564174</v>
      </c>
      <c r="AN125" s="285">
        <f t="shared" si="71"/>
        <v>325258</v>
      </c>
      <c r="AO125" s="285">
        <f t="shared" si="71"/>
        <v>766537</v>
      </c>
      <c r="AP125" s="285">
        <f t="shared" si="71"/>
        <v>436626</v>
      </c>
      <c r="AQ125" s="285">
        <f t="shared" si="71"/>
        <v>436626</v>
      </c>
      <c r="AR125" s="285">
        <f t="shared" si="71"/>
        <v>835692</v>
      </c>
      <c r="AS125" s="285">
        <f>SUM(AS126:AS163)</f>
        <v>240700</v>
      </c>
      <c r="AT125" s="296"/>
      <c r="AU125" s="285">
        <v>255900</v>
      </c>
    </row>
    <row r="126" spans="1:48" ht="47.25" customHeight="1">
      <c r="A126" s="298">
        <v>1</v>
      </c>
      <c r="B126" s="299" t="s">
        <v>912</v>
      </c>
      <c r="C126" s="300" t="s">
        <v>797</v>
      </c>
      <c r="D126" s="341" t="s">
        <v>705</v>
      </c>
      <c r="E126" s="312" t="s">
        <v>913</v>
      </c>
      <c r="F126" s="298" t="s">
        <v>716</v>
      </c>
      <c r="G126" s="307" t="s">
        <v>914</v>
      </c>
      <c r="H126" s="295">
        <v>342625</v>
      </c>
      <c r="I126" s="295"/>
      <c r="J126" s="295">
        <f t="shared" si="57"/>
        <v>0</v>
      </c>
      <c r="K126" s="295">
        <v>202363</v>
      </c>
      <c r="L126" s="295">
        <v>100000</v>
      </c>
      <c r="M126" s="295">
        <v>100000</v>
      </c>
      <c r="N126" s="295">
        <f t="shared" ref="N126:O141" si="72">P126+R126</f>
        <v>35000</v>
      </c>
      <c r="O126" s="295">
        <f t="shared" si="72"/>
        <v>27424</v>
      </c>
      <c r="P126" s="295">
        <v>35000</v>
      </c>
      <c r="Q126" s="295">
        <v>27424</v>
      </c>
      <c r="R126" s="295"/>
      <c r="S126" s="295"/>
      <c r="T126" s="295">
        <f>V126+X126+Z126+AB126+AD126</f>
        <v>18190</v>
      </c>
      <c r="U126" s="295">
        <f t="shared" si="51"/>
        <v>18182</v>
      </c>
      <c r="V126" s="295">
        <v>18190</v>
      </c>
      <c r="W126" s="295">
        <v>18182</v>
      </c>
      <c r="X126" s="295"/>
      <c r="Y126" s="295"/>
      <c r="Z126" s="295"/>
      <c r="AA126" s="295"/>
      <c r="AB126" s="295"/>
      <c r="AC126" s="295"/>
      <c r="AD126" s="295"/>
      <c r="AE126" s="295"/>
      <c r="AF126" s="295">
        <v>20000</v>
      </c>
      <c r="AG126" s="295">
        <v>11528</v>
      </c>
      <c r="AH126" s="295">
        <f t="shared" ref="AH126:AH161" si="73">AI126+AJ126+AK126</f>
        <v>135000</v>
      </c>
      <c r="AI126" s="295">
        <v>135000</v>
      </c>
      <c r="AJ126" s="295">
        <f>R126+X126+Z126+AB126+AD126</f>
        <v>0</v>
      </c>
      <c r="AK126" s="295"/>
      <c r="AL126" s="285">
        <f t="shared" si="42"/>
        <v>135000</v>
      </c>
      <c r="AM126" s="295">
        <f t="shared" si="48"/>
        <v>73190</v>
      </c>
      <c r="AN126" s="295">
        <f t="shared" si="48"/>
        <v>57134</v>
      </c>
      <c r="AO126" s="295">
        <f>K126+AM126</f>
        <v>275553</v>
      </c>
      <c r="AP126" s="295">
        <f>AH126-AM126</f>
        <v>61810</v>
      </c>
      <c r="AQ126" s="285">
        <f t="shared" ref="AQ126:AQ161" si="74">AP126-AK126</f>
        <v>61810</v>
      </c>
      <c r="AR126" s="295">
        <v>275553</v>
      </c>
      <c r="AS126" s="295">
        <v>30000</v>
      </c>
      <c r="AT126" s="318"/>
    </row>
    <row r="127" spans="1:48" ht="25.5" customHeight="1">
      <c r="A127" s="298">
        <v>2</v>
      </c>
      <c r="B127" s="299" t="s">
        <v>915</v>
      </c>
      <c r="C127" s="301" t="s">
        <v>675</v>
      </c>
      <c r="D127" s="301" t="s">
        <v>675</v>
      </c>
      <c r="E127" s="312"/>
      <c r="F127" s="298" t="s">
        <v>916</v>
      </c>
      <c r="G127" s="307" t="s">
        <v>917</v>
      </c>
      <c r="H127" s="342">
        <v>29173</v>
      </c>
      <c r="I127" s="295"/>
      <c r="J127" s="295"/>
      <c r="K127" s="295"/>
      <c r="L127" s="295"/>
      <c r="M127" s="295"/>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5"/>
      <c r="AI127" s="295"/>
      <c r="AJ127" s="295"/>
      <c r="AK127" s="295"/>
      <c r="AL127" s="285"/>
      <c r="AM127" s="295"/>
      <c r="AN127" s="295"/>
      <c r="AO127" s="295"/>
      <c r="AP127" s="295"/>
      <c r="AQ127" s="285"/>
      <c r="AR127" s="295">
        <f>15000+2455+10200</f>
        <v>27655</v>
      </c>
      <c r="AS127" s="295">
        <v>1000</v>
      </c>
      <c r="AT127" s="318"/>
      <c r="AU127" s="249">
        <f>AR127+AS127</f>
        <v>28655</v>
      </c>
    </row>
    <row r="128" spans="1:48" s="265" customFormat="1" ht="42.75" customHeight="1">
      <c r="A128" s="298">
        <v>3</v>
      </c>
      <c r="B128" s="314" t="s">
        <v>918</v>
      </c>
      <c r="C128" s="300" t="s">
        <v>797</v>
      </c>
      <c r="D128" s="300" t="s">
        <v>675</v>
      </c>
      <c r="E128" s="300"/>
      <c r="F128" s="312" t="s">
        <v>666</v>
      </c>
      <c r="G128" s="300" t="s">
        <v>919</v>
      </c>
      <c r="H128" s="295">
        <v>83431</v>
      </c>
      <c r="I128" s="295"/>
      <c r="J128" s="295">
        <f>I128*90%</f>
        <v>0</v>
      </c>
      <c r="K128" s="295"/>
      <c r="L128" s="295">
        <v>50000</v>
      </c>
      <c r="M128" s="295">
        <v>50000</v>
      </c>
      <c r="N128" s="295">
        <f t="shared" si="72"/>
        <v>13500</v>
      </c>
      <c r="O128" s="295">
        <f t="shared" si="72"/>
        <v>6212</v>
      </c>
      <c r="P128" s="295">
        <v>13500</v>
      </c>
      <c r="Q128" s="295">
        <v>6212</v>
      </c>
      <c r="R128" s="295"/>
      <c r="S128" s="295"/>
      <c r="T128" s="295">
        <f>V128+X128+Z128+AB128+AD128</f>
        <v>7523</v>
      </c>
      <c r="U128" s="295">
        <f t="shared" si="51"/>
        <v>7523</v>
      </c>
      <c r="V128" s="295">
        <v>7523</v>
      </c>
      <c r="W128" s="295">
        <v>7523</v>
      </c>
      <c r="X128" s="295"/>
      <c r="Y128" s="295"/>
      <c r="Z128" s="295"/>
      <c r="AA128" s="295"/>
      <c r="AB128" s="295"/>
      <c r="AC128" s="295"/>
      <c r="AD128" s="295"/>
      <c r="AE128" s="295"/>
      <c r="AF128" s="295">
        <v>10000</v>
      </c>
      <c r="AG128" s="295">
        <v>30</v>
      </c>
      <c r="AH128" s="295">
        <f t="shared" si="73"/>
        <v>57000</v>
      </c>
      <c r="AI128" s="295">
        <v>57000</v>
      </c>
      <c r="AJ128" s="295">
        <f>R128+X128+Z128+AB128+AD128</f>
        <v>0</v>
      </c>
      <c r="AK128" s="295"/>
      <c r="AL128" s="285">
        <f t="shared" ref="AL128:AL197" si="75">AI128+AJ128</f>
        <v>57000</v>
      </c>
      <c r="AM128" s="295">
        <f t="shared" ref="AM128:AN143" si="76">N128+T128+AF128</f>
        <v>31023</v>
      </c>
      <c r="AN128" s="295">
        <f t="shared" si="76"/>
        <v>13765</v>
      </c>
      <c r="AO128" s="295">
        <f t="shared" ref="AO128:AO197" si="77">K128+AM128</f>
        <v>31023</v>
      </c>
      <c r="AP128" s="295">
        <f t="shared" ref="AP128:AP161" si="78">AH128-AM128</f>
        <v>25977</v>
      </c>
      <c r="AQ128" s="285">
        <f t="shared" si="74"/>
        <v>25977</v>
      </c>
      <c r="AR128" s="295">
        <v>31023</v>
      </c>
      <c r="AS128" s="295">
        <v>11500</v>
      </c>
      <c r="AT128" s="318"/>
    </row>
    <row r="129" spans="1:47" s="265" customFormat="1" ht="47.25" customHeight="1">
      <c r="A129" s="298">
        <v>4</v>
      </c>
      <c r="B129" s="314" t="s">
        <v>920</v>
      </c>
      <c r="C129" s="300" t="s">
        <v>797</v>
      </c>
      <c r="D129" s="300" t="s">
        <v>705</v>
      </c>
      <c r="E129" s="300"/>
      <c r="F129" s="312" t="s">
        <v>871</v>
      </c>
      <c r="G129" s="300" t="s">
        <v>921</v>
      </c>
      <c r="H129" s="295">
        <v>98280</v>
      </c>
      <c r="I129" s="295"/>
      <c r="J129" s="295">
        <f t="shared" ref="J129:J161" si="79">I129*90%</f>
        <v>0</v>
      </c>
      <c r="K129" s="295"/>
      <c r="L129" s="295">
        <v>88500</v>
      </c>
      <c r="M129" s="295">
        <v>88500</v>
      </c>
      <c r="N129" s="295">
        <f t="shared" si="72"/>
        <v>22000</v>
      </c>
      <c r="O129" s="295">
        <f t="shared" si="72"/>
        <v>22000</v>
      </c>
      <c r="P129" s="295">
        <v>22000</v>
      </c>
      <c r="Q129" s="295">
        <v>22000</v>
      </c>
      <c r="R129" s="295"/>
      <c r="S129" s="295"/>
      <c r="T129" s="295">
        <f t="shared" ref="T129:U144" si="80">V129+X129+Z129+AB129+AD129</f>
        <v>25000</v>
      </c>
      <c r="U129" s="295">
        <f t="shared" si="51"/>
        <v>25000</v>
      </c>
      <c r="V129" s="295">
        <v>25000</v>
      </c>
      <c r="W129" s="295">
        <v>25000</v>
      </c>
      <c r="X129" s="295"/>
      <c r="Y129" s="295"/>
      <c r="Z129" s="295"/>
      <c r="AA129" s="295"/>
      <c r="AB129" s="295"/>
      <c r="AC129" s="295"/>
      <c r="AD129" s="295"/>
      <c r="AE129" s="295"/>
      <c r="AF129" s="295">
        <v>23000</v>
      </c>
      <c r="AG129" s="295">
        <v>9150</v>
      </c>
      <c r="AH129" s="295">
        <f t="shared" si="73"/>
        <v>90000</v>
      </c>
      <c r="AI129" s="295">
        <v>90000</v>
      </c>
      <c r="AJ129" s="295">
        <f t="shared" ref="AJ129:AJ143" si="81">R129+X129+Z129+AB129+AD129</f>
        <v>0</v>
      </c>
      <c r="AK129" s="295"/>
      <c r="AL129" s="285">
        <f t="shared" si="75"/>
        <v>90000</v>
      </c>
      <c r="AM129" s="295">
        <f t="shared" si="76"/>
        <v>70000</v>
      </c>
      <c r="AN129" s="295">
        <f t="shared" si="76"/>
        <v>56150</v>
      </c>
      <c r="AO129" s="295">
        <f t="shared" si="77"/>
        <v>70000</v>
      </c>
      <c r="AP129" s="295">
        <f t="shared" si="78"/>
        <v>20000</v>
      </c>
      <c r="AQ129" s="285">
        <f t="shared" si="74"/>
        <v>20000</v>
      </c>
      <c r="AR129" s="295">
        <v>70000</v>
      </c>
      <c r="AS129" s="295">
        <v>12000</v>
      </c>
      <c r="AT129" s="318"/>
    </row>
    <row r="130" spans="1:47" s="265" customFormat="1" ht="47.25" customHeight="1">
      <c r="A130" s="298">
        <v>5</v>
      </c>
      <c r="B130" s="314" t="s">
        <v>922</v>
      </c>
      <c r="C130" s="300" t="s">
        <v>797</v>
      </c>
      <c r="D130" s="300" t="s">
        <v>689</v>
      </c>
      <c r="E130" s="300"/>
      <c r="F130" s="312" t="s">
        <v>916</v>
      </c>
      <c r="G130" s="300" t="s">
        <v>923</v>
      </c>
      <c r="H130" s="295">
        <v>44752</v>
      </c>
      <c r="I130" s="295"/>
      <c r="J130" s="295">
        <f t="shared" si="79"/>
        <v>0</v>
      </c>
      <c r="K130" s="295"/>
      <c r="L130" s="295">
        <v>40500</v>
      </c>
      <c r="M130" s="295">
        <v>40500</v>
      </c>
      <c r="N130" s="295">
        <f t="shared" si="72"/>
        <v>10500</v>
      </c>
      <c r="O130" s="295">
        <f t="shared" si="72"/>
        <v>10500</v>
      </c>
      <c r="P130" s="295">
        <v>10500</v>
      </c>
      <c r="Q130" s="295">
        <v>10500</v>
      </c>
      <c r="R130" s="295"/>
      <c r="S130" s="295"/>
      <c r="T130" s="295">
        <f t="shared" si="80"/>
        <v>12526</v>
      </c>
      <c r="U130" s="295">
        <f t="shared" si="51"/>
        <v>12499</v>
      </c>
      <c r="V130" s="295">
        <v>12526</v>
      </c>
      <c r="W130" s="295">
        <v>12499</v>
      </c>
      <c r="X130" s="295"/>
      <c r="Y130" s="295"/>
      <c r="Z130" s="295"/>
      <c r="AA130" s="295"/>
      <c r="AB130" s="295"/>
      <c r="AC130" s="295"/>
      <c r="AD130" s="295"/>
      <c r="AE130" s="295"/>
      <c r="AF130" s="295">
        <v>10000</v>
      </c>
      <c r="AG130" s="295">
        <v>2663</v>
      </c>
      <c r="AH130" s="295">
        <f t="shared" si="73"/>
        <v>40500</v>
      </c>
      <c r="AI130" s="295">
        <v>40500</v>
      </c>
      <c r="AJ130" s="295">
        <f t="shared" si="81"/>
        <v>0</v>
      </c>
      <c r="AK130" s="295"/>
      <c r="AL130" s="285">
        <f t="shared" si="75"/>
        <v>40500</v>
      </c>
      <c r="AM130" s="295">
        <f t="shared" si="76"/>
        <v>33026</v>
      </c>
      <c r="AN130" s="295">
        <f t="shared" si="76"/>
        <v>25662</v>
      </c>
      <c r="AO130" s="295">
        <f t="shared" si="77"/>
        <v>33026</v>
      </c>
      <c r="AP130" s="295">
        <f t="shared" si="78"/>
        <v>7474</v>
      </c>
      <c r="AQ130" s="285">
        <f t="shared" si="74"/>
        <v>7474</v>
      </c>
      <c r="AR130" s="295">
        <v>33026</v>
      </c>
      <c r="AS130" s="295">
        <v>6000</v>
      </c>
      <c r="AT130" s="318"/>
    </row>
    <row r="131" spans="1:47" s="265" customFormat="1" ht="47.25" customHeight="1">
      <c r="A131" s="298">
        <v>6</v>
      </c>
      <c r="B131" s="314" t="s">
        <v>924</v>
      </c>
      <c r="C131" s="300" t="s">
        <v>797</v>
      </c>
      <c r="D131" s="300" t="s">
        <v>744</v>
      </c>
      <c r="E131" s="300"/>
      <c r="F131" s="312" t="s">
        <v>916</v>
      </c>
      <c r="G131" s="300" t="s">
        <v>925</v>
      </c>
      <c r="H131" s="295">
        <v>36998</v>
      </c>
      <c r="I131" s="295"/>
      <c r="J131" s="295">
        <f t="shared" si="79"/>
        <v>0</v>
      </c>
      <c r="K131" s="295"/>
      <c r="L131" s="295">
        <v>33500</v>
      </c>
      <c r="M131" s="295">
        <v>33500</v>
      </c>
      <c r="N131" s="295">
        <f t="shared" si="72"/>
        <v>3743</v>
      </c>
      <c r="O131" s="295">
        <f t="shared" si="72"/>
        <v>3742</v>
      </c>
      <c r="P131" s="295">
        <v>3743</v>
      </c>
      <c r="Q131" s="295">
        <v>3742</v>
      </c>
      <c r="R131" s="295"/>
      <c r="S131" s="295"/>
      <c r="T131" s="295">
        <f t="shared" si="80"/>
        <v>9500</v>
      </c>
      <c r="U131" s="295">
        <f t="shared" si="51"/>
        <v>9500</v>
      </c>
      <c r="V131" s="295">
        <v>9500</v>
      </c>
      <c r="W131" s="295">
        <v>9500</v>
      </c>
      <c r="X131" s="295"/>
      <c r="Y131" s="295"/>
      <c r="Z131" s="295"/>
      <c r="AA131" s="295"/>
      <c r="AB131" s="295"/>
      <c r="AC131" s="295"/>
      <c r="AD131" s="295"/>
      <c r="AE131" s="295"/>
      <c r="AF131" s="295">
        <v>7000</v>
      </c>
      <c r="AG131" s="295">
        <v>308</v>
      </c>
      <c r="AH131" s="295">
        <f t="shared" si="73"/>
        <v>33500</v>
      </c>
      <c r="AI131" s="295">
        <v>33500</v>
      </c>
      <c r="AJ131" s="295">
        <f t="shared" si="81"/>
        <v>0</v>
      </c>
      <c r="AK131" s="295"/>
      <c r="AL131" s="285">
        <f t="shared" si="75"/>
        <v>33500</v>
      </c>
      <c r="AM131" s="295">
        <f t="shared" si="76"/>
        <v>20243</v>
      </c>
      <c r="AN131" s="295">
        <f t="shared" si="76"/>
        <v>13550</v>
      </c>
      <c r="AO131" s="295">
        <f t="shared" si="77"/>
        <v>20243</v>
      </c>
      <c r="AP131" s="295">
        <f t="shared" si="78"/>
        <v>13257</v>
      </c>
      <c r="AQ131" s="285">
        <f t="shared" si="74"/>
        <v>13257</v>
      </c>
      <c r="AR131" s="295">
        <v>20243</v>
      </c>
      <c r="AS131" s="295">
        <v>7000</v>
      </c>
      <c r="AT131" s="318"/>
    </row>
    <row r="132" spans="1:47" s="265" customFormat="1" ht="20.25" customHeight="1">
      <c r="A132" s="298">
        <v>7</v>
      </c>
      <c r="B132" s="314" t="s">
        <v>926</v>
      </c>
      <c r="C132" s="300" t="s">
        <v>744</v>
      </c>
      <c r="D132" s="300" t="s">
        <v>744</v>
      </c>
      <c r="E132" s="300"/>
      <c r="F132" s="312" t="s">
        <v>916</v>
      </c>
      <c r="G132" s="300" t="s">
        <v>927</v>
      </c>
      <c r="H132" s="295">
        <v>42277</v>
      </c>
      <c r="I132" s="295"/>
      <c r="J132" s="295">
        <f t="shared" si="79"/>
        <v>0</v>
      </c>
      <c r="K132" s="295"/>
      <c r="L132" s="295">
        <v>38000</v>
      </c>
      <c r="M132" s="295">
        <v>38000</v>
      </c>
      <c r="N132" s="295">
        <f t="shared" si="72"/>
        <v>12500</v>
      </c>
      <c r="O132" s="295">
        <f t="shared" si="72"/>
        <v>12500</v>
      </c>
      <c r="P132" s="295">
        <v>12500</v>
      </c>
      <c r="Q132" s="295">
        <v>12500</v>
      </c>
      <c r="R132" s="295"/>
      <c r="S132" s="295"/>
      <c r="T132" s="295">
        <f t="shared" si="80"/>
        <v>14000</v>
      </c>
      <c r="U132" s="295">
        <f t="shared" si="51"/>
        <v>14000</v>
      </c>
      <c r="V132" s="295">
        <v>10000</v>
      </c>
      <c r="W132" s="295">
        <v>10000</v>
      </c>
      <c r="X132" s="295">
        <v>4000</v>
      </c>
      <c r="Y132" s="295">
        <v>4000</v>
      </c>
      <c r="Z132" s="295"/>
      <c r="AA132" s="295"/>
      <c r="AB132" s="295"/>
      <c r="AC132" s="295"/>
      <c r="AD132" s="295"/>
      <c r="AE132" s="295"/>
      <c r="AF132" s="295">
        <v>12000</v>
      </c>
      <c r="AG132" s="295">
        <v>4982</v>
      </c>
      <c r="AH132" s="295">
        <f t="shared" si="73"/>
        <v>42000</v>
      </c>
      <c r="AI132" s="295">
        <v>38000</v>
      </c>
      <c r="AJ132" s="295">
        <f t="shared" si="81"/>
        <v>4000</v>
      </c>
      <c r="AK132" s="295"/>
      <c r="AL132" s="285">
        <f t="shared" si="75"/>
        <v>42000</v>
      </c>
      <c r="AM132" s="295">
        <f t="shared" si="76"/>
        <v>38500</v>
      </c>
      <c r="AN132" s="295">
        <f t="shared" si="76"/>
        <v>31482</v>
      </c>
      <c r="AO132" s="295">
        <f t="shared" si="77"/>
        <v>38500</v>
      </c>
      <c r="AP132" s="295">
        <f t="shared" si="78"/>
        <v>3500</v>
      </c>
      <c r="AQ132" s="285">
        <f t="shared" si="74"/>
        <v>3500</v>
      </c>
      <c r="AR132" s="295">
        <v>38500</v>
      </c>
      <c r="AS132" s="295">
        <v>2500</v>
      </c>
      <c r="AT132" s="318"/>
    </row>
    <row r="133" spans="1:47" s="265" customFormat="1" ht="47.25" customHeight="1">
      <c r="A133" s="298">
        <v>8</v>
      </c>
      <c r="B133" s="314" t="s">
        <v>928</v>
      </c>
      <c r="C133" s="300" t="s">
        <v>929</v>
      </c>
      <c r="D133" s="300" t="s">
        <v>675</v>
      </c>
      <c r="E133" s="300"/>
      <c r="F133" s="312" t="s">
        <v>916</v>
      </c>
      <c r="G133" s="300" t="s">
        <v>925</v>
      </c>
      <c r="H133" s="295">
        <v>49982</v>
      </c>
      <c r="I133" s="295"/>
      <c r="J133" s="295">
        <f t="shared" si="79"/>
        <v>0</v>
      </c>
      <c r="K133" s="295"/>
      <c r="L133" s="295">
        <v>44900</v>
      </c>
      <c r="M133" s="295">
        <v>44900</v>
      </c>
      <c r="N133" s="295">
        <f t="shared" si="72"/>
        <v>4000</v>
      </c>
      <c r="O133" s="295">
        <f t="shared" si="72"/>
        <v>4000</v>
      </c>
      <c r="P133" s="295">
        <v>4000</v>
      </c>
      <c r="Q133" s="295">
        <v>4000</v>
      </c>
      <c r="R133" s="295"/>
      <c r="S133" s="295"/>
      <c r="T133" s="295">
        <f t="shared" si="80"/>
        <v>28300</v>
      </c>
      <c r="U133" s="295">
        <f t="shared" si="51"/>
        <v>28294</v>
      </c>
      <c r="V133" s="295">
        <v>19000</v>
      </c>
      <c r="W133" s="295">
        <v>19000</v>
      </c>
      <c r="X133" s="295">
        <v>9300</v>
      </c>
      <c r="Y133" s="295">
        <v>9294</v>
      </c>
      <c r="Z133" s="295"/>
      <c r="AA133" s="295"/>
      <c r="AB133" s="295"/>
      <c r="AC133" s="295"/>
      <c r="AD133" s="295"/>
      <c r="AE133" s="295"/>
      <c r="AF133" s="295">
        <v>10000</v>
      </c>
      <c r="AG133" s="295">
        <v>3773</v>
      </c>
      <c r="AH133" s="295">
        <f t="shared" si="73"/>
        <v>54300</v>
      </c>
      <c r="AI133" s="295">
        <v>45000</v>
      </c>
      <c r="AJ133" s="295">
        <f t="shared" si="81"/>
        <v>9300</v>
      </c>
      <c r="AK133" s="295"/>
      <c r="AL133" s="285">
        <f t="shared" si="75"/>
        <v>54300</v>
      </c>
      <c r="AM133" s="295">
        <f t="shared" si="76"/>
        <v>42300</v>
      </c>
      <c r="AN133" s="295">
        <f t="shared" si="76"/>
        <v>36067</v>
      </c>
      <c r="AO133" s="295">
        <f t="shared" si="77"/>
        <v>42300</v>
      </c>
      <c r="AP133" s="295">
        <f t="shared" si="78"/>
        <v>12000</v>
      </c>
      <c r="AQ133" s="285">
        <f t="shared" si="74"/>
        <v>12000</v>
      </c>
      <c r="AR133" s="295">
        <v>42300</v>
      </c>
      <c r="AS133" s="295">
        <v>3000</v>
      </c>
      <c r="AT133" s="318"/>
    </row>
    <row r="134" spans="1:47" s="265" customFormat="1" ht="47.25" customHeight="1">
      <c r="A134" s="298">
        <v>9</v>
      </c>
      <c r="B134" s="314" t="s">
        <v>930</v>
      </c>
      <c r="C134" s="300" t="s">
        <v>797</v>
      </c>
      <c r="D134" s="300" t="s">
        <v>744</v>
      </c>
      <c r="E134" s="300" t="s">
        <v>931</v>
      </c>
      <c r="F134" s="312" t="s">
        <v>671</v>
      </c>
      <c r="G134" s="300" t="s">
        <v>932</v>
      </c>
      <c r="H134" s="295">
        <v>29765</v>
      </c>
      <c r="I134" s="295"/>
      <c r="J134" s="295">
        <f t="shared" si="79"/>
        <v>0</v>
      </c>
      <c r="K134" s="295"/>
      <c r="L134" s="295">
        <v>25000</v>
      </c>
      <c r="M134" s="295">
        <v>25000</v>
      </c>
      <c r="N134" s="295">
        <f t="shared" si="72"/>
        <v>0</v>
      </c>
      <c r="O134" s="295">
        <f t="shared" si="72"/>
        <v>0</v>
      </c>
      <c r="P134" s="295"/>
      <c r="Q134" s="295"/>
      <c r="R134" s="295"/>
      <c r="S134" s="295"/>
      <c r="T134" s="295">
        <f t="shared" si="80"/>
        <v>4192</v>
      </c>
      <c r="U134" s="295">
        <f t="shared" si="51"/>
        <v>4192</v>
      </c>
      <c r="V134" s="295">
        <v>4192</v>
      </c>
      <c r="W134" s="295">
        <v>4192</v>
      </c>
      <c r="X134" s="295"/>
      <c r="Y134" s="295"/>
      <c r="Z134" s="295"/>
      <c r="AA134" s="295"/>
      <c r="AB134" s="295"/>
      <c r="AC134" s="295"/>
      <c r="AD134" s="295"/>
      <c r="AE134" s="295"/>
      <c r="AF134" s="295">
        <v>7000</v>
      </c>
      <c r="AG134" s="295">
        <v>2197</v>
      </c>
      <c r="AH134" s="295">
        <f t="shared" si="73"/>
        <v>26500</v>
      </c>
      <c r="AI134" s="295">
        <v>26500</v>
      </c>
      <c r="AJ134" s="295">
        <f t="shared" si="81"/>
        <v>0</v>
      </c>
      <c r="AK134" s="295"/>
      <c r="AL134" s="285">
        <f t="shared" si="75"/>
        <v>26500</v>
      </c>
      <c r="AM134" s="295">
        <f t="shared" si="76"/>
        <v>11192</v>
      </c>
      <c r="AN134" s="295">
        <f t="shared" si="76"/>
        <v>6389</v>
      </c>
      <c r="AO134" s="295">
        <f t="shared" si="77"/>
        <v>11192</v>
      </c>
      <c r="AP134" s="295">
        <f t="shared" si="78"/>
        <v>15308</v>
      </c>
      <c r="AQ134" s="285">
        <f t="shared" si="74"/>
        <v>15308</v>
      </c>
      <c r="AR134" s="295">
        <v>11192</v>
      </c>
      <c r="AS134" s="295">
        <v>8000</v>
      </c>
      <c r="AT134" s="318"/>
    </row>
    <row r="135" spans="1:47" s="265" customFormat="1" ht="47.25" customHeight="1">
      <c r="A135" s="298">
        <v>10</v>
      </c>
      <c r="B135" s="314" t="s">
        <v>933</v>
      </c>
      <c r="C135" s="300" t="s">
        <v>797</v>
      </c>
      <c r="D135" s="300" t="s">
        <v>700</v>
      </c>
      <c r="E135" s="300" t="s">
        <v>934</v>
      </c>
      <c r="F135" s="312" t="s">
        <v>671</v>
      </c>
      <c r="G135" s="300" t="s">
        <v>935</v>
      </c>
      <c r="H135" s="295">
        <v>29985</v>
      </c>
      <c r="I135" s="295"/>
      <c r="J135" s="295">
        <f t="shared" si="79"/>
        <v>0</v>
      </c>
      <c r="K135" s="295"/>
      <c r="L135" s="295">
        <v>25000</v>
      </c>
      <c r="M135" s="295">
        <v>25000</v>
      </c>
      <c r="N135" s="295">
        <f t="shared" si="72"/>
        <v>0</v>
      </c>
      <c r="O135" s="295">
        <f t="shared" si="72"/>
        <v>0</v>
      </c>
      <c r="P135" s="295"/>
      <c r="Q135" s="295"/>
      <c r="R135" s="295"/>
      <c r="S135" s="295"/>
      <c r="T135" s="295">
        <f t="shared" si="80"/>
        <v>5000</v>
      </c>
      <c r="U135" s="295">
        <f t="shared" si="51"/>
        <v>5000</v>
      </c>
      <c r="V135" s="295">
        <v>5000</v>
      </c>
      <c r="W135" s="295">
        <v>5000</v>
      </c>
      <c r="X135" s="295"/>
      <c r="Y135" s="295"/>
      <c r="Z135" s="295"/>
      <c r="AA135" s="295"/>
      <c r="AB135" s="295"/>
      <c r="AC135" s="295"/>
      <c r="AD135" s="295"/>
      <c r="AE135" s="295"/>
      <c r="AF135" s="295">
        <v>7000</v>
      </c>
      <c r="AG135" s="295">
        <v>2042</v>
      </c>
      <c r="AH135" s="295">
        <f t="shared" si="73"/>
        <v>27000</v>
      </c>
      <c r="AI135" s="295">
        <v>27000</v>
      </c>
      <c r="AJ135" s="295">
        <f t="shared" si="81"/>
        <v>0</v>
      </c>
      <c r="AK135" s="295"/>
      <c r="AL135" s="285">
        <f t="shared" si="75"/>
        <v>27000</v>
      </c>
      <c r="AM135" s="295">
        <f t="shared" si="76"/>
        <v>12000</v>
      </c>
      <c r="AN135" s="295">
        <f t="shared" si="76"/>
        <v>7042</v>
      </c>
      <c r="AO135" s="295">
        <f t="shared" si="77"/>
        <v>12000</v>
      </c>
      <c r="AP135" s="295">
        <f t="shared" si="78"/>
        <v>15000</v>
      </c>
      <c r="AQ135" s="285">
        <f t="shared" si="74"/>
        <v>15000</v>
      </c>
      <c r="AR135" s="295">
        <v>12000</v>
      </c>
      <c r="AS135" s="295">
        <v>8000</v>
      </c>
      <c r="AT135" s="318"/>
    </row>
    <row r="136" spans="1:47" s="265" customFormat="1" ht="47.25" customHeight="1">
      <c r="A136" s="298">
        <v>11</v>
      </c>
      <c r="B136" s="314" t="s">
        <v>936</v>
      </c>
      <c r="C136" s="300" t="s">
        <v>797</v>
      </c>
      <c r="D136" s="300" t="s">
        <v>705</v>
      </c>
      <c r="E136" s="300" t="s">
        <v>671</v>
      </c>
      <c r="F136" s="312" t="s">
        <v>720</v>
      </c>
      <c r="G136" s="300" t="s">
        <v>937</v>
      </c>
      <c r="H136" s="295">
        <v>25616</v>
      </c>
      <c r="I136" s="295"/>
      <c r="J136" s="295">
        <f t="shared" si="79"/>
        <v>0</v>
      </c>
      <c r="K136" s="295"/>
      <c r="L136" s="295">
        <v>23000</v>
      </c>
      <c r="M136" s="295">
        <v>23000</v>
      </c>
      <c r="N136" s="295">
        <f t="shared" si="72"/>
        <v>0</v>
      </c>
      <c r="O136" s="295">
        <f t="shared" si="72"/>
        <v>0</v>
      </c>
      <c r="P136" s="295"/>
      <c r="Q136" s="295"/>
      <c r="R136" s="295"/>
      <c r="S136" s="295"/>
      <c r="T136" s="295">
        <f t="shared" si="80"/>
        <v>5000</v>
      </c>
      <c r="U136" s="295">
        <f t="shared" si="51"/>
        <v>4672</v>
      </c>
      <c r="V136" s="295">
        <v>5000</v>
      </c>
      <c r="W136" s="295">
        <v>4672</v>
      </c>
      <c r="X136" s="295"/>
      <c r="Y136" s="295"/>
      <c r="Z136" s="295"/>
      <c r="AA136" s="295"/>
      <c r="AB136" s="295"/>
      <c r="AC136" s="295"/>
      <c r="AD136" s="295"/>
      <c r="AE136" s="295"/>
      <c r="AF136" s="295">
        <v>7000</v>
      </c>
      <c r="AG136" s="295">
        <v>2153</v>
      </c>
      <c r="AH136" s="295">
        <f t="shared" si="73"/>
        <v>23000</v>
      </c>
      <c r="AI136" s="295">
        <v>23000</v>
      </c>
      <c r="AJ136" s="295">
        <f t="shared" si="81"/>
        <v>0</v>
      </c>
      <c r="AK136" s="295"/>
      <c r="AL136" s="285">
        <f t="shared" si="75"/>
        <v>23000</v>
      </c>
      <c r="AM136" s="295">
        <f t="shared" si="76"/>
        <v>12000</v>
      </c>
      <c r="AN136" s="295">
        <f t="shared" si="76"/>
        <v>6825</v>
      </c>
      <c r="AO136" s="295">
        <f t="shared" si="77"/>
        <v>12000</v>
      </c>
      <c r="AP136" s="295">
        <f t="shared" si="78"/>
        <v>11000</v>
      </c>
      <c r="AQ136" s="285">
        <f t="shared" si="74"/>
        <v>11000</v>
      </c>
      <c r="AR136" s="295">
        <v>12000</v>
      </c>
      <c r="AS136" s="295">
        <v>6000</v>
      </c>
      <c r="AT136" s="318"/>
    </row>
    <row r="137" spans="1:47" s="265" customFormat="1" ht="47.25" customHeight="1">
      <c r="A137" s="298">
        <v>12</v>
      </c>
      <c r="B137" s="299" t="s">
        <v>938</v>
      </c>
      <c r="C137" s="300" t="s">
        <v>730</v>
      </c>
      <c r="D137" s="300" t="s">
        <v>730</v>
      </c>
      <c r="E137" s="300"/>
      <c r="F137" s="312" t="s">
        <v>671</v>
      </c>
      <c r="G137" s="307" t="s">
        <v>939</v>
      </c>
      <c r="H137" s="295">
        <v>14993</v>
      </c>
      <c r="I137" s="295"/>
      <c r="J137" s="295"/>
      <c r="K137" s="295"/>
      <c r="L137" s="295"/>
      <c r="M137" s="295"/>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5"/>
      <c r="AI137" s="295"/>
      <c r="AJ137" s="295"/>
      <c r="AK137" s="295"/>
      <c r="AL137" s="285"/>
      <c r="AM137" s="295"/>
      <c r="AN137" s="295"/>
      <c r="AO137" s="295"/>
      <c r="AP137" s="295"/>
      <c r="AQ137" s="285"/>
      <c r="AR137" s="295">
        <f>5300+8500</f>
        <v>13800</v>
      </c>
      <c r="AS137" s="295">
        <v>1000</v>
      </c>
      <c r="AT137" s="318"/>
      <c r="AU137" s="265">
        <v>1500</v>
      </c>
    </row>
    <row r="138" spans="1:47" s="265" customFormat="1" ht="21" customHeight="1">
      <c r="A138" s="298">
        <v>13</v>
      </c>
      <c r="B138" s="314" t="s">
        <v>940</v>
      </c>
      <c r="C138" s="300" t="s">
        <v>675</v>
      </c>
      <c r="D138" s="300" t="s">
        <v>675</v>
      </c>
      <c r="E138" s="300"/>
      <c r="F138" s="312" t="s">
        <v>941</v>
      </c>
      <c r="G138" s="300" t="s">
        <v>942</v>
      </c>
      <c r="H138" s="295">
        <v>29934</v>
      </c>
      <c r="I138" s="295"/>
      <c r="J138" s="295">
        <f t="shared" si="79"/>
        <v>0</v>
      </c>
      <c r="K138" s="295"/>
      <c r="L138" s="295">
        <v>27000</v>
      </c>
      <c r="M138" s="295">
        <v>27000</v>
      </c>
      <c r="N138" s="295">
        <f t="shared" si="72"/>
        <v>0</v>
      </c>
      <c r="O138" s="295">
        <f t="shared" si="72"/>
        <v>0</v>
      </c>
      <c r="P138" s="295"/>
      <c r="Q138" s="295"/>
      <c r="R138" s="295"/>
      <c r="S138" s="295"/>
      <c r="T138" s="295">
        <f t="shared" si="80"/>
        <v>7200</v>
      </c>
      <c r="U138" s="295">
        <f t="shared" si="51"/>
        <v>7200</v>
      </c>
      <c r="V138" s="295">
        <v>7200</v>
      </c>
      <c r="W138" s="295">
        <v>7200</v>
      </c>
      <c r="X138" s="295"/>
      <c r="Y138" s="295"/>
      <c r="Z138" s="295"/>
      <c r="AA138" s="295"/>
      <c r="AB138" s="295"/>
      <c r="AC138" s="295"/>
      <c r="AD138" s="295"/>
      <c r="AE138" s="295"/>
      <c r="AF138" s="295">
        <v>10000</v>
      </c>
      <c r="AG138" s="295">
        <v>2208</v>
      </c>
      <c r="AH138" s="295">
        <f t="shared" si="73"/>
        <v>27000</v>
      </c>
      <c r="AI138" s="295">
        <v>27000</v>
      </c>
      <c r="AJ138" s="295">
        <f t="shared" si="81"/>
        <v>0</v>
      </c>
      <c r="AK138" s="295"/>
      <c r="AL138" s="285">
        <f t="shared" si="75"/>
        <v>27000</v>
      </c>
      <c r="AM138" s="295">
        <f t="shared" si="76"/>
        <v>17200</v>
      </c>
      <c r="AN138" s="295">
        <f t="shared" si="76"/>
        <v>9408</v>
      </c>
      <c r="AO138" s="295">
        <f t="shared" si="77"/>
        <v>17200</v>
      </c>
      <c r="AP138" s="295">
        <f t="shared" si="78"/>
        <v>9800</v>
      </c>
      <c r="AQ138" s="285">
        <f t="shared" si="74"/>
        <v>9800</v>
      </c>
      <c r="AR138" s="295">
        <v>17200</v>
      </c>
      <c r="AS138" s="295">
        <v>7000</v>
      </c>
      <c r="AT138" s="318"/>
    </row>
    <row r="139" spans="1:47" s="265" customFormat="1" ht="20.25" customHeight="1">
      <c r="A139" s="298">
        <v>14</v>
      </c>
      <c r="B139" s="314" t="s">
        <v>943</v>
      </c>
      <c r="C139" s="300" t="s">
        <v>675</v>
      </c>
      <c r="D139" s="300" t="s">
        <v>675</v>
      </c>
      <c r="E139" s="300"/>
      <c r="F139" s="312" t="s">
        <v>941</v>
      </c>
      <c r="G139" s="300" t="s">
        <v>944</v>
      </c>
      <c r="H139" s="295">
        <v>47225</v>
      </c>
      <c r="I139" s="295"/>
      <c r="J139" s="295">
        <f t="shared" si="79"/>
        <v>0</v>
      </c>
      <c r="K139" s="295"/>
      <c r="L139" s="295">
        <v>42500</v>
      </c>
      <c r="M139" s="295">
        <v>42500</v>
      </c>
      <c r="N139" s="295">
        <f t="shared" si="72"/>
        <v>0</v>
      </c>
      <c r="O139" s="295">
        <f t="shared" si="72"/>
        <v>0</v>
      </c>
      <c r="P139" s="295"/>
      <c r="Q139" s="295"/>
      <c r="R139" s="295"/>
      <c r="S139" s="295"/>
      <c r="T139" s="295">
        <f t="shared" si="80"/>
        <v>13000</v>
      </c>
      <c r="U139" s="295">
        <f t="shared" si="51"/>
        <v>12937</v>
      </c>
      <c r="V139" s="295">
        <v>13000</v>
      </c>
      <c r="W139" s="295">
        <v>12937</v>
      </c>
      <c r="X139" s="295"/>
      <c r="Y139" s="295"/>
      <c r="Z139" s="295"/>
      <c r="AA139" s="295"/>
      <c r="AB139" s="295"/>
      <c r="AC139" s="295"/>
      <c r="AD139" s="295"/>
      <c r="AE139" s="295"/>
      <c r="AF139" s="295">
        <v>12000</v>
      </c>
      <c r="AG139" s="295">
        <v>1808</v>
      </c>
      <c r="AH139" s="295">
        <f t="shared" si="73"/>
        <v>45000</v>
      </c>
      <c r="AI139" s="295">
        <v>45000</v>
      </c>
      <c r="AJ139" s="295">
        <f t="shared" si="81"/>
        <v>0</v>
      </c>
      <c r="AK139" s="295"/>
      <c r="AL139" s="285">
        <f t="shared" si="75"/>
        <v>45000</v>
      </c>
      <c r="AM139" s="295">
        <f t="shared" si="76"/>
        <v>25000</v>
      </c>
      <c r="AN139" s="295">
        <f t="shared" si="76"/>
        <v>14745</v>
      </c>
      <c r="AO139" s="295">
        <f t="shared" si="77"/>
        <v>25000</v>
      </c>
      <c r="AP139" s="295">
        <f t="shared" si="78"/>
        <v>20000</v>
      </c>
      <c r="AQ139" s="285">
        <f t="shared" si="74"/>
        <v>20000</v>
      </c>
      <c r="AR139" s="295">
        <v>25000</v>
      </c>
      <c r="AS139" s="295">
        <v>11000</v>
      </c>
      <c r="AT139" s="318"/>
    </row>
    <row r="140" spans="1:47" s="265" customFormat="1" ht="21" customHeight="1">
      <c r="A140" s="298">
        <v>15</v>
      </c>
      <c r="B140" s="314" t="s">
        <v>945</v>
      </c>
      <c r="C140" s="300" t="s">
        <v>946</v>
      </c>
      <c r="D140" s="300" t="s">
        <v>946</v>
      </c>
      <c r="E140" s="300"/>
      <c r="F140" s="312" t="s">
        <v>941</v>
      </c>
      <c r="G140" s="300" t="s">
        <v>947</v>
      </c>
      <c r="H140" s="295">
        <v>49871</v>
      </c>
      <c r="I140" s="295"/>
      <c r="J140" s="295">
        <f t="shared" si="79"/>
        <v>0</v>
      </c>
      <c r="K140" s="295"/>
      <c r="L140" s="295">
        <v>44000</v>
      </c>
      <c r="M140" s="295">
        <v>44000</v>
      </c>
      <c r="N140" s="295">
        <f t="shared" si="72"/>
        <v>0</v>
      </c>
      <c r="O140" s="295">
        <f t="shared" si="72"/>
        <v>0</v>
      </c>
      <c r="P140" s="295"/>
      <c r="Q140" s="295"/>
      <c r="R140" s="295"/>
      <c r="S140" s="295"/>
      <c r="T140" s="295">
        <f t="shared" si="80"/>
        <v>12000</v>
      </c>
      <c r="U140" s="295">
        <f t="shared" si="51"/>
        <v>12000</v>
      </c>
      <c r="V140" s="295">
        <v>12000</v>
      </c>
      <c r="W140" s="295">
        <v>12000</v>
      </c>
      <c r="X140" s="295"/>
      <c r="Y140" s="295"/>
      <c r="Z140" s="295"/>
      <c r="AA140" s="295"/>
      <c r="AB140" s="295"/>
      <c r="AC140" s="295"/>
      <c r="AD140" s="295"/>
      <c r="AE140" s="295"/>
      <c r="AF140" s="295">
        <v>12000</v>
      </c>
      <c r="AG140" s="295">
        <v>660</v>
      </c>
      <c r="AH140" s="295">
        <f t="shared" si="73"/>
        <v>45000</v>
      </c>
      <c r="AI140" s="295">
        <v>45000</v>
      </c>
      <c r="AJ140" s="295">
        <f t="shared" si="81"/>
        <v>0</v>
      </c>
      <c r="AK140" s="295"/>
      <c r="AL140" s="285">
        <f t="shared" si="75"/>
        <v>45000</v>
      </c>
      <c r="AM140" s="295">
        <f t="shared" si="76"/>
        <v>24000</v>
      </c>
      <c r="AN140" s="295">
        <f t="shared" si="76"/>
        <v>12660</v>
      </c>
      <c r="AO140" s="295">
        <f t="shared" si="77"/>
        <v>24000</v>
      </c>
      <c r="AP140" s="295">
        <f t="shared" si="78"/>
        <v>21000</v>
      </c>
      <c r="AQ140" s="285">
        <f t="shared" si="74"/>
        <v>21000</v>
      </c>
      <c r="AR140" s="295">
        <v>24000</v>
      </c>
      <c r="AS140" s="295">
        <v>11000</v>
      </c>
      <c r="AT140" s="318"/>
    </row>
    <row r="141" spans="1:47" s="265" customFormat="1" ht="34.5" customHeight="1">
      <c r="A141" s="298">
        <v>16</v>
      </c>
      <c r="B141" s="314" t="s">
        <v>948</v>
      </c>
      <c r="C141" s="300" t="s">
        <v>797</v>
      </c>
      <c r="D141" s="300" t="s">
        <v>659</v>
      </c>
      <c r="E141" s="300" t="s">
        <v>949</v>
      </c>
      <c r="F141" s="312" t="s">
        <v>684</v>
      </c>
      <c r="G141" s="300" t="s">
        <v>950</v>
      </c>
      <c r="H141" s="342">
        <v>48898</v>
      </c>
      <c r="I141" s="342"/>
      <c r="J141" s="295">
        <f t="shared" si="79"/>
        <v>0</v>
      </c>
      <c r="K141" s="295"/>
      <c r="L141" s="295">
        <v>36000</v>
      </c>
      <c r="M141" s="295">
        <v>36000</v>
      </c>
      <c r="N141" s="295">
        <f t="shared" si="72"/>
        <v>0</v>
      </c>
      <c r="O141" s="295">
        <f t="shared" si="72"/>
        <v>0</v>
      </c>
      <c r="P141" s="295"/>
      <c r="Q141" s="295"/>
      <c r="R141" s="295"/>
      <c r="S141" s="295"/>
      <c r="T141" s="295">
        <f t="shared" si="80"/>
        <v>0</v>
      </c>
      <c r="U141" s="295">
        <f t="shared" si="51"/>
        <v>0</v>
      </c>
      <c r="V141" s="295"/>
      <c r="W141" s="295"/>
      <c r="X141" s="295"/>
      <c r="Y141" s="295"/>
      <c r="Z141" s="295"/>
      <c r="AA141" s="295"/>
      <c r="AB141" s="295"/>
      <c r="AC141" s="295"/>
      <c r="AD141" s="295"/>
      <c r="AE141" s="295"/>
      <c r="AF141" s="295">
        <v>10000</v>
      </c>
      <c r="AG141" s="295">
        <v>852</v>
      </c>
      <c r="AH141" s="295">
        <f t="shared" si="73"/>
        <v>36000</v>
      </c>
      <c r="AI141" s="295">
        <v>36000</v>
      </c>
      <c r="AJ141" s="295">
        <f t="shared" si="81"/>
        <v>0</v>
      </c>
      <c r="AK141" s="295"/>
      <c r="AL141" s="285">
        <f t="shared" si="75"/>
        <v>36000</v>
      </c>
      <c r="AM141" s="295">
        <f t="shared" si="76"/>
        <v>10000</v>
      </c>
      <c r="AN141" s="295">
        <f t="shared" si="76"/>
        <v>852</v>
      </c>
      <c r="AO141" s="295">
        <f t="shared" si="77"/>
        <v>10000</v>
      </c>
      <c r="AP141" s="295">
        <f t="shared" si="78"/>
        <v>26000</v>
      </c>
      <c r="AQ141" s="285">
        <f t="shared" si="74"/>
        <v>26000</v>
      </c>
      <c r="AR141" s="295">
        <v>10000</v>
      </c>
      <c r="AS141" s="295">
        <v>11000</v>
      </c>
      <c r="AT141" s="318"/>
    </row>
    <row r="142" spans="1:47" s="265" customFormat="1" ht="33.75" customHeight="1">
      <c r="A142" s="298">
        <v>17</v>
      </c>
      <c r="B142" s="314" t="s">
        <v>951</v>
      </c>
      <c r="C142" s="300" t="s">
        <v>675</v>
      </c>
      <c r="D142" s="300" t="s">
        <v>675</v>
      </c>
      <c r="E142" s="300"/>
      <c r="F142" s="312" t="s">
        <v>727</v>
      </c>
      <c r="G142" s="300" t="s">
        <v>952</v>
      </c>
      <c r="H142" s="295">
        <v>26893.635079</v>
      </c>
      <c r="I142" s="295"/>
      <c r="J142" s="295">
        <f t="shared" si="79"/>
        <v>0</v>
      </c>
      <c r="K142" s="295"/>
      <c r="L142" s="295">
        <v>20000</v>
      </c>
      <c r="M142" s="295">
        <v>20000</v>
      </c>
      <c r="N142" s="295">
        <f t="shared" ref="N142:O143" si="82">P142+R142</f>
        <v>0</v>
      </c>
      <c r="O142" s="295">
        <f t="shared" si="82"/>
        <v>0</v>
      </c>
      <c r="P142" s="295"/>
      <c r="Q142" s="295"/>
      <c r="R142" s="295"/>
      <c r="S142" s="295"/>
      <c r="T142" s="295">
        <f t="shared" si="80"/>
        <v>0</v>
      </c>
      <c r="U142" s="295">
        <f t="shared" si="51"/>
        <v>0</v>
      </c>
      <c r="V142" s="295"/>
      <c r="W142" s="295"/>
      <c r="X142" s="295"/>
      <c r="Y142" s="295"/>
      <c r="Z142" s="295"/>
      <c r="AA142" s="295"/>
      <c r="AB142" s="295"/>
      <c r="AC142" s="295"/>
      <c r="AD142" s="295"/>
      <c r="AE142" s="295"/>
      <c r="AF142" s="295">
        <v>12500</v>
      </c>
      <c r="AG142" s="295"/>
      <c r="AH142" s="295">
        <f t="shared" si="73"/>
        <v>20000</v>
      </c>
      <c r="AI142" s="295">
        <v>20000</v>
      </c>
      <c r="AJ142" s="295">
        <f t="shared" si="81"/>
        <v>0</v>
      </c>
      <c r="AK142" s="295"/>
      <c r="AL142" s="285">
        <f t="shared" si="75"/>
        <v>20000</v>
      </c>
      <c r="AM142" s="295">
        <f t="shared" si="76"/>
        <v>12500</v>
      </c>
      <c r="AN142" s="295">
        <f t="shared" si="76"/>
        <v>0</v>
      </c>
      <c r="AO142" s="295">
        <f t="shared" si="77"/>
        <v>12500</v>
      </c>
      <c r="AP142" s="295">
        <f t="shared" si="78"/>
        <v>7500</v>
      </c>
      <c r="AQ142" s="285">
        <f t="shared" si="74"/>
        <v>7500</v>
      </c>
      <c r="AR142" s="295">
        <v>12500</v>
      </c>
      <c r="AS142" s="295">
        <v>7000</v>
      </c>
      <c r="AT142" s="318"/>
    </row>
    <row r="143" spans="1:47" s="265" customFormat="1" ht="39.75" customHeight="1">
      <c r="A143" s="298">
        <v>18</v>
      </c>
      <c r="B143" s="314" t="s">
        <v>953</v>
      </c>
      <c r="C143" s="300" t="s">
        <v>700</v>
      </c>
      <c r="D143" s="300" t="s">
        <v>700</v>
      </c>
      <c r="E143" s="300"/>
      <c r="F143" s="312" t="s">
        <v>727</v>
      </c>
      <c r="G143" s="300" t="s">
        <v>954</v>
      </c>
      <c r="H143" s="343">
        <v>28286</v>
      </c>
      <c r="I143" s="343"/>
      <c r="J143" s="295">
        <f t="shared" si="79"/>
        <v>0</v>
      </c>
      <c r="K143" s="295"/>
      <c r="L143" s="295">
        <v>30000</v>
      </c>
      <c r="M143" s="295">
        <v>30000</v>
      </c>
      <c r="N143" s="295">
        <f t="shared" si="82"/>
        <v>0</v>
      </c>
      <c r="O143" s="295">
        <f t="shared" si="82"/>
        <v>0</v>
      </c>
      <c r="P143" s="295"/>
      <c r="Q143" s="295"/>
      <c r="R143" s="295"/>
      <c r="S143" s="295"/>
      <c r="T143" s="295">
        <f t="shared" si="80"/>
        <v>0</v>
      </c>
      <c r="U143" s="295">
        <f t="shared" si="51"/>
        <v>0</v>
      </c>
      <c r="V143" s="295"/>
      <c r="W143" s="295"/>
      <c r="X143" s="295"/>
      <c r="Y143" s="295"/>
      <c r="Z143" s="295"/>
      <c r="AA143" s="295"/>
      <c r="AB143" s="295"/>
      <c r="AC143" s="295"/>
      <c r="AD143" s="295"/>
      <c r="AE143" s="295"/>
      <c r="AF143" s="295">
        <v>12500</v>
      </c>
      <c r="AG143" s="295">
        <v>317</v>
      </c>
      <c r="AH143" s="295">
        <f t="shared" si="73"/>
        <v>30000</v>
      </c>
      <c r="AI143" s="295">
        <v>30000</v>
      </c>
      <c r="AJ143" s="295">
        <f t="shared" si="81"/>
        <v>0</v>
      </c>
      <c r="AK143" s="295"/>
      <c r="AL143" s="285">
        <f t="shared" si="75"/>
        <v>30000</v>
      </c>
      <c r="AM143" s="295">
        <f t="shared" si="76"/>
        <v>12500</v>
      </c>
      <c r="AN143" s="295">
        <f t="shared" si="76"/>
        <v>317</v>
      </c>
      <c r="AO143" s="295">
        <f t="shared" si="77"/>
        <v>12500</v>
      </c>
      <c r="AP143" s="295">
        <f t="shared" si="78"/>
        <v>17500</v>
      </c>
      <c r="AQ143" s="285">
        <f t="shared" si="74"/>
        <v>17500</v>
      </c>
      <c r="AR143" s="295">
        <v>12500</v>
      </c>
      <c r="AS143" s="295">
        <v>8000</v>
      </c>
      <c r="AT143" s="318"/>
    </row>
    <row r="144" spans="1:47" s="265" customFormat="1" ht="36.75" customHeight="1">
      <c r="A144" s="298">
        <v>19</v>
      </c>
      <c r="B144" s="344" t="s">
        <v>955</v>
      </c>
      <c r="C144" s="301" t="s">
        <v>744</v>
      </c>
      <c r="D144" s="301" t="s">
        <v>744</v>
      </c>
      <c r="E144" s="300"/>
      <c r="F144" s="312" t="s">
        <v>727</v>
      </c>
      <c r="G144" s="300" t="s">
        <v>956</v>
      </c>
      <c r="H144" s="342">
        <v>40446</v>
      </c>
      <c r="I144" s="342"/>
      <c r="J144" s="295">
        <f t="shared" si="79"/>
        <v>0</v>
      </c>
      <c r="K144" s="295"/>
      <c r="L144" s="295"/>
      <c r="M144" s="295"/>
      <c r="N144" s="295"/>
      <c r="O144" s="295"/>
      <c r="P144" s="295"/>
      <c r="Q144" s="295"/>
      <c r="R144" s="295"/>
      <c r="S144" s="295"/>
      <c r="T144" s="295">
        <f t="shared" si="80"/>
        <v>0</v>
      </c>
      <c r="U144" s="295">
        <f t="shared" si="80"/>
        <v>0</v>
      </c>
      <c r="V144" s="295"/>
      <c r="W144" s="295"/>
      <c r="X144" s="295"/>
      <c r="Y144" s="295"/>
      <c r="Z144" s="295"/>
      <c r="AA144" s="295"/>
      <c r="AB144" s="295"/>
      <c r="AC144" s="295"/>
      <c r="AD144" s="295"/>
      <c r="AE144" s="295"/>
      <c r="AF144" s="295">
        <v>16500</v>
      </c>
      <c r="AG144" s="295">
        <v>6043</v>
      </c>
      <c r="AH144" s="295">
        <f t="shared" si="73"/>
        <v>36500</v>
      </c>
      <c r="AI144" s="295">
        <v>36500</v>
      </c>
      <c r="AJ144" s="295">
        <f>R144+X144+Z144+AB144+AD144</f>
        <v>0</v>
      </c>
      <c r="AK144" s="295"/>
      <c r="AL144" s="285">
        <f t="shared" si="75"/>
        <v>36500</v>
      </c>
      <c r="AM144" s="295">
        <f t="shared" ref="AM144:AN161" si="83">N144+T144+AF144</f>
        <v>16500</v>
      </c>
      <c r="AN144" s="295">
        <f t="shared" si="83"/>
        <v>6043</v>
      </c>
      <c r="AO144" s="295">
        <f t="shared" si="77"/>
        <v>16500</v>
      </c>
      <c r="AP144" s="295">
        <f t="shared" si="78"/>
        <v>20000</v>
      </c>
      <c r="AQ144" s="285">
        <f t="shared" si="74"/>
        <v>20000</v>
      </c>
      <c r="AR144" s="295">
        <v>16500</v>
      </c>
      <c r="AS144" s="295">
        <v>11000</v>
      </c>
      <c r="AT144" s="313"/>
    </row>
    <row r="145" spans="1:47" s="265" customFormat="1" ht="35.25" customHeight="1">
      <c r="A145" s="298">
        <v>20</v>
      </c>
      <c r="B145" s="299" t="s">
        <v>957</v>
      </c>
      <c r="C145" s="301" t="s">
        <v>698</v>
      </c>
      <c r="D145" s="301" t="s">
        <v>698</v>
      </c>
      <c r="E145" s="300"/>
      <c r="F145" s="312" t="s">
        <v>727</v>
      </c>
      <c r="G145" s="300" t="s">
        <v>958</v>
      </c>
      <c r="H145" s="342">
        <v>38166</v>
      </c>
      <c r="I145" s="342"/>
      <c r="J145" s="295">
        <f t="shared" si="79"/>
        <v>0</v>
      </c>
      <c r="K145" s="295"/>
      <c r="L145" s="295"/>
      <c r="M145" s="295"/>
      <c r="N145" s="295"/>
      <c r="O145" s="295"/>
      <c r="P145" s="295"/>
      <c r="Q145" s="295"/>
      <c r="R145" s="295"/>
      <c r="S145" s="295"/>
      <c r="T145" s="295">
        <f t="shared" ref="T145:U160" si="84">V145+X145+Z145+AB145+AD145</f>
        <v>0</v>
      </c>
      <c r="U145" s="295">
        <f t="shared" si="84"/>
        <v>0</v>
      </c>
      <c r="V145" s="295"/>
      <c r="W145" s="295"/>
      <c r="X145" s="295"/>
      <c r="Y145" s="295"/>
      <c r="Z145" s="295"/>
      <c r="AA145" s="295"/>
      <c r="AB145" s="295"/>
      <c r="AC145" s="295"/>
      <c r="AD145" s="295"/>
      <c r="AE145" s="295"/>
      <c r="AF145" s="295">
        <v>14500</v>
      </c>
      <c r="AG145" s="295">
        <v>393</v>
      </c>
      <c r="AH145" s="295">
        <f t="shared" si="73"/>
        <v>34500</v>
      </c>
      <c r="AI145" s="295">
        <v>34500</v>
      </c>
      <c r="AJ145" s="295">
        <f>R145+X145+Z145+AB145+AD145</f>
        <v>0</v>
      </c>
      <c r="AK145" s="295"/>
      <c r="AL145" s="285">
        <f t="shared" si="75"/>
        <v>34500</v>
      </c>
      <c r="AM145" s="295">
        <f t="shared" si="83"/>
        <v>14500</v>
      </c>
      <c r="AN145" s="295">
        <f t="shared" si="83"/>
        <v>393</v>
      </c>
      <c r="AO145" s="295">
        <f t="shared" si="77"/>
        <v>14500</v>
      </c>
      <c r="AP145" s="295">
        <f t="shared" si="78"/>
        <v>20000</v>
      </c>
      <c r="AQ145" s="285">
        <f t="shared" si="74"/>
        <v>20000</v>
      </c>
      <c r="AR145" s="295">
        <v>14500</v>
      </c>
      <c r="AS145" s="295">
        <v>11000</v>
      </c>
      <c r="AT145" s="310"/>
    </row>
    <row r="146" spans="1:47" s="265" customFormat="1" ht="39" customHeight="1">
      <c r="A146" s="298">
        <v>21</v>
      </c>
      <c r="B146" s="317" t="s">
        <v>959</v>
      </c>
      <c r="C146" s="301" t="s">
        <v>960</v>
      </c>
      <c r="D146" s="300" t="s">
        <v>675</v>
      </c>
      <c r="E146" s="300"/>
      <c r="F146" s="312" t="s">
        <v>676</v>
      </c>
      <c r="G146" s="300" t="s">
        <v>961</v>
      </c>
      <c r="H146" s="343">
        <v>8845</v>
      </c>
      <c r="I146" s="343"/>
      <c r="J146" s="295">
        <f t="shared" si="79"/>
        <v>0</v>
      </c>
      <c r="K146" s="295"/>
      <c r="L146" s="295"/>
      <c r="M146" s="295"/>
      <c r="N146" s="295"/>
      <c r="O146" s="295"/>
      <c r="P146" s="295"/>
      <c r="Q146" s="295"/>
      <c r="R146" s="295"/>
      <c r="S146" s="295"/>
      <c r="T146" s="295">
        <f t="shared" si="84"/>
        <v>0</v>
      </c>
      <c r="U146" s="295">
        <f t="shared" si="84"/>
        <v>0</v>
      </c>
      <c r="V146" s="295"/>
      <c r="W146" s="295"/>
      <c r="X146" s="295"/>
      <c r="Y146" s="295"/>
      <c r="Z146" s="295"/>
      <c r="AA146" s="295"/>
      <c r="AB146" s="295"/>
      <c r="AC146" s="295"/>
      <c r="AD146" s="295"/>
      <c r="AE146" s="295"/>
      <c r="AF146" s="295">
        <v>5000</v>
      </c>
      <c r="AG146" s="295"/>
      <c r="AH146" s="295">
        <f t="shared" si="73"/>
        <v>8000</v>
      </c>
      <c r="AI146" s="295">
        <v>8000</v>
      </c>
      <c r="AJ146" s="295">
        <f>R146+X146+Z146+AB146+AD146</f>
        <v>0</v>
      </c>
      <c r="AK146" s="295"/>
      <c r="AL146" s="285">
        <f t="shared" si="75"/>
        <v>8000</v>
      </c>
      <c r="AM146" s="295">
        <f t="shared" si="83"/>
        <v>5000</v>
      </c>
      <c r="AN146" s="295">
        <f t="shared" si="83"/>
        <v>0</v>
      </c>
      <c r="AO146" s="295">
        <f t="shared" si="77"/>
        <v>5000</v>
      </c>
      <c r="AP146" s="295">
        <f t="shared" si="78"/>
        <v>3000</v>
      </c>
      <c r="AQ146" s="285">
        <f t="shared" si="74"/>
        <v>3000</v>
      </c>
      <c r="AR146" s="295">
        <v>5000</v>
      </c>
      <c r="AS146" s="295">
        <v>2000</v>
      </c>
      <c r="AT146" s="310"/>
    </row>
    <row r="147" spans="1:47" s="265" customFormat="1" ht="22.5" customHeight="1">
      <c r="A147" s="298">
        <v>22</v>
      </c>
      <c r="B147" s="314" t="s">
        <v>962</v>
      </c>
      <c r="C147" s="301" t="s">
        <v>679</v>
      </c>
      <c r="D147" s="301" t="s">
        <v>679</v>
      </c>
      <c r="E147" s="300"/>
      <c r="F147" s="312" t="s">
        <v>676</v>
      </c>
      <c r="G147" s="300" t="s">
        <v>963</v>
      </c>
      <c r="H147" s="345">
        <v>10976</v>
      </c>
      <c r="I147" s="345"/>
      <c r="J147" s="295">
        <f t="shared" si="79"/>
        <v>0</v>
      </c>
      <c r="K147" s="295"/>
      <c r="L147" s="295"/>
      <c r="M147" s="295"/>
      <c r="N147" s="295"/>
      <c r="O147" s="295"/>
      <c r="P147" s="295"/>
      <c r="Q147" s="295"/>
      <c r="R147" s="295"/>
      <c r="S147" s="295"/>
      <c r="T147" s="295">
        <f t="shared" si="84"/>
        <v>0</v>
      </c>
      <c r="U147" s="295">
        <f t="shared" si="84"/>
        <v>0</v>
      </c>
      <c r="V147" s="295"/>
      <c r="W147" s="295"/>
      <c r="X147" s="295"/>
      <c r="Y147" s="295"/>
      <c r="Z147" s="295"/>
      <c r="AA147" s="295"/>
      <c r="AB147" s="295"/>
      <c r="AC147" s="295"/>
      <c r="AD147" s="295"/>
      <c r="AE147" s="295"/>
      <c r="AF147" s="295">
        <v>5500</v>
      </c>
      <c r="AG147" s="295">
        <v>3680</v>
      </c>
      <c r="AH147" s="295">
        <f t="shared" si="73"/>
        <v>11000</v>
      </c>
      <c r="AI147" s="295">
        <v>11000</v>
      </c>
      <c r="AJ147" s="295">
        <f>R147+X147+Z147+AB147+AD147</f>
        <v>0</v>
      </c>
      <c r="AK147" s="295"/>
      <c r="AL147" s="285">
        <f t="shared" si="75"/>
        <v>11000</v>
      </c>
      <c r="AM147" s="295">
        <f t="shared" si="83"/>
        <v>5500</v>
      </c>
      <c r="AN147" s="295">
        <f t="shared" si="83"/>
        <v>3680</v>
      </c>
      <c r="AO147" s="295">
        <f t="shared" si="77"/>
        <v>5500</v>
      </c>
      <c r="AP147" s="295">
        <f t="shared" si="78"/>
        <v>5500</v>
      </c>
      <c r="AQ147" s="285">
        <f t="shared" si="74"/>
        <v>5500</v>
      </c>
      <c r="AR147" s="295">
        <v>5500</v>
      </c>
      <c r="AS147" s="295">
        <v>4000</v>
      </c>
      <c r="AT147" s="310"/>
    </row>
    <row r="148" spans="1:47" s="265" customFormat="1" ht="21.75" customHeight="1">
      <c r="A148" s="298">
        <v>23</v>
      </c>
      <c r="B148" s="314" t="s">
        <v>964</v>
      </c>
      <c r="C148" s="301" t="s">
        <v>679</v>
      </c>
      <c r="D148" s="301" t="s">
        <v>679</v>
      </c>
      <c r="E148" s="300"/>
      <c r="F148" s="312" t="s">
        <v>676</v>
      </c>
      <c r="G148" s="300" t="s">
        <v>965</v>
      </c>
      <c r="H148" s="345">
        <v>9593</v>
      </c>
      <c r="I148" s="345"/>
      <c r="J148" s="295">
        <f t="shared" si="79"/>
        <v>0</v>
      </c>
      <c r="K148" s="295"/>
      <c r="L148" s="295"/>
      <c r="M148" s="295"/>
      <c r="N148" s="295"/>
      <c r="O148" s="295"/>
      <c r="P148" s="295"/>
      <c r="Q148" s="295"/>
      <c r="R148" s="295"/>
      <c r="S148" s="295"/>
      <c r="T148" s="295">
        <f t="shared" si="84"/>
        <v>0</v>
      </c>
      <c r="U148" s="295">
        <f t="shared" si="84"/>
        <v>0</v>
      </c>
      <c r="V148" s="295"/>
      <c r="W148" s="295"/>
      <c r="X148" s="295"/>
      <c r="Y148" s="295"/>
      <c r="Z148" s="295"/>
      <c r="AA148" s="295"/>
      <c r="AB148" s="295"/>
      <c r="AC148" s="295"/>
      <c r="AD148" s="295"/>
      <c r="AE148" s="295"/>
      <c r="AF148" s="295">
        <v>4000</v>
      </c>
      <c r="AG148" s="295">
        <v>313</v>
      </c>
      <c r="AH148" s="295">
        <f t="shared" si="73"/>
        <v>7000</v>
      </c>
      <c r="AI148" s="295">
        <v>7000</v>
      </c>
      <c r="AJ148" s="295">
        <f>R148+X148+Z148+AB148+AD148</f>
        <v>0</v>
      </c>
      <c r="AK148" s="295"/>
      <c r="AL148" s="285">
        <f t="shared" si="75"/>
        <v>7000</v>
      </c>
      <c r="AM148" s="295">
        <f t="shared" si="83"/>
        <v>4000</v>
      </c>
      <c r="AN148" s="295">
        <f t="shared" si="83"/>
        <v>313</v>
      </c>
      <c r="AO148" s="295">
        <f t="shared" si="77"/>
        <v>4000</v>
      </c>
      <c r="AP148" s="295">
        <f t="shared" si="78"/>
        <v>3000</v>
      </c>
      <c r="AQ148" s="285">
        <f t="shared" si="74"/>
        <v>3000</v>
      </c>
      <c r="AR148" s="295">
        <v>4000</v>
      </c>
      <c r="AS148" s="295">
        <v>2500</v>
      </c>
      <c r="AT148" s="310"/>
    </row>
    <row r="149" spans="1:47" s="265" customFormat="1" ht="39" customHeight="1">
      <c r="A149" s="298">
        <v>24</v>
      </c>
      <c r="B149" s="314" t="s">
        <v>966</v>
      </c>
      <c r="C149" s="301" t="s">
        <v>679</v>
      </c>
      <c r="D149" s="301" t="s">
        <v>679</v>
      </c>
      <c r="E149" s="298" t="s">
        <v>727</v>
      </c>
      <c r="F149" s="312" t="s">
        <v>727</v>
      </c>
      <c r="G149" s="300" t="s">
        <v>967</v>
      </c>
      <c r="H149" s="345">
        <v>44889</v>
      </c>
      <c r="I149" s="345"/>
      <c r="J149" s="295"/>
      <c r="K149" s="295"/>
      <c r="L149" s="295"/>
      <c r="M149" s="295"/>
      <c r="N149" s="295"/>
      <c r="O149" s="295"/>
      <c r="P149" s="295"/>
      <c r="Q149" s="295"/>
      <c r="R149" s="295"/>
      <c r="S149" s="295"/>
      <c r="T149" s="295"/>
      <c r="U149" s="295">
        <f t="shared" si="84"/>
        <v>0</v>
      </c>
      <c r="V149" s="295"/>
      <c r="W149" s="295"/>
      <c r="X149" s="295"/>
      <c r="Y149" s="295"/>
      <c r="Z149" s="295"/>
      <c r="AA149" s="295"/>
      <c r="AB149" s="295"/>
      <c r="AC149" s="295"/>
      <c r="AD149" s="295"/>
      <c r="AE149" s="295"/>
      <c r="AF149" s="295">
        <v>12500</v>
      </c>
      <c r="AG149" s="295">
        <v>799</v>
      </c>
      <c r="AH149" s="295">
        <f t="shared" si="73"/>
        <v>40400</v>
      </c>
      <c r="AI149" s="295">
        <v>40400</v>
      </c>
      <c r="AJ149" s="295"/>
      <c r="AK149" s="295"/>
      <c r="AL149" s="285">
        <f t="shared" si="75"/>
        <v>40400</v>
      </c>
      <c r="AM149" s="295">
        <f t="shared" si="83"/>
        <v>12500</v>
      </c>
      <c r="AN149" s="295">
        <f t="shared" si="83"/>
        <v>799</v>
      </c>
      <c r="AO149" s="295">
        <f t="shared" si="77"/>
        <v>12500</v>
      </c>
      <c r="AP149" s="295">
        <f t="shared" si="78"/>
        <v>27900</v>
      </c>
      <c r="AQ149" s="285">
        <f t="shared" si="74"/>
        <v>27900</v>
      </c>
      <c r="AR149" s="295">
        <v>12500</v>
      </c>
      <c r="AS149" s="295">
        <v>12500</v>
      </c>
      <c r="AT149" s="310"/>
    </row>
    <row r="150" spans="1:47" s="265" customFormat="1" ht="40.5" customHeight="1">
      <c r="A150" s="298">
        <v>25</v>
      </c>
      <c r="B150" s="299" t="s">
        <v>968</v>
      </c>
      <c r="C150" s="301" t="s">
        <v>700</v>
      </c>
      <c r="D150" s="301" t="s">
        <v>700</v>
      </c>
      <c r="E150" s="300"/>
      <c r="F150" s="312" t="s">
        <v>727</v>
      </c>
      <c r="G150" s="300" t="s">
        <v>969</v>
      </c>
      <c r="H150" s="345">
        <v>11508</v>
      </c>
      <c r="I150" s="345"/>
      <c r="J150" s="295">
        <f t="shared" si="79"/>
        <v>0</v>
      </c>
      <c r="K150" s="295"/>
      <c r="L150" s="295"/>
      <c r="M150" s="295"/>
      <c r="N150" s="295"/>
      <c r="O150" s="295"/>
      <c r="P150" s="295"/>
      <c r="Q150" s="295"/>
      <c r="R150" s="295"/>
      <c r="S150" s="295"/>
      <c r="T150" s="295">
        <f t="shared" ref="T150:U161" si="85">V150+X150+Z150+AB150+AD150</f>
        <v>0</v>
      </c>
      <c r="U150" s="295">
        <f t="shared" si="84"/>
        <v>0</v>
      </c>
      <c r="V150" s="295"/>
      <c r="W150" s="295"/>
      <c r="X150" s="295"/>
      <c r="Y150" s="295"/>
      <c r="Z150" s="295"/>
      <c r="AA150" s="295"/>
      <c r="AB150" s="295"/>
      <c r="AC150" s="295"/>
      <c r="AD150" s="295"/>
      <c r="AE150" s="295"/>
      <c r="AF150" s="295">
        <v>4000</v>
      </c>
      <c r="AG150" s="295">
        <v>2289</v>
      </c>
      <c r="AH150" s="295">
        <f t="shared" si="73"/>
        <v>8500</v>
      </c>
      <c r="AI150" s="295">
        <v>8500</v>
      </c>
      <c r="AJ150" s="295">
        <f t="shared" ref="AJ150:AJ161" si="86">R150+X150+Z150+AB150+AD150</f>
        <v>0</v>
      </c>
      <c r="AK150" s="295"/>
      <c r="AL150" s="285">
        <f t="shared" si="75"/>
        <v>8500</v>
      </c>
      <c r="AM150" s="295">
        <f t="shared" si="83"/>
        <v>4000</v>
      </c>
      <c r="AN150" s="295">
        <f t="shared" si="83"/>
        <v>2289</v>
      </c>
      <c r="AO150" s="295">
        <f t="shared" si="77"/>
        <v>4000</v>
      </c>
      <c r="AP150" s="295">
        <f t="shared" si="78"/>
        <v>4500</v>
      </c>
      <c r="AQ150" s="285">
        <f t="shared" si="74"/>
        <v>4500</v>
      </c>
      <c r="AR150" s="295">
        <v>4000</v>
      </c>
      <c r="AS150" s="295">
        <v>3000</v>
      </c>
      <c r="AT150" s="310"/>
    </row>
    <row r="151" spans="1:47" s="265" customFormat="1" ht="26.25" customHeight="1">
      <c r="A151" s="298">
        <v>26</v>
      </c>
      <c r="B151" s="299" t="s">
        <v>970</v>
      </c>
      <c r="C151" s="301" t="s">
        <v>700</v>
      </c>
      <c r="D151" s="301" t="s">
        <v>700</v>
      </c>
      <c r="E151" s="300"/>
      <c r="F151" s="312" t="s">
        <v>676</v>
      </c>
      <c r="G151" s="300" t="s">
        <v>971</v>
      </c>
      <c r="H151" s="345">
        <v>8826</v>
      </c>
      <c r="I151" s="345"/>
      <c r="J151" s="295">
        <f t="shared" si="79"/>
        <v>0</v>
      </c>
      <c r="K151" s="295"/>
      <c r="L151" s="295"/>
      <c r="M151" s="295"/>
      <c r="N151" s="295"/>
      <c r="O151" s="295"/>
      <c r="P151" s="295"/>
      <c r="Q151" s="295"/>
      <c r="R151" s="295"/>
      <c r="S151" s="295"/>
      <c r="T151" s="295">
        <f t="shared" si="85"/>
        <v>0</v>
      </c>
      <c r="U151" s="295">
        <f t="shared" si="84"/>
        <v>0</v>
      </c>
      <c r="V151" s="295"/>
      <c r="W151" s="295"/>
      <c r="X151" s="295"/>
      <c r="Y151" s="295"/>
      <c r="Z151" s="295"/>
      <c r="AA151" s="295"/>
      <c r="AB151" s="295"/>
      <c r="AC151" s="295"/>
      <c r="AD151" s="295"/>
      <c r="AE151" s="295"/>
      <c r="AF151" s="295">
        <v>4000</v>
      </c>
      <c r="AG151" s="295">
        <v>2017</v>
      </c>
      <c r="AH151" s="295">
        <f t="shared" si="73"/>
        <v>8500</v>
      </c>
      <c r="AI151" s="295">
        <v>8500</v>
      </c>
      <c r="AJ151" s="295">
        <f t="shared" si="86"/>
        <v>0</v>
      </c>
      <c r="AK151" s="295"/>
      <c r="AL151" s="285">
        <f t="shared" si="75"/>
        <v>8500</v>
      </c>
      <c r="AM151" s="295">
        <f t="shared" si="83"/>
        <v>4000</v>
      </c>
      <c r="AN151" s="295">
        <f t="shared" si="83"/>
        <v>2017</v>
      </c>
      <c r="AO151" s="295">
        <f t="shared" si="77"/>
        <v>4000</v>
      </c>
      <c r="AP151" s="295">
        <f t="shared" si="78"/>
        <v>4500</v>
      </c>
      <c r="AQ151" s="285">
        <f t="shared" si="74"/>
        <v>4500</v>
      </c>
      <c r="AR151" s="295">
        <v>4000</v>
      </c>
      <c r="AS151" s="295">
        <v>3000</v>
      </c>
      <c r="AT151" s="310"/>
    </row>
    <row r="152" spans="1:47" s="265" customFormat="1" ht="36.75" customHeight="1">
      <c r="A152" s="298">
        <v>27</v>
      </c>
      <c r="B152" s="299" t="s">
        <v>972</v>
      </c>
      <c r="C152" s="301" t="s">
        <v>705</v>
      </c>
      <c r="D152" s="301" t="s">
        <v>705</v>
      </c>
      <c r="E152" s="300"/>
      <c r="F152" s="312" t="s">
        <v>727</v>
      </c>
      <c r="G152" s="300" t="s">
        <v>973</v>
      </c>
      <c r="H152" s="345">
        <v>13331</v>
      </c>
      <c r="I152" s="345"/>
      <c r="J152" s="295">
        <f t="shared" si="79"/>
        <v>0</v>
      </c>
      <c r="K152" s="295"/>
      <c r="L152" s="295"/>
      <c r="M152" s="295"/>
      <c r="N152" s="295"/>
      <c r="O152" s="295"/>
      <c r="P152" s="295"/>
      <c r="Q152" s="295"/>
      <c r="R152" s="295"/>
      <c r="S152" s="295"/>
      <c r="T152" s="295">
        <f t="shared" si="85"/>
        <v>0</v>
      </c>
      <c r="U152" s="295">
        <f t="shared" si="84"/>
        <v>0</v>
      </c>
      <c r="V152" s="295"/>
      <c r="W152" s="295"/>
      <c r="X152" s="295"/>
      <c r="Y152" s="295"/>
      <c r="Z152" s="295"/>
      <c r="AA152" s="295"/>
      <c r="AB152" s="295"/>
      <c r="AC152" s="295"/>
      <c r="AD152" s="295"/>
      <c r="AE152" s="295"/>
      <c r="AF152" s="295">
        <v>6000</v>
      </c>
      <c r="AG152" s="295">
        <v>427</v>
      </c>
      <c r="AH152" s="295">
        <f t="shared" si="73"/>
        <v>12500</v>
      </c>
      <c r="AI152" s="295">
        <v>12500</v>
      </c>
      <c r="AJ152" s="295">
        <f t="shared" si="86"/>
        <v>0</v>
      </c>
      <c r="AK152" s="295"/>
      <c r="AL152" s="285">
        <f t="shared" si="75"/>
        <v>12500</v>
      </c>
      <c r="AM152" s="295">
        <f t="shared" si="83"/>
        <v>6000</v>
      </c>
      <c r="AN152" s="295">
        <f t="shared" si="83"/>
        <v>427</v>
      </c>
      <c r="AO152" s="295">
        <f t="shared" si="77"/>
        <v>6000</v>
      </c>
      <c r="AP152" s="295">
        <f t="shared" si="78"/>
        <v>6500</v>
      </c>
      <c r="AQ152" s="285">
        <f t="shared" si="74"/>
        <v>6500</v>
      </c>
      <c r="AR152" s="295">
        <v>6000</v>
      </c>
      <c r="AS152" s="295">
        <v>4500</v>
      </c>
      <c r="AT152" s="313"/>
    </row>
    <row r="153" spans="1:47" s="265" customFormat="1" ht="36" customHeight="1">
      <c r="A153" s="298">
        <v>28</v>
      </c>
      <c r="B153" s="299" t="s">
        <v>974</v>
      </c>
      <c r="C153" s="301" t="s">
        <v>705</v>
      </c>
      <c r="D153" s="301" t="s">
        <v>705</v>
      </c>
      <c r="E153" s="300"/>
      <c r="F153" s="312" t="s">
        <v>676</v>
      </c>
      <c r="G153" s="300" t="s">
        <v>975</v>
      </c>
      <c r="H153" s="345">
        <v>9746</v>
      </c>
      <c r="I153" s="345"/>
      <c r="J153" s="295">
        <f t="shared" si="79"/>
        <v>0</v>
      </c>
      <c r="K153" s="295"/>
      <c r="L153" s="295"/>
      <c r="M153" s="295"/>
      <c r="N153" s="295"/>
      <c r="O153" s="295"/>
      <c r="P153" s="295"/>
      <c r="Q153" s="295"/>
      <c r="R153" s="295"/>
      <c r="S153" s="295"/>
      <c r="T153" s="295">
        <f t="shared" si="85"/>
        <v>0</v>
      </c>
      <c r="U153" s="295">
        <f t="shared" si="84"/>
        <v>0</v>
      </c>
      <c r="V153" s="295"/>
      <c r="W153" s="295"/>
      <c r="X153" s="295"/>
      <c r="Y153" s="295"/>
      <c r="Z153" s="295"/>
      <c r="AA153" s="295"/>
      <c r="AB153" s="295"/>
      <c r="AC153" s="295"/>
      <c r="AD153" s="295"/>
      <c r="AE153" s="295"/>
      <c r="AF153" s="295">
        <v>5000</v>
      </c>
      <c r="AG153" s="295">
        <v>300</v>
      </c>
      <c r="AH153" s="295">
        <f t="shared" si="73"/>
        <v>11000</v>
      </c>
      <c r="AI153" s="295">
        <v>11000</v>
      </c>
      <c r="AJ153" s="295">
        <f t="shared" si="86"/>
        <v>0</v>
      </c>
      <c r="AK153" s="295"/>
      <c r="AL153" s="285">
        <f t="shared" si="75"/>
        <v>11000</v>
      </c>
      <c r="AM153" s="295">
        <f t="shared" si="83"/>
        <v>5000</v>
      </c>
      <c r="AN153" s="295">
        <f t="shared" si="83"/>
        <v>300</v>
      </c>
      <c r="AO153" s="295">
        <f t="shared" si="77"/>
        <v>5000</v>
      </c>
      <c r="AP153" s="295">
        <f t="shared" si="78"/>
        <v>6000</v>
      </c>
      <c r="AQ153" s="285">
        <f t="shared" si="74"/>
        <v>6000</v>
      </c>
      <c r="AR153" s="295">
        <v>5000</v>
      </c>
      <c r="AS153" s="295">
        <v>4500</v>
      </c>
      <c r="AT153" s="313"/>
    </row>
    <row r="154" spans="1:47" s="265" customFormat="1" ht="24.75" customHeight="1">
      <c r="A154" s="298">
        <v>29</v>
      </c>
      <c r="B154" s="299" t="s">
        <v>976</v>
      </c>
      <c r="C154" s="301" t="s">
        <v>730</v>
      </c>
      <c r="D154" s="301" t="s">
        <v>730</v>
      </c>
      <c r="E154" s="300"/>
      <c r="F154" s="312" t="s">
        <v>727</v>
      </c>
      <c r="G154" s="300" t="s">
        <v>977</v>
      </c>
      <c r="H154" s="345">
        <v>13875</v>
      </c>
      <c r="I154" s="345"/>
      <c r="J154" s="295">
        <f t="shared" si="79"/>
        <v>0</v>
      </c>
      <c r="K154" s="295"/>
      <c r="L154" s="295"/>
      <c r="M154" s="295"/>
      <c r="N154" s="295"/>
      <c r="O154" s="295"/>
      <c r="P154" s="295"/>
      <c r="Q154" s="295"/>
      <c r="R154" s="295"/>
      <c r="S154" s="295"/>
      <c r="T154" s="295">
        <f t="shared" si="85"/>
        <v>0</v>
      </c>
      <c r="U154" s="295">
        <f t="shared" si="84"/>
        <v>0</v>
      </c>
      <c r="V154" s="295"/>
      <c r="W154" s="295"/>
      <c r="X154" s="295"/>
      <c r="Y154" s="295"/>
      <c r="Z154" s="295"/>
      <c r="AA154" s="295"/>
      <c r="AB154" s="295"/>
      <c r="AC154" s="295"/>
      <c r="AD154" s="295"/>
      <c r="AE154" s="295"/>
      <c r="AF154" s="295">
        <v>4000</v>
      </c>
      <c r="AG154" s="295">
        <v>641</v>
      </c>
      <c r="AH154" s="295">
        <f t="shared" si="73"/>
        <v>8600</v>
      </c>
      <c r="AI154" s="295">
        <v>8600</v>
      </c>
      <c r="AJ154" s="295">
        <f t="shared" si="86"/>
        <v>0</v>
      </c>
      <c r="AK154" s="295"/>
      <c r="AL154" s="285">
        <f t="shared" si="75"/>
        <v>8600</v>
      </c>
      <c r="AM154" s="295">
        <f t="shared" si="83"/>
        <v>4000</v>
      </c>
      <c r="AN154" s="295">
        <f t="shared" si="83"/>
        <v>641</v>
      </c>
      <c r="AO154" s="295">
        <f t="shared" si="77"/>
        <v>4000</v>
      </c>
      <c r="AP154" s="295">
        <f t="shared" si="78"/>
        <v>4600</v>
      </c>
      <c r="AQ154" s="285">
        <f t="shared" si="74"/>
        <v>4600</v>
      </c>
      <c r="AR154" s="295">
        <v>4000</v>
      </c>
      <c r="AS154" s="295">
        <v>4000</v>
      </c>
      <c r="AT154" s="313"/>
    </row>
    <row r="155" spans="1:47" s="265" customFormat="1" ht="18" customHeight="1">
      <c r="A155" s="298">
        <v>30</v>
      </c>
      <c r="B155" s="299" t="s">
        <v>978</v>
      </c>
      <c r="C155" s="301" t="s">
        <v>730</v>
      </c>
      <c r="D155" s="301" t="s">
        <v>730</v>
      </c>
      <c r="E155" s="300"/>
      <c r="F155" s="312" t="s">
        <v>727</v>
      </c>
      <c r="G155" s="300" t="s">
        <v>979</v>
      </c>
      <c r="H155" s="345">
        <v>14365</v>
      </c>
      <c r="I155" s="345"/>
      <c r="J155" s="295">
        <f t="shared" si="79"/>
        <v>0</v>
      </c>
      <c r="K155" s="295"/>
      <c r="L155" s="295"/>
      <c r="M155" s="295"/>
      <c r="N155" s="295"/>
      <c r="O155" s="295"/>
      <c r="P155" s="295"/>
      <c r="Q155" s="295"/>
      <c r="R155" s="295"/>
      <c r="S155" s="295"/>
      <c r="T155" s="295">
        <f t="shared" si="85"/>
        <v>0</v>
      </c>
      <c r="U155" s="295">
        <f t="shared" si="84"/>
        <v>0</v>
      </c>
      <c r="V155" s="295"/>
      <c r="W155" s="295"/>
      <c r="X155" s="295"/>
      <c r="Y155" s="295"/>
      <c r="Z155" s="295"/>
      <c r="AA155" s="295"/>
      <c r="AB155" s="295"/>
      <c r="AC155" s="295"/>
      <c r="AD155" s="295"/>
      <c r="AE155" s="295"/>
      <c r="AF155" s="295">
        <v>6000</v>
      </c>
      <c r="AG155" s="295">
        <v>23</v>
      </c>
      <c r="AH155" s="295">
        <f t="shared" si="73"/>
        <v>13000</v>
      </c>
      <c r="AI155" s="295">
        <v>13000</v>
      </c>
      <c r="AJ155" s="295">
        <f t="shared" si="86"/>
        <v>0</v>
      </c>
      <c r="AK155" s="295"/>
      <c r="AL155" s="285">
        <f t="shared" si="75"/>
        <v>13000</v>
      </c>
      <c r="AM155" s="295">
        <f t="shared" si="83"/>
        <v>6000</v>
      </c>
      <c r="AN155" s="295">
        <f t="shared" si="83"/>
        <v>23</v>
      </c>
      <c r="AO155" s="295">
        <f t="shared" si="77"/>
        <v>6000</v>
      </c>
      <c r="AP155" s="295">
        <f t="shared" si="78"/>
        <v>7000</v>
      </c>
      <c r="AQ155" s="285">
        <f t="shared" si="74"/>
        <v>7000</v>
      </c>
      <c r="AR155" s="295">
        <v>6000</v>
      </c>
      <c r="AS155" s="295">
        <v>4000</v>
      </c>
      <c r="AT155" s="313"/>
    </row>
    <row r="156" spans="1:47" s="265" customFormat="1" ht="23.25" customHeight="1">
      <c r="A156" s="298">
        <v>31</v>
      </c>
      <c r="B156" s="299" t="s">
        <v>980</v>
      </c>
      <c r="C156" s="301" t="s">
        <v>730</v>
      </c>
      <c r="D156" s="301" t="s">
        <v>730</v>
      </c>
      <c r="E156" s="300"/>
      <c r="F156" s="312" t="s">
        <v>727</v>
      </c>
      <c r="G156" s="300" t="s">
        <v>981</v>
      </c>
      <c r="H156" s="345">
        <v>14084</v>
      </c>
      <c r="I156" s="345"/>
      <c r="J156" s="295">
        <f t="shared" si="79"/>
        <v>0</v>
      </c>
      <c r="K156" s="295"/>
      <c r="L156" s="295"/>
      <c r="M156" s="295"/>
      <c r="N156" s="295"/>
      <c r="O156" s="295"/>
      <c r="P156" s="295"/>
      <c r="Q156" s="295"/>
      <c r="R156" s="295"/>
      <c r="S156" s="295"/>
      <c r="T156" s="295">
        <f t="shared" si="85"/>
        <v>0</v>
      </c>
      <c r="U156" s="295">
        <f t="shared" si="84"/>
        <v>0</v>
      </c>
      <c r="V156" s="295"/>
      <c r="W156" s="295"/>
      <c r="X156" s="295"/>
      <c r="Y156" s="295"/>
      <c r="Z156" s="295"/>
      <c r="AA156" s="295"/>
      <c r="AB156" s="295"/>
      <c r="AC156" s="295"/>
      <c r="AD156" s="295"/>
      <c r="AE156" s="295"/>
      <c r="AF156" s="295">
        <v>5000</v>
      </c>
      <c r="AG156" s="295">
        <v>4931</v>
      </c>
      <c r="AH156" s="295">
        <f t="shared" si="73"/>
        <v>11500</v>
      </c>
      <c r="AI156" s="295">
        <v>11500</v>
      </c>
      <c r="AJ156" s="295">
        <f t="shared" si="86"/>
        <v>0</v>
      </c>
      <c r="AK156" s="295"/>
      <c r="AL156" s="285">
        <f t="shared" si="75"/>
        <v>11500</v>
      </c>
      <c r="AM156" s="295">
        <f t="shared" si="83"/>
        <v>5000</v>
      </c>
      <c r="AN156" s="295">
        <f t="shared" si="83"/>
        <v>4931</v>
      </c>
      <c r="AO156" s="295">
        <f t="shared" si="77"/>
        <v>5000</v>
      </c>
      <c r="AP156" s="295">
        <f t="shared" si="78"/>
        <v>6500</v>
      </c>
      <c r="AQ156" s="285">
        <f t="shared" si="74"/>
        <v>6500</v>
      </c>
      <c r="AR156" s="295">
        <v>5000</v>
      </c>
      <c r="AS156" s="295">
        <v>4000</v>
      </c>
      <c r="AT156" s="313"/>
    </row>
    <row r="157" spans="1:47" s="265" customFormat="1" ht="47.25" customHeight="1">
      <c r="A157" s="298">
        <v>32</v>
      </c>
      <c r="B157" s="299" t="s">
        <v>982</v>
      </c>
      <c r="C157" s="301" t="s">
        <v>675</v>
      </c>
      <c r="D157" s="301" t="s">
        <v>675</v>
      </c>
      <c r="E157" s="300"/>
      <c r="F157" s="312" t="s">
        <v>727</v>
      </c>
      <c r="G157" s="300" t="s">
        <v>983</v>
      </c>
      <c r="H157" s="345">
        <v>13883.555077999999</v>
      </c>
      <c r="I157" s="345"/>
      <c r="J157" s="295">
        <f t="shared" si="79"/>
        <v>0</v>
      </c>
      <c r="K157" s="295"/>
      <c r="L157" s="295"/>
      <c r="M157" s="295"/>
      <c r="N157" s="295"/>
      <c r="O157" s="295"/>
      <c r="P157" s="295"/>
      <c r="Q157" s="295"/>
      <c r="R157" s="295"/>
      <c r="S157" s="295"/>
      <c r="T157" s="295">
        <f t="shared" si="85"/>
        <v>0</v>
      </c>
      <c r="U157" s="295">
        <f t="shared" si="84"/>
        <v>0</v>
      </c>
      <c r="V157" s="295"/>
      <c r="W157" s="295"/>
      <c r="X157" s="295"/>
      <c r="Y157" s="295"/>
      <c r="Z157" s="295"/>
      <c r="AA157" s="295"/>
      <c r="AB157" s="295"/>
      <c r="AC157" s="295"/>
      <c r="AD157" s="295"/>
      <c r="AE157" s="295"/>
      <c r="AF157" s="295">
        <v>6000</v>
      </c>
      <c r="AG157" s="295"/>
      <c r="AH157" s="295">
        <f t="shared" si="73"/>
        <v>13500</v>
      </c>
      <c r="AI157" s="295">
        <v>13500</v>
      </c>
      <c r="AJ157" s="295">
        <f t="shared" si="86"/>
        <v>0</v>
      </c>
      <c r="AK157" s="295"/>
      <c r="AL157" s="285">
        <f t="shared" si="75"/>
        <v>13500</v>
      </c>
      <c r="AM157" s="295">
        <f t="shared" si="83"/>
        <v>6000</v>
      </c>
      <c r="AN157" s="295">
        <f t="shared" si="83"/>
        <v>0</v>
      </c>
      <c r="AO157" s="295">
        <f t="shared" si="77"/>
        <v>6000</v>
      </c>
      <c r="AP157" s="295">
        <f t="shared" si="78"/>
        <v>7500</v>
      </c>
      <c r="AQ157" s="285">
        <f t="shared" si="74"/>
        <v>7500</v>
      </c>
      <c r="AR157" s="295">
        <v>6000</v>
      </c>
      <c r="AS157" s="295">
        <v>4500</v>
      </c>
      <c r="AT157" s="318"/>
    </row>
    <row r="158" spans="1:47" s="265" customFormat="1" ht="24.75" customHeight="1">
      <c r="A158" s="298">
        <v>33</v>
      </c>
      <c r="B158" s="299" t="s">
        <v>984</v>
      </c>
      <c r="C158" s="301" t="s">
        <v>669</v>
      </c>
      <c r="D158" s="301" t="s">
        <v>669</v>
      </c>
      <c r="E158" s="300"/>
      <c r="F158" s="312" t="s">
        <v>727</v>
      </c>
      <c r="G158" s="300" t="s">
        <v>985</v>
      </c>
      <c r="H158" s="345">
        <v>14868</v>
      </c>
      <c r="I158" s="345"/>
      <c r="J158" s="295">
        <f t="shared" si="79"/>
        <v>0</v>
      </c>
      <c r="K158" s="295"/>
      <c r="L158" s="295"/>
      <c r="M158" s="295"/>
      <c r="N158" s="295"/>
      <c r="O158" s="295"/>
      <c r="P158" s="295"/>
      <c r="Q158" s="295"/>
      <c r="R158" s="295"/>
      <c r="S158" s="295"/>
      <c r="T158" s="295">
        <f t="shared" si="85"/>
        <v>0</v>
      </c>
      <c r="U158" s="295">
        <f t="shared" si="84"/>
        <v>0</v>
      </c>
      <c r="V158" s="295"/>
      <c r="W158" s="295"/>
      <c r="X158" s="295"/>
      <c r="Y158" s="295"/>
      <c r="Z158" s="295"/>
      <c r="AA158" s="295"/>
      <c r="AB158" s="295"/>
      <c r="AC158" s="295"/>
      <c r="AD158" s="295"/>
      <c r="AE158" s="295"/>
      <c r="AF158" s="295">
        <v>6500</v>
      </c>
      <c r="AG158" s="295">
        <v>5337</v>
      </c>
      <c r="AH158" s="295">
        <f t="shared" si="73"/>
        <v>13500</v>
      </c>
      <c r="AI158" s="295">
        <v>13500</v>
      </c>
      <c r="AJ158" s="295">
        <f t="shared" si="86"/>
        <v>0</v>
      </c>
      <c r="AK158" s="295"/>
      <c r="AL158" s="285">
        <f t="shared" si="75"/>
        <v>13500</v>
      </c>
      <c r="AM158" s="295">
        <f t="shared" si="83"/>
        <v>6500</v>
      </c>
      <c r="AN158" s="295">
        <f t="shared" si="83"/>
        <v>5337</v>
      </c>
      <c r="AO158" s="295">
        <f t="shared" si="77"/>
        <v>6500</v>
      </c>
      <c r="AP158" s="295">
        <f t="shared" si="78"/>
        <v>7000</v>
      </c>
      <c r="AQ158" s="285">
        <f t="shared" si="74"/>
        <v>7000</v>
      </c>
      <c r="AR158" s="295">
        <v>6500</v>
      </c>
      <c r="AS158" s="295">
        <v>1200</v>
      </c>
      <c r="AT158" s="318"/>
      <c r="AU158" s="318" t="s">
        <v>986</v>
      </c>
    </row>
    <row r="159" spans="1:47" s="265" customFormat="1" ht="22.5" customHeight="1">
      <c r="A159" s="298">
        <v>34</v>
      </c>
      <c r="B159" s="299" t="s">
        <v>987</v>
      </c>
      <c r="C159" s="301" t="s">
        <v>946</v>
      </c>
      <c r="D159" s="301" t="s">
        <v>946</v>
      </c>
      <c r="E159" s="300"/>
      <c r="F159" s="312" t="s">
        <v>727</v>
      </c>
      <c r="G159" s="300" t="s">
        <v>988</v>
      </c>
      <c r="H159" s="345">
        <v>14460</v>
      </c>
      <c r="I159" s="345"/>
      <c r="J159" s="295">
        <f t="shared" si="79"/>
        <v>0</v>
      </c>
      <c r="K159" s="295"/>
      <c r="L159" s="295"/>
      <c r="M159" s="295"/>
      <c r="N159" s="295"/>
      <c r="O159" s="295"/>
      <c r="P159" s="295"/>
      <c r="Q159" s="295"/>
      <c r="R159" s="295"/>
      <c r="S159" s="295"/>
      <c r="T159" s="295">
        <f t="shared" si="85"/>
        <v>0</v>
      </c>
      <c r="U159" s="295">
        <f t="shared" si="84"/>
        <v>0</v>
      </c>
      <c r="V159" s="295"/>
      <c r="W159" s="295"/>
      <c r="X159" s="295"/>
      <c r="Y159" s="295"/>
      <c r="Z159" s="295"/>
      <c r="AA159" s="295"/>
      <c r="AB159" s="295"/>
      <c r="AC159" s="295"/>
      <c r="AD159" s="295"/>
      <c r="AE159" s="295"/>
      <c r="AF159" s="295">
        <v>6000</v>
      </c>
      <c r="AG159" s="295">
        <v>3536</v>
      </c>
      <c r="AH159" s="295">
        <f t="shared" si="73"/>
        <v>13000</v>
      </c>
      <c r="AI159" s="295">
        <v>13000</v>
      </c>
      <c r="AJ159" s="295">
        <f t="shared" si="86"/>
        <v>0</v>
      </c>
      <c r="AK159" s="295"/>
      <c r="AL159" s="285">
        <f t="shared" si="75"/>
        <v>13000</v>
      </c>
      <c r="AM159" s="295">
        <f t="shared" si="83"/>
        <v>6000</v>
      </c>
      <c r="AN159" s="295">
        <f t="shared" si="83"/>
        <v>3536</v>
      </c>
      <c r="AO159" s="295">
        <f t="shared" si="77"/>
        <v>6000</v>
      </c>
      <c r="AP159" s="295">
        <f t="shared" si="78"/>
        <v>7000</v>
      </c>
      <c r="AQ159" s="285">
        <f t="shared" si="74"/>
        <v>7000</v>
      </c>
      <c r="AR159" s="295">
        <v>6000</v>
      </c>
      <c r="AS159" s="295">
        <v>4500</v>
      </c>
      <c r="AT159" s="310"/>
    </row>
    <row r="160" spans="1:47" s="265" customFormat="1" ht="47.25" customHeight="1">
      <c r="A160" s="298">
        <v>35</v>
      </c>
      <c r="B160" s="299" t="s">
        <v>989</v>
      </c>
      <c r="C160" s="301" t="s">
        <v>675</v>
      </c>
      <c r="D160" s="301" t="s">
        <v>675</v>
      </c>
      <c r="E160" s="300"/>
      <c r="F160" s="312" t="s">
        <v>676</v>
      </c>
      <c r="G160" s="300" t="s">
        <v>990</v>
      </c>
      <c r="H160" s="345">
        <v>9412.9095789999992</v>
      </c>
      <c r="I160" s="345"/>
      <c r="J160" s="295">
        <f t="shared" si="79"/>
        <v>0</v>
      </c>
      <c r="K160" s="295"/>
      <c r="L160" s="295"/>
      <c r="M160" s="295"/>
      <c r="N160" s="295"/>
      <c r="O160" s="295"/>
      <c r="P160" s="295"/>
      <c r="Q160" s="295"/>
      <c r="R160" s="295"/>
      <c r="S160" s="295"/>
      <c r="T160" s="295">
        <f t="shared" si="85"/>
        <v>0</v>
      </c>
      <c r="U160" s="295">
        <f t="shared" si="84"/>
        <v>0</v>
      </c>
      <c r="V160" s="295"/>
      <c r="W160" s="295"/>
      <c r="X160" s="295"/>
      <c r="Y160" s="295"/>
      <c r="Z160" s="295"/>
      <c r="AA160" s="295"/>
      <c r="AB160" s="295"/>
      <c r="AC160" s="295"/>
      <c r="AD160" s="295"/>
      <c r="AE160" s="295"/>
      <c r="AF160" s="295">
        <v>4000</v>
      </c>
      <c r="AG160" s="295"/>
      <c r="AH160" s="295">
        <f t="shared" si="73"/>
        <v>8500</v>
      </c>
      <c r="AI160" s="295">
        <v>8500</v>
      </c>
      <c r="AJ160" s="295">
        <f t="shared" si="86"/>
        <v>0</v>
      </c>
      <c r="AK160" s="295"/>
      <c r="AL160" s="285">
        <f t="shared" si="75"/>
        <v>8500</v>
      </c>
      <c r="AM160" s="295">
        <f t="shared" si="83"/>
        <v>4000</v>
      </c>
      <c r="AN160" s="295">
        <f t="shared" si="83"/>
        <v>0</v>
      </c>
      <c r="AO160" s="295">
        <f t="shared" si="77"/>
        <v>4000</v>
      </c>
      <c r="AP160" s="295">
        <f t="shared" si="78"/>
        <v>4500</v>
      </c>
      <c r="AQ160" s="285">
        <f t="shared" si="74"/>
        <v>4500</v>
      </c>
      <c r="AR160" s="295">
        <v>4000</v>
      </c>
      <c r="AS160" s="295">
        <v>3000</v>
      </c>
      <c r="AT160" s="318"/>
    </row>
    <row r="161" spans="1:46" s="265" customFormat="1" ht="24" customHeight="1">
      <c r="A161" s="298">
        <v>36</v>
      </c>
      <c r="B161" s="299" t="s">
        <v>991</v>
      </c>
      <c r="C161" s="301" t="s">
        <v>946</v>
      </c>
      <c r="D161" s="301" t="s">
        <v>946</v>
      </c>
      <c r="E161" s="300"/>
      <c r="F161" s="312" t="s">
        <v>676</v>
      </c>
      <c r="G161" s="300" t="s">
        <v>992</v>
      </c>
      <c r="H161" s="345">
        <v>10580</v>
      </c>
      <c r="I161" s="345"/>
      <c r="J161" s="295">
        <f t="shared" si="79"/>
        <v>0</v>
      </c>
      <c r="K161" s="295"/>
      <c r="L161" s="295"/>
      <c r="M161" s="295"/>
      <c r="N161" s="295"/>
      <c r="O161" s="295"/>
      <c r="P161" s="295"/>
      <c r="Q161" s="295"/>
      <c r="R161" s="295"/>
      <c r="S161" s="295"/>
      <c r="T161" s="295">
        <f t="shared" si="85"/>
        <v>0</v>
      </c>
      <c r="U161" s="295">
        <f t="shared" si="85"/>
        <v>0</v>
      </c>
      <c r="V161" s="295"/>
      <c r="W161" s="295"/>
      <c r="X161" s="295"/>
      <c r="Y161" s="295"/>
      <c r="Z161" s="295"/>
      <c r="AA161" s="295"/>
      <c r="AB161" s="295"/>
      <c r="AC161" s="295"/>
      <c r="AD161" s="295"/>
      <c r="AE161" s="295"/>
      <c r="AF161" s="295">
        <v>5000</v>
      </c>
      <c r="AG161" s="295">
        <v>2481</v>
      </c>
      <c r="AH161" s="295">
        <f t="shared" si="73"/>
        <v>9500</v>
      </c>
      <c r="AI161" s="295">
        <v>9500</v>
      </c>
      <c r="AJ161" s="295">
        <f t="shared" si="86"/>
        <v>0</v>
      </c>
      <c r="AK161" s="295"/>
      <c r="AL161" s="285">
        <f t="shared" si="75"/>
        <v>9500</v>
      </c>
      <c r="AM161" s="295">
        <f t="shared" si="83"/>
        <v>5000</v>
      </c>
      <c r="AN161" s="295">
        <f t="shared" si="83"/>
        <v>2481</v>
      </c>
      <c r="AO161" s="295">
        <f t="shared" si="77"/>
        <v>5000</v>
      </c>
      <c r="AP161" s="295">
        <f t="shared" si="78"/>
        <v>4500</v>
      </c>
      <c r="AQ161" s="285">
        <f t="shared" si="74"/>
        <v>4500</v>
      </c>
      <c r="AR161" s="295">
        <v>5000</v>
      </c>
      <c r="AS161" s="295">
        <v>2500</v>
      </c>
      <c r="AT161" s="310"/>
    </row>
    <row r="162" spans="1:46" s="265" customFormat="1" ht="25.5" customHeight="1">
      <c r="A162" s="298">
        <v>37</v>
      </c>
      <c r="B162" s="299" t="s">
        <v>993</v>
      </c>
      <c r="C162" s="346" t="s">
        <v>994</v>
      </c>
      <c r="D162" s="300" t="s">
        <v>726</v>
      </c>
      <c r="E162" s="300"/>
      <c r="F162" s="312" t="s">
        <v>666</v>
      </c>
      <c r="G162" s="307" t="s">
        <v>995</v>
      </c>
      <c r="H162" s="342">
        <v>40880</v>
      </c>
      <c r="I162" s="345"/>
      <c r="J162" s="295"/>
      <c r="K162" s="295"/>
      <c r="L162" s="295"/>
      <c r="M162" s="295"/>
      <c r="N162" s="295"/>
      <c r="O162" s="295"/>
      <c r="P162" s="295"/>
      <c r="Q162" s="295"/>
      <c r="R162" s="295"/>
      <c r="S162" s="295"/>
      <c r="T162" s="295"/>
      <c r="U162" s="295"/>
      <c r="V162" s="295"/>
      <c r="W162" s="295"/>
      <c r="X162" s="295"/>
      <c r="Y162" s="295"/>
      <c r="Z162" s="295"/>
      <c r="AA162" s="295"/>
      <c r="AB162" s="295"/>
      <c r="AC162" s="295"/>
      <c r="AD162" s="295"/>
      <c r="AE162" s="295"/>
      <c r="AF162" s="295"/>
      <c r="AG162" s="295"/>
      <c r="AH162" s="295"/>
      <c r="AI162" s="295"/>
      <c r="AJ162" s="295"/>
      <c r="AK162" s="295"/>
      <c r="AL162" s="285"/>
      <c r="AM162" s="295"/>
      <c r="AN162" s="295"/>
      <c r="AO162" s="295"/>
      <c r="AP162" s="295"/>
      <c r="AQ162" s="285"/>
      <c r="AR162" s="295">
        <v>20200</v>
      </c>
      <c r="AS162" s="295">
        <v>2000</v>
      </c>
      <c r="AT162" s="310"/>
    </row>
    <row r="163" spans="1:46" s="265" customFormat="1" ht="23.25" customHeight="1">
      <c r="A163" s="298">
        <v>38</v>
      </c>
      <c r="B163" s="299" t="s">
        <v>996</v>
      </c>
      <c r="C163" s="346" t="s">
        <v>994</v>
      </c>
      <c r="D163" s="300" t="s">
        <v>726</v>
      </c>
      <c r="E163" s="300"/>
      <c r="F163" s="312" t="s">
        <v>666</v>
      </c>
      <c r="G163" s="307" t="s">
        <v>997</v>
      </c>
      <c r="H163" s="342">
        <v>14499</v>
      </c>
      <c r="I163" s="34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c r="AL163" s="285"/>
      <c r="AM163" s="295"/>
      <c r="AN163" s="295"/>
      <c r="AO163" s="295"/>
      <c r="AP163" s="295"/>
      <c r="AQ163" s="285"/>
      <c r="AR163" s="295">
        <v>7500</v>
      </c>
      <c r="AS163" s="295">
        <v>2000</v>
      </c>
      <c r="AT163" s="310"/>
    </row>
    <row r="164" spans="1:46" s="265" customFormat="1" ht="47.25" customHeight="1">
      <c r="A164" s="279">
        <v>39</v>
      </c>
      <c r="B164" s="347" t="s">
        <v>998</v>
      </c>
      <c r="C164" s="282" t="s">
        <v>659</v>
      </c>
      <c r="D164" s="282" t="s">
        <v>659</v>
      </c>
      <c r="E164" s="282"/>
      <c r="F164" s="348"/>
      <c r="G164" s="282"/>
      <c r="H164" s="285">
        <f>'[3]B2-MẦM NON'!H11</f>
        <v>300010</v>
      </c>
      <c r="I164" s="285">
        <f>'[3]B2-MẦM NON'!I11</f>
        <v>0</v>
      </c>
      <c r="J164" s="285">
        <f>'[3]B2-MẦM NON'!J11</f>
        <v>0</v>
      </c>
      <c r="K164" s="285">
        <f>'[3]B2-MẦM NON'!K11</f>
        <v>0</v>
      </c>
      <c r="L164" s="285">
        <f>'[3]B2-MẦM NON'!L11</f>
        <v>0</v>
      </c>
      <c r="M164" s="285">
        <f>'[3]B2-MẦM NON'!M11</f>
        <v>0</v>
      </c>
      <c r="N164" s="285">
        <f>'[3]B2-MẦM NON'!N11</f>
        <v>0</v>
      </c>
      <c r="O164" s="285">
        <f>'[3]B2-MẦM NON'!O11</f>
        <v>0</v>
      </c>
      <c r="P164" s="285">
        <f>'[3]B2-MẦM NON'!P11</f>
        <v>0</v>
      </c>
      <c r="Q164" s="285">
        <f>'[3]B2-MẦM NON'!Q11</f>
        <v>0</v>
      </c>
      <c r="R164" s="285">
        <f>'[3]B2-MẦM NON'!R11</f>
        <v>0</v>
      </c>
      <c r="S164" s="285">
        <f>'[3]B2-MẦM NON'!S11</f>
        <v>0</v>
      </c>
      <c r="T164" s="285">
        <f>'[3]B2-MẦM NON'!T11</f>
        <v>0</v>
      </c>
      <c r="U164" s="285">
        <f>'[3]B2-MẦM NON'!U11</f>
        <v>0</v>
      </c>
      <c r="V164" s="285">
        <f>'[3]B2-MẦM NON'!V11</f>
        <v>0</v>
      </c>
      <c r="W164" s="285">
        <f>'[3]B2-MẦM NON'!W11</f>
        <v>0</v>
      </c>
      <c r="X164" s="285">
        <f>'[3]B2-MẦM NON'!X11</f>
        <v>0</v>
      </c>
      <c r="Y164" s="285">
        <f>'[3]B2-MẦM NON'!Y11</f>
        <v>0</v>
      </c>
      <c r="Z164" s="285">
        <f>'[3]B2-MẦM NON'!Z11</f>
        <v>0</v>
      </c>
      <c r="AA164" s="285">
        <f>'[3]B2-MẦM NON'!AA11</f>
        <v>0</v>
      </c>
      <c r="AB164" s="285">
        <f>'[3]B2-MẦM NON'!AB11</f>
        <v>0</v>
      </c>
      <c r="AC164" s="285">
        <f>'[3]B2-MẦM NON'!AC11</f>
        <v>0</v>
      </c>
      <c r="AD164" s="285">
        <f>'[3]B2-MẦM NON'!AD11</f>
        <v>0</v>
      </c>
      <c r="AE164" s="285">
        <f>'[3]B2-MẦM NON'!AE11</f>
        <v>0</v>
      </c>
      <c r="AF164" s="285">
        <f>'[3]B2-MẦM NON'!AF11</f>
        <v>0</v>
      </c>
      <c r="AG164" s="285">
        <f>'[3]B2-MẦM NON'!AG11</f>
        <v>0</v>
      </c>
      <c r="AH164" s="285">
        <f>'[3]B2-MẦM NON'!AH11</f>
        <v>0</v>
      </c>
      <c r="AI164" s="285">
        <f>'[3]B2-MẦM NON'!AI11</f>
        <v>0</v>
      </c>
      <c r="AJ164" s="285">
        <f>'[3]B2-MẦM NON'!AJ11</f>
        <v>0</v>
      </c>
      <c r="AK164" s="285">
        <f>'[3]B2-MẦM NON'!AK11</f>
        <v>0</v>
      </c>
      <c r="AL164" s="285">
        <f>'[3]B2-MẦM NON'!AL11</f>
        <v>0</v>
      </c>
      <c r="AM164" s="285">
        <f>'[3]B2-MẦM NON'!AM11</f>
        <v>129249</v>
      </c>
      <c r="AN164" s="285">
        <f>'[3]B2-MẦM NON'!AN11</f>
        <v>0</v>
      </c>
      <c r="AO164" s="285">
        <f>'[3]B2-MẦM NON'!AO11</f>
        <v>129249</v>
      </c>
      <c r="AP164" s="285">
        <f>'[3]B2-MẦM NON'!AP11</f>
        <v>0</v>
      </c>
      <c r="AQ164" s="285">
        <f>'[3]B2-MẦM NON'!AQ11</f>
        <v>0</v>
      </c>
      <c r="AR164" s="285">
        <f>'[3]B2-MẦM NON'!AR11</f>
        <v>135249</v>
      </c>
      <c r="AS164" s="285">
        <f>'[3]B2-MẦM NON'!AS11</f>
        <v>89300</v>
      </c>
      <c r="AT164" s="349" t="s">
        <v>999</v>
      </c>
    </row>
    <row r="165" spans="1:46" s="265" customFormat="1" ht="47.25" customHeight="1">
      <c r="A165" s="279">
        <v>40</v>
      </c>
      <c r="B165" s="347" t="s">
        <v>1000</v>
      </c>
      <c r="C165" s="282" t="s">
        <v>907</v>
      </c>
      <c r="D165" s="282" t="s">
        <v>659</v>
      </c>
      <c r="E165" s="282"/>
      <c r="F165" s="348"/>
      <c r="G165" s="282"/>
      <c r="H165" s="285">
        <f t="shared" ref="H165:AR165" si="87">SUM(H166:H168)</f>
        <v>8749</v>
      </c>
      <c r="I165" s="285">
        <f t="shared" si="87"/>
        <v>0</v>
      </c>
      <c r="J165" s="285">
        <f t="shared" si="87"/>
        <v>0</v>
      </c>
      <c r="K165" s="285">
        <f t="shared" si="87"/>
        <v>0</v>
      </c>
      <c r="L165" s="285">
        <f t="shared" si="87"/>
        <v>0</v>
      </c>
      <c r="M165" s="285">
        <f t="shared" si="87"/>
        <v>0</v>
      </c>
      <c r="N165" s="285">
        <f t="shared" si="87"/>
        <v>0</v>
      </c>
      <c r="O165" s="285">
        <f t="shared" si="87"/>
        <v>0</v>
      </c>
      <c r="P165" s="285">
        <f t="shared" si="87"/>
        <v>0</v>
      </c>
      <c r="Q165" s="285">
        <f t="shared" si="87"/>
        <v>0</v>
      </c>
      <c r="R165" s="285">
        <f t="shared" si="87"/>
        <v>0</v>
      </c>
      <c r="S165" s="285">
        <f t="shared" si="87"/>
        <v>0</v>
      </c>
      <c r="T165" s="285">
        <f t="shared" si="87"/>
        <v>0</v>
      </c>
      <c r="U165" s="285">
        <f t="shared" si="87"/>
        <v>0</v>
      </c>
      <c r="V165" s="285">
        <f t="shared" si="87"/>
        <v>0</v>
      </c>
      <c r="W165" s="285">
        <f t="shared" si="87"/>
        <v>0</v>
      </c>
      <c r="X165" s="285">
        <f t="shared" si="87"/>
        <v>0</v>
      </c>
      <c r="Y165" s="285">
        <f t="shared" si="87"/>
        <v>0</v>
      </c>
      <c r="Z165" s="285">
        <f t="shared" si="87"/>
        <v>0</v>
      </c>
      <c r="AA165" s="285">
        <f t="shared" si="87"/>
        <v>0</v>
      </c>
      <c r="AB165" s="285">
        <f t="shared" si="87"/>
        <v>0</v>
      </c>
      <c r="AC165" s="285">
        <f t="shared" si="87"/>
        <v>0</v>
      </c>
      <c r="AD165" s="285">
        <f t="shared" si="87"/>
        <v>0</v>
      </c>
      <c r="AE165" s="285">
        <f t="shared" si="87"/>
        <v>0</v>
      </c>
      <c r="AF165" s="285">
        <f t="shared" si="87"/>
        <v>0</v>
      </c>
      <c r="AG165" s="285">
        <f t="shared" si="87"/>
        <v>0</v>
      </c>
      <c r="AH165" s="285">
        <f t="shared" si="87"/>
        <v>0</v>
      </c>
      <c r="AI165" s="285">
        <f t="shared" si="87"/>
        <v>0</v>
      </c>
      <c r="AJ165" s="285">
        <f t="shared" si="87"/>
        <v>0</v>
      </c>
      <c r="AK165" s="285">
        <f t="shared" si="87"/>
        <v>0</v>
      </c>
      <c r="AL165" s="285">
        <f t="shared" si="87"/>
        <v>0</v>
      </c>
      <c r="AM165" s="285">
        <f t="shared" si="87"/>
        <v>0</v>
      </c>
      <c r="AN165" s="285">
        <f t="shared" si="87"/>
        <v>0</v>
      </c>
      <c r="AO165" s="285">
        <f t="shared" si="87"/>
        <v>0</v>
      </c>
      <c r="AP165" s="285">
        <f t="shared" si="87"/>
        <v>0</v>
      </c>
      <c r="AQ165" s="285">
        <f t="shared" si="87"/>
        <v>0</v>
      </c>
      <c r="AR165" s="285">
        <f t="shared" si="87"/>
        <v>4000</v>
      </c>
      <c r="AS165" s="285">
        <f>SUM(AS166:AS168)</f>
        <v>12500</v>
      </c>
      <c r="AT165" s="350"/>
    </row>
    <row r="166" spans="1:46" ht="47.25" customHeight="1">
      <c r="A166" s="298" t="s">
        <v>1001</v>
      </c>
      <c r="B166" s="299" t="s">
        <v>1002</v>
      </c>
      <c r="C166" s="300" t="s">
        <v>1003</v>
      </c>
      <c r="D166" s="341" t="s">
        <v>705</v>
      </c>
      <c r="E166" s="312"/>
      <c r="F166" s="298" t="s">
        <v>676</v>
      </c>
      <c r="G166" s="307"/>
      <c r="H166" s="295">
        <v>5947</v>
      </c>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c r="AL166" s="285"/>
      <c r="AM166" s="295"/>
      <c r="AN166" s="295"/>
      <c r="AO166" s="295"/>
      <c r="AP166" s="295"/>
      <c r="AQ166" s="285"/>
      <c r="AR166" s="295">
        <v>2500</v>
      </c>
      <c r="AS166" s="295">
        <v>2500</v>
      </c>
      <c r="AT166" s="318"/>
    </row>
    <row r="167" spans="1:46" ht="47.25" customHeight="1">
      <c r="A167" s="298" t="s">
        <v>1004</v>
      </c>
      <c r="B167" s="299" t="s">
        <v>1005</v>
      </c>
      <c r="C167" s="300" t="s">
        <v>1003</v>
      </c>
      <c r="D167" s="341" t="s">
        <v>705</v>
      </c>
      <c r="E167" s="312"/>
      <c r="F167" s="298" t="s">
        <v>676</v>
      </c>
      <c r="G167" s="300" t="s">
        <v>1006</v>
      </c>
      <c r="H167" s="295">
        <v>2802</v>
      </c>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c r="AF167" s="295"/>
      <c r="AG167" s="295"/>
      <c r="AH167" s="295"/>
      <c r="AI167" s="295"/>
      <c r="AJ167" s="295"/>
      <c r="AK167" s="295"/>
      <c r="AL167" s="285"/>
      <c r="AM167" s="295"/>
      <c r="AN167" s="295"/>
      <c r="AO167" s="295"/>
      <c r="AP167" s="295"/>
      <c r="AQ167" s="285"/>
      <c r="AR167" s="295">
        <v>1500</v>
      </c>
      <c r="AS167" s="295">
        <v>1000</v>
      </c>
      <c r="AT167" s="318"/>
    </row>
    <row r="168" spans="1:46" ht="25.5" customHeight="1">
      <c r="A168" s="298" t="s">
        <v>1007</v>
      </c>
      <c r="B168" s="299" t="s">
        <v>1008</v>
      </c>
      <c r="C168" s="300" t="s">
        <v>907</v>
      </c>
      <c r="D168" s="300" t="s">
        <v>659</v>
      </c>
      <c r="E168" s="312"/>
      <c r="F168" s="298"/>
      <c r="G168" s="300"/>
      <c r="H168" s="295"/>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c r="AP168" s="295"/>
      <c r="AQ168" s="295"/>
      <c r="AR168" s="295"/>
      <c r="AS168" s="295">
        <f>6500+1500+1000</f>
        <v>9000</v>
      </c>
      <c r="AT168" s="318"/>
    </row>
    <row r="169" spans="1:46" s="265" customFormat="1" ht="39.75" customHeight="1">
      <c r="A169" s="279" t="s">
        <v>340</v>
      </c>
      <c r="B169" s="297" t="s">
        <v>682</v>
      </c>
      <c r="C169" s="292"/>
      <c r="D169" s="279"/>
      <c r="E169" s="293"/>
      <c r="F169" s="279"/>
      <c r="G169" s="294"/>
      <c r="H169" s="285">
        <f t="shared" ref="H169:AR169" si="88">H170+H201+H202</f>
        <v>723110</v>
      </c>
      <c r="I169" s="285">
        <f t="shared" si="88"/>
        <v>0</v>
      </c>
      <c r="J169" s="285" t="e">
        <f t="shared" si="88"/>
        <v>#REF!</v>
      </c>
      <c r="K169" s="285" t="e">
        <f t="shared" si="88"/>
        <v>#REF!</v>
      </c>
      <c r="L169" s="285" t="e">
        <f t="shared" si="88"/>
        <v>#REF!</v>
      </c>
      <c r="M169" s="285" t="e">
        <f t="shared" si="88"/>
        <v>#REF!</v>
      </c>
      <c r="N169" s="285" t="e">
        <f t="shared" si="88"/>
        <v>#REF!</v>
      </c>
      <c r="O169" s="285" t="e">
        <f t="shared" si="88"/>
        <v>#REF!</v>
      </c>
      <c r="P169" s="285" t="e">
        <f t="shared" si="88"/>
        <v>#REF!</v>
      </c>
      <c r="Q169" s="285" t="e">
        <f t="shared" si="88"/>
        <v>#REF!</v>
      </c>
      <c r="R169" s="285" t="e">
        <f t="shared" si="88"/>
        <v>#REF!</v>
      </c>
      <c r="S169" s="285" t="e">
        <f t="shared" si="88"/>
        <v>#REF!</v>
      </c>
      <c r="T169" s="285" t="e">
        <f t="shared" si="88"/>
        <v>#REF!</v>
      </c>
      <c r="U169" s="285" t="e">
        <f t="shared" si="88"/>
        <v>#REF!</v>
      </c>
      <c r="V169" s="285" t="e">
        <f t="shared" si="88"/>
        <v>#REF!</v>
      </c>
      <c r="W169" s="285" t="e">
        <f t="shared" si="88"/>
        <v>#REF!</v>
      </c>
      <c r="X169" s="285" t="e">
        <f t="shared" si="88"/>
        <v>#REF!</v>
      </c>
      <c r="Y169" s="285" t="e">
        <f t="shared" si="88"/>
        <v>#REF!</v>
      </c>
      <c r="Z169" s="285" t="e">
        <f t="shared" si="88"/>
        <v>#REF!</v>
      </c>
      <c r="AA169" s="285" t="e">
        <f t="shared" si="88"/>
        <v>#REF!</v>
      </c>
      <c r="AB169" s="285" t="e">
        <f t="shared" si="88"/>
        <v>#REF!</v>
      </c>
      <c r="AC169" s="285" t="e">
        <f t="shared" si="88"/>
        <v>#REF!</v>
      </c>
      <c r="AD169" s="285" t="e">
        <f t="shared" si="88"/>
        <v>#REF!</v>
      </c>
      <c r="AE169" s="285" t="e">
        <f t="shared" si="88"/>
        <v>#REF!</v>
      </c>
      <c r="AF169" s="285" t="e">
        <f t="shared" si="88"/>
        <v>#REF!</v>
      </c>
      <c r="AG169" s="285" t="e">
        <f t="shared" si="88"/>
        <v>#REF!</v>
      </c>
      <c r="AH169" s="285" t="e">
        <f t="shared" si="88"/>
        <v>#REF!</v>
      </c>
      <c r="AI169" s="285" t="e">
        <f t="shared" si="88"/>
        <v>#REF!</v>
      </c>
      <c r="AJ169" s="285" t="e">
        <f t="shared" si="88"/>
        <v>#REF!</v>
      </c>
      <c r="AK169" s="285" t="e">
        <f t="shared" si="88"/>
        <v>#REF!</v>
      </c>
      <c r="AL169" s="285" t="e">
        <f t="shared" si="88"/>
        <v>#REF!</v>
      </c>
      <c r="AM169" s="285" t="e">
        <f t="shared" si="88"/>
        <v>#REF!</v>
      </c>
      <c r="AN169" s="285" t="e">
        <f t="shared" si="88"/>
        <v>#REF!</v>
      </c>
      <c r="AO169" s="285" t="e">
        <f t="shared" si="88"/>
        <v>#REF!</v>
      </c>
      <c r="AP169" s="285" t="e">
        <f t="shared" si="88"/>
        <v>#REF!</v>
      </c>
      <c r="AQ169" s="285" t="e">
        <f t="shared" si="88"/>
        <v>#REF!</v>
      </c>
      <c r="AR169" s="285">
        <f t="shared" si="88"/>
        <v>0</v>
      </c>
      <c r="AS169" s="285">
        <f>AS170+AS201+AS202</f>
        <v>298600</v>
      </c>
      <c r="AT169" s="350"/>
    </row>
    <row r="170" spans="1:46" s="265" customFormat="1" ht="36.75" customHeight="1">
      <c r="A170" s="298" t="s">
        <v>1009</v>
      </c>
      <c r="B170" s="297" t="s">
        <v>911</v>
      </c>
      <c r="C170" s="292"/>
      <c r="D170" s="279"/>
      <c r="E170" s="293"/>
      <c r="F170" s="298"/>
      <c r="G170" s="294"/>
      <c r="H170" s="285">
        <f t="shared" ref="H170:AR170" si="89">SUM(H171:H200)</f>
        <v>439021</v>
      </c>
      <c r="I170" s="285">
        <f t="shared" si="89"/>
        <v>0</v>
      </c>
      <c r="J170" s="285">
        <f t="shared" si="89"/>
        <v>0</v>
      </c>
      <c r="K170" s="285">
        <f t="shared" si="89"/>
        <v>0</v>
      </c>
      <c r="L170" s="285">
        <f t="shared" si="89"/>
        <v>0</v>
      </c>
      <c r="M170" s="285">
        <f t="shared" si="89"/>
        <v>0</v>
      </c>
      <c r="N170" s="285">
        <f t="shared" si="89"/>
        <v>0</v>
      </c>
      <c r="O170" s="285">
        <f t="shared" si="89"/>
        <v>0</v>
      </c>
      <c r="P170" s="285">
        <f t="shared" si="89"/>
        <v>0</v>
      </c>
      <c r="Q170" s="285">
        <f t="shared" si="89"/>
        <v>0</v>
      </c>
      <c r="R170" s="285">
        <f t="shared" si="89"/>
        <v>0</v>
      </c>
      <c r="S170" s="285">
        <f t="shared" si="89"/>
        <v>0</v>
      </c>
      <c r="T170" s="285">
        <f t="shared" si="89"/>
        <v>0</v>
      </c>
      <c r="U170" s="285">
        <f t="shared" si="89"/>
        <v>0</v>
      </c>
      <c r="V170" s="285">
        <f t="shared" si="89"/>
        <v>0</v>
      </c>
      <c r="W170" s="285">
        <f t="shared" si="89"/>
        <v>0</v>
      </c>
      <c r="X170" s="285">
        <f t="shared" si="89"/>
        <v>0</v>
      </c>
      <c r="Y170" s="285">
        <f t="shared" si="89"/>
        <v>0</v>
      </c>
      <c r="Z170" s="285">
        <f t="shared" si="89"/>
        <v>0</v>
      </c>
      <c r="AA170" s="285">
        <f t="shared" si="89"/>
        <v>0</v>
      </c>
      <c r="AB170" s="285">
        <f t="shared" si="89"/>
        <v>0</v>
      </c>
      <c r="AC170" s="285">
        <f t="shared" si="89"/>
        <v>0</v>
      </c>
      <c r="AD170" s="285">
        <f t="shared" si="89"/>
        <v>0</v>
      </c>
      <c r="AE170" s="285">
        <f t="shared" si="89"/>
        <v>0</v>
      </c>
      <c r="AF170" s="285">
        <f t="shared" si="89"/>
        <v>0</v>
      </c>
      <c r="AG170" s="285">
        <f t="shared" si="89"/>
        <v>0</v>
      </c>
      <c r="AH170" s="285">
        <f t="shared" si="89"/>
        <v>0</v>
      </c>
      <c r="AI170" s="285">
        <f t="shared" si="89"/>
        <v>0</v>
      </c>
      <c r="AJ170" s="285">
        <f t="shared" si="89"/>
        <v>0</v>
      </c>
      <c r="AK170" s="285">
        <f t="shared" si="89"/>
        <v>0</v>
      </c>
      <c r="AL170" s="285">
        <f t="shared" si="89"/>
        <v>0</v>
      </c>
      <c r="AM170" s="285">
        <f t="shared" si="89"/>
        <v>0</v>
      </c>
      <c r="AN170" s="285">
        <f t="shared" si="89"/>
        <v>0</v>
      </c>
      <c r="AO170" s="285">
        <f t="shared" si="89"/>
        <v>0</v>
      </c>
      <c r="AP170" s="285">
        <f t="shared" si="89"/>
        <v>0</v>
      </c>
      <c r="AQ170" s="285">
        <f t="shared" si="89"/>
        <v>0</v>
      </c>
      <c r="AR170" s="285">
        <f t="shared" si="89"/>
        <v>0</v>
      </c>
      <c r="AS170" s="285">
        <f>SUM(AS171:AS200)</f>
        <v>155000</v>
      </c>
      <c r="AT170" s="296"/>
    </row>
    <row r="171" spans="1:46" s="265" customFormat="1" ht="28.5" customHeight="1">
      <c r="A171" s="298">
        <v>1</v>
      </c>
      <c r="B171" s="305" t="s">
        <v>1010</v>
      </c>
      <c r="C171" s="300" t="s">
        <v>700</v>
      </c>
      <c r="D171" s="300" t="s">
        <v>700</v>
      </c>
      <c r="E171" s="300"/>
      <c r="F171" s="312" t="s">
        <v>684</v>
      </c>
      <c r="G171" s="300" t="s">
        <v>1011</v>
      </c>
      <c r="H171" s="295">
        <v>10221</v>
      </c>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5"/>
      <c r="AF171" s="295"/>
      <c r="AG171" s="295"/>
      <c r="AH171" s="295"/>
      <c r="AI171" s="295"/>
      <c r="AJ171" s="295"/>
      <c r="AK171" s="295"/>
      <c r="AL171" s="285">
        <f t="shared" si="75"/>
        <v>0</v>
      </c>
      <c r="AM171" s="295"/>
      <c r="AN171" s="295"/>
      <c r="AO171" s="285">
        <f t="shared" si="77"/>
        <v>0</v>
      </c>
      <c r="AP171" s="295"/>
      <c r="AQ171" s="285"/>
      <c r="AR171" s="295">
        <v>0</v>
      </c>
      <c r="AS171" s="295">
        <v>4500</v>
      </c>
      <c r="AT171" s="313"/>
    </row>
    <row r="172" spans="1:46" s="265" customFormat="1" ht="69.75" customHeight="1">
      <c r="A172" s="298">
        <v>2</v>
      </c>
      <c r="B172" s="351" t="s">
        <v>1012</v>
      </c>
      <c r="C172" s="352" t="s">
        <v>744</v>
      </c>
      <c r="D172" s="352" t="s">
        <v>744</v>
      </c>
      <c r="E172" s="300"/>
      <c r="F172" s="312" t="s">
        <v>684</v>
      </c>
      <c r="G172" s="300" t="s">
        <v>1013</v>
      </c>
      <c r="H172" s="353">
        <v>14178</v>
      </c>
      <c r="I172" s="354"/>
      <c r="J172" s="295"/>
      <c r="K172" s="295"/>
      <c r="L172" s="295"/>
      <c r="M172" s="295"/>
      <c r="N172" s="295"/>
      <c r="O172" s="295"/>
      <c r="P172" s="295"/>
      <c r="Q172" s="295"/>
      <c r="R172" s="295"/>
      <c r="S172" s="295"/>
      <c r="T172" s="295"/>
      <c r="U172" s="295"/>
      <c r="V172" s="295"/>
      <c r="W172" s="295"/>
      <c r="X172" s="295"/>
      <c r="Y172" s="295"/>
      <c r="Z172" s="295"/>
      <c r="AA172" s="295"/>
      <c r="AB172" s="295"/>
      <c r="AC172" s="295"/>
      <c r="AD172" s="295"/>
      <c r="AE172" s="295"/>
      <c r="AF172" s="295"/>
      <c r="AG172" s="295"/>
      <c r="AH172" s="295"/>
      <c r="AI172" s="295"/>
      <c r="AJ172" s="295"/>
      <c r="AK172" s="295"/>
      <c r="AL172" s="285">
        <f t="shared" si="75"/>
        <v>0</v>
      </c>
      <c r="AM172" s="295"/>
      <c r="AN172" s="295"/>
      <c r="AO172" s="285">
        <f t="shared" si="77"/>
        <v>0</v>
      </c>
      <c r="AP172" s="295"/>
      <c r="AQ172" s="285"/>
      <c r="AR172" s="295">
        <v>0</v>
      </c>
      <c r="AS172" s="295">
        <v>4500</v>
      </c>
      <c r="AT172" s="313"/>
    </row>
    <row r="173" spans="1:46" s="265" customFormat="1" ht="24" customHeight="1">
      <c r="A173" s="298">
        <v>3</v>
      </c>
      <c r="B173" s="351" t="s">
        <v>1014</v>
      </c>
      <c r="C173" s="352" t="s">
        <v>744</v>
      </c>
      <c r="D173" s="352" t="s">
        <v>744</v>
      </c>
      <c r="E173" s="300"/>
      <c r="F173" s="312" t="s">
        <v>684</v>
      </c>
      <c r="G173" s="300"/>
      <c r="H173" s="353">
        <v>29763</v>
      </c>
      <c r="I173" s="354"/>
      <c r="J173" s="295"/>
      <c r="K173" s="295"/>
      <c r="L173" s="295"/>
      <c r="M173" s="295"/>
      <c r="N173" s="295"/>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85"/>
      <c r="AM173" s="295"/>
      <c r="AN173" s="295"/>
      <c r="AO173" s="285"/>
      <c r="AP173" s="295"/>
      <c r="AQ173" s="285"/>
      <c r="AR173" s="295">
        <v>0</v>
      </c>
      <c r="AS173" s="295">
        <v>10000</v>
      </c>
      <c r="AT173" s="313"/>
    </row>
    <row r="174" spans="1:46" s="265" customFormat="1" ht="37.5" customHeight="1">
      <c r="A174" s="298">
        <v>4</v>
      </c>
      <c r="B174" s="355" t="s">
        <v>1015</v>
      </c>
      <c r="C174" s="352" t="s">
        <v>700</v>
      </c>
      <c r="D174" s="352" t="s">
        <v>700</v>
      </c>
      <c r="E174" s="300"/>
      <c r="F174" s="312" t="s">
        <v>684</v>
      </c>
      <c r="G174" s="300" t="s">
        <v>1016</v>
      </c>
      <c r="H174" s="356">
        <v>14533</v>
      </c>
      <c r="I174" s="357"/>
      <c r="J174" s="295"/>
      <c r="K174" s="295"/>
      <c r="L174" s="295"/>
      <c r="M174" s="295"/>
      <c r="N174" s="295"/>
      <c r="O174" s="295"/>
      <c r="P174" s="295"/>
      <c r="Q174" s="295"/>
      <c r="R174" s="295"/>
      <c r="S174" s="295"/>
      <c r="T174" s="295"/>
      <c r="U174" s="295"/>
      <c r="V174" s="295"/>
      <c r="W174" s="295"/>
      <c r="X174" s="295"/>
      <c r="Y174" s="295"/>
      <c r="Z174" s="295"/>
      <c r="AA174" s="295"/>
      <c r="AB174" s="295"/>
      <c r="AC174" s="295"/>
      <c r="AD174" s="295"/>
      <c r="AE174" s="295"/>
      <c r="AF174" s="295"/>
      <c r="AG174" s="295"/>
      <c r="AH174" s="295"/>
      <c r="AI174" s="295"/>
      <c r="AJ174" s="295"/>
      <c r="AK174" s="295"/>
      <c r="AL174" s="285">
        <f t="shared" si="75"/>
        <v>0</v>
      </c>
      <c r="AM174" s="295"/>
      <c r="AN174" s="295"/>
      <c r="AO174" s="285">
        <f t="shared" si="77"/>
        <v>0</v>
      </c>
      <c r="AP174" s="295"/>
      <c r="AQ174" s="285"/>
      <c r="AR174" s="295">
        <v>0</v>
      </c>
      <c r="AS174" s="295">
        <v>4000</v>
      </c>
      <c r="AT174" s="313"/>
    </row>
    <row r="175" spans="1:46" s="265" customFormat="1" ht="25.5" customHeight="1">
      <c r="A175" s="298">
        <v>5</v>
      </c>
      <c r="B175" s="351" t="s">
        <v>1017</v>
      </c>
      <c r="C175" s="352" t="s">
        <v>730</v>
      </c>
      <c r="D175" s="352" t="s">
        <v>730</v>
      </c>
      <c r="E175" s="300"/>
      <c r="F175" s="312" t="s">
        <v>684</v>
      </c>
      <c r="G175" s="300" t="s">
        <v>1018</v>
      </c>
      <c r="H175" s="353">
        <v>14500</v>
      </c>
      <c r="I175" s="354"/>
      <c r="J175" s="295"/>
      <c r="K175" s="295"/>
      <c r="L175" s="295"/>
      <c r="M175" s="295"/>
      <c r="N175" s="295"/>
      <c r="O175" s="295"/>
      <c r="P175" s="295"/>
      <c r="Q175" s="295"/>
      <c r="R175" s="295"/>
      <c r="S175" s="295"/>
      <c r="T175" s="295"/>
      <c r="U175" s="295"/>
      <c r="V175" s="295"/>
      <c r="W175" s="295"/>
      <c r="X175" s="295"/>
      <c r="Y175" s="295"/>
      <c r="Z175" s="295"/>
      <c r="AA175" s="295"/>
      <c r="AB175" s="295"/>
      <c r="AC175" s="295"/>
      <c r="AD175" s="295"/>
      <c r="AE175" s="295"/>
      <c r="AF175" s="295"/>
      <c r="AG175" s="295"/>
      <c r="AH175" s="295"/>
      <c r="AI175" s="295"/>
      <c r="AJ175" s="295"/>
      <c r="AK175" s="295"/>
      <c r="AL175" s="285">
        <f t="shared" si="75"/>
        <v>0</v>
      </c>
      <c r="AM175" s="295"/>
      <c r="AN175" s="295"/>
      <c r="AO175" s="285">
        <f t="shared" si="77"/>
        <v>0</v>
      </c>
      <c r="AP175" s="295"/>
      <c r="AQ175" s="285"/>
      <c r="AR175" s="295">
        <v>0</v>
      </c>
      <c r="AS175" s="295">
        <v>4500</v>
      </c>
      <c r="AT175" s="313"/>
    </row>
    <row r="176" spans="1:46" s="265" customFormat="1" ht="36" customHeight="1">
      <c r="A176" s="298">
        <v>6</v>
      </c>
      <c r="B176" s="354" t="s">
        <v>1019</v>
      </c>
      <c r="C176" s="300" t="s">
        <v>705</v>
      </c>
      <c r="D176" s="300" t="s">
        <v>705</v>
      </c>
      <c r="E176" s="300"/>
      <c r="F176" s="312" t="s">
        <v>684</v>
      </c>
      <c r="G176" s="300" t="s">
        <v>1020</v>
      </c>
      <c r="H176" s="353">
        <v>14700</v>
      </c>
      <c r="I176" s="358"/>
      <c r="J176" s="295"/>
      <c r="K176" s="295"/>
      <c r="L176" s="295"/>
      <c r="M176" s="295"/>
      <c r="N176" s="295"/>
      <c r="O176" s="295"/>
      <c r="P176" s="295"/>
      <c r="Q176" s="295"/>
      <c r="R176" s="295"/>
      <c r="S176" s="295"/>
      <c r="T176" s="295"/>
      <c r="U176" s="295"/>
      <c r="V176" s="295"/>
      <c r="W176" s="295"/>
      <c r="X176" s="295"/>
      <c r="Y176" s="295"/>
      <c r="Z176" s="295"/>
      <c r="AA176" s="295"/>
      <c r="AB176" s="295"/>
      <c r="AC176" s="295"/>
      <c r="AD176" s="295"/>
      <c r="AE176" s="295"/>
      <c r="AF176" s="295"/>
      <c r="AG176" s="295"/>
      <c r="AH176" s="295"/>
      <c r="AI176" s="295"/>
      <c r="AJ176" s="295"/>
      <c r="AK176" s="295"/>
      <c r="AL176" s="285">
        <f t="shared" si="75"/>
        <v>0</v>
      </c>
      <c r="AM176" s="295"/>
      <c r="AN176" s="295"/>
      <c r="AO176" s="285">
        <f t="shared" si="77"/>
        <v>0</v>
      </c>
      <c r="AP176" s="295"/>
      <c r="AQ176" s="285"/>
      <c r="AR176" s="295">
        <v>0</v>
      </c>
      <c r="AS176" s="295">
        <v>5000</v>
      </c>
      <c r="AT176" s="313"/>
    </row>
    <row r="177" spans="1:46" s="265" customFormat="1" ht="28.5" customHeight="1">
      <c r="A177" s="298">
        <v>7</v>
      </c>
      <c r="B177" s="359" t="s">
        <v>1021</v>
      </c>
      <c r="C177" s="300" t="s">
        <v>679</v>
      </c>
      <c r="D177" s="300" t="s">
        <v>679</v>
      </c>
      <c r="E177" s="300"/>
      <c r="F177" s="312" t="s">
        <v>684</v>
      </c>
      <c r="G177" s="300" t="s">
        <v>1022</v>
      </c>
      <c r="H177" s="356">
        <v>12000</v>
      </c>
      <c r="I177" s="360"/>
      <c r="J177" s="295"/>
      <c r="K177" s="295"/>
      <c r="L177" s="295"/>
      <c r="M177" s="295"/>
      <c r="N177" s="295"/>
      <c r="O177" s="295"/>
      <c r="P177" s="295"/>
      <c r="Q177" s="295"/>
      <c r="R177" s="295"/>
      <c r="S177" s="295"/>
      <c r="T177" s="295"/>
      <c r="U177" s="295"/>
      <c r="V177" s="295"/>
      <c r="W177" s="295"/>
      <c r="X177" s="295"/>
      <c r="Y177" s="295"/>
      <c r="Z177" s="295"/>
      <c r="AA177" s="295"/>
      <c r="AB177" s="295"/>
      <c r="AC177" s="295"/>
      <c r="AD177" s="295"/>
      <c r="AE177" s="295"/>
      <c r="AF177" s="295"/>
      <c r="AG177" s="295"/>
      <c r="AH177" s="295"/>
      <c r="AI177" s="295"/>
      <c r="AJ177" s="295"/>
      <c r="AK177" s="295"/>
      <c r="AL177" s="285">
        <f t="shared" si="75"/>
        <v>0</v>
      </c>
      <c r="AM177" s="295"/>
      <c r="AN177" s="295"/>
      <c r="AO177" s="285">
        <f t="shared" si="77"/>
        <v>0</v>
      </c>
      <c r="AP177" s="295"/>
      <c r="AQ177" s="285"/>
      <c r="AR177" s="295">
        <v>0</v>
      </c>
      <c r="AS177" s="295">
        <v>4500</v>
      </c>
      <c r="AT177" s="313"/>
    </row>
    <row r="178" spans="1:46" s="265" customFormat="1" ht="47.25" customHeight="1">
      <c r="A178" s="298">
        <v>8</v>
      </c>
      <c r="B178" s="359" t="s">
        <v>1023</v>
      </c>
      <c r="C178" s="300" t="s">
        <v>679</v>
      </c>
      <c r="D178" s="300" t="s">
        <v>679</v>
      </c>
      <c r="E178" s="300"/>
      <c r="F178" s="312" t="s">
        <v>684</v>
      </c>
      <c r="G178" s="300" t="s">
        <v>1024</v>
      </c>
      <c r="H178" s="353">
        <v>14700</v>
      </c>
      <c r="I178" s="360"/>
      <c r="J178" s="295"/>
      <c r="K178" s="295"/>
      <c r="L178" s="295"/>
      <c r="M178" s="295"/>
      <c r="N178" s="295"/>
      <c r="O178" s="295"/>
      <c r="P178" s="295"/>
      <c r="Q178" s="295"/>
      <c r="R178" s="295"/>
      <c r="S178" s="295"/>
      <c r="T178" s="295"/>
      <c r="U178" s="295"/>
      <c r="V178" s="295"/>
      <c r="W178" s="295"/>
      <c r="X178" s="295"/>
      <c r="Y178" s="295"/>
      <c r="Z178" s="295"/>
      <c r="AA178" s="295"/>
      <c r="AB178" s="295"/>
      <c r="AC178" s="295"/>
      <c r="AD178" s="295"/>
      <c r="AE178" s="295"/>
      <c r="AF178" s="295"/>
      <c r="AG178" s="295"/>
      <c r="AH178" s="295"/>
      <c r="AI178" s="295"/>
      <c r="AJ178" s="295"/>
      <c r="AK178" s="295"/>
      <c r="AL178" s="285">
        <f t="shared" si="75"/>
        <v>0</v>
      </c>
      <c r="AM178" s="295"/>
      <c r="AN178" s="295"/>
      <c r="AO178" s="285">
        <f t="shared" si="77"/>
        <v>0</v>
      </c>
      <c r="AP178" s="295"/>
      <c r="AQ178" s="285"/>
      <c r="AR178" s="295">
        <v>0</v>
      </c>
      <c r="AS178" s="361">
        <v>4500</v>
      </c>
      <c r="AT178" s="313"/>
    </row>
    <row r="179" spans="1:46" s="265" customFormat="1" ht="47.25" customHeight="1">
      <c r="A179" s="298">
        <v>9</v>
      </c>
      <c r="B179" s="359" t="s">
        <v>1025</v>
      </c>
      <c r="C179" s="300" t="s">
        <v>689</v>
      </c>
      <c r="D179" s="300" t="s">
        <v>689</v>
      </c>
      <c r="E179" s="300"/>
      <c r="F179" s="312" t="s">
        <v>684</v>
      </c>
      <c r="G179" s="307" t="s">
        <v>1026</v>
      </c>
      <c r="H179" s="353">
        <v>12855</v>
      </c>
      <c r="I179" s="360"/>
      <c r="J179" s="295"/>
      <c r="K179" s="295"/>
      <c r="L179" s="295"/>
      <c r="M179" s="295"/>
      <c r="N179" s="295"/>
      <c r="O179" s="295"/>
      <c r="P179" s="295"/>
      <c r="Q179" s="295"/>
      <c r="R179" s="295"/>
      <c r="S179" s="295"/>
      <c r="T179" s="295"/>
      <c r="U179" s="295"/>
      <c r="V179" s="295"/>
      <c r="W179" s="295"/>
      <c r="X179" s="295"/>
      <c r="Y179" s="295"/>
      <c r="Z179" s="295"/>
      <c r="AA179" s="295"/>
      <c r="AB179" s="295"/>
      <c r="AC179" s="295"/>
      <c r="AD179" s="295"/>
      <c r="AE179" s="295"/>
      <c r="AF179" s="295"/>
      <c r="AG179" s="295"/>
      <c r="AH179" s="295"/>
      <c r="AI179" s="295"/>
      <c r="AJ179" s="295"/>
      <c r="AK179" s="295"/>
      <c r="AL179" s="285">
        <f t="shared" si="75"/>
        <v>0</v>
      </c>
      <c r="AM179" s="295"/>
      <c r="AN179" s="295"/>
      <c r="AO179" s="285">
        <f t="shared" si="77"/>
        <v>0</v>
      </c>
      <c r="AP179" s="295"/>
      <c r="AQ179" s="285"/>
      <c r="AR179" s="295">
        <v>0</v>
      </c>
      <c r="AS179" s="361">
        <v>3500</v>
      </c>
      <c r="AT179" s="313"/>
    </row>
    <row r="180" spans="1:46" s="265" customFormat="1" ht="47.25" customHeight="1">
      <c r="A180" s="298">
        <v>10</v>
      </c>
      <c r="B180" s="351" t="s">
        <v>1027</v>
      </c>
      <c r="C180" s="300" t="s">
        <v>669</v>
      </c>
      <c r="D180" s="300" t="s">
        <v>669</v>
      </c>
      <c r="E180" s="300"/>
      <c r="F180" s="312" t="s">
        <v>684</v>
      </c>
      <c r="G180" s="300" t="s">
        <v>1028</v>
      </c>
      <c r="H180" s="353">
        <v>10046</v>
      </c>
      <c r="I180" s="354"/>
      <c r="J180" s="295"/>
      <c r="K180" s="295"/>
      <c r="L180" s="295"/>
      <c r="M180" s="295"/>
      <c r="N180" s="295"/>
      <c r="O180" s="295"/>
      <c r="P180" s="295"/>
      <c r="Q180" s="295"/>
      <c r="R180" s="295"/>
      <c r="S180" s="295"/>
      <c r="T180" s="295"/>
      <c r="U180" s="295"/>
      <c r="V180" s="295"/>
      <c r="W180" s="295"/>
      <c r="X180" s="295"/>
      <c r="Y180" s="295"/>
      <c r="Z180" s="295"/>
      <c r="AA180" s="295"/>
      <c r="AB180" s="295"/>
      <c r="AC180" s="295"/>
      <c r="AD180" s="295"/>
      <c r="AE180" s="295"/>
      <c r="AF180" s="295"/>
      <c r="AG180" s="295"/>
      <c r="AH180" s="295"/>
      <c r="AI180" s="295"/>
      <c r="AJ180" s="295"/>
      <c r="AK180" s="295"/>
      <c r="AL180" s="285">
        <f t="shared" si="75"/>
        <v>0</v>
      </c>
      <c r="AM180" s="295"/>
      <c r="AN180" s="295"/>
      <c r="AO180" s="285">
        <f t="shared" si="77"/>
        <v>0</v>
      </c>
      <c r="AP180" s="295"/>
      <c r="AQ180" s="285"/>
      <c r="AR180" s="295">
        <v>0</v>
      </c>
      <c r="AS180" s="295">
        <v>4000</v>
      </c>
      <c r="AT180" s="313"/>
    </row>
    <row r="181" spans="1:46" s="265" customFormat="1" ht="47.25" customHeight="1">
      <c r="A181" s="298">
        <v>11</v>
      </c>
      <c r="B181" s="362" t="s">
        <v>1029</v>
      </c>
      <c r="C181" s="300" t="s">
        <v>946</v>
      </c>
      <c r="D181" s="300" t="s">
        <v>946</v>
      </c>
      <c r="E181" s="300"/>
      <c r="F181" s="312" t="s">
        <v>745</v>
      </c>
      <c r="G181" s="300"/>
      <c r="H181" s="353">
        <v>24394</v>
      </c>
      <c r="I181" s="358"/>
      <c r="J181" s="295"/>
      <c r="K181" s="295"/>
      <c r="L181" s="295"/>
      <c r="M181" s="295"/>
      <c r="N181" s="295"/>
      <c r="O181" s="295"/>
      <c r="P181" s="295"/>
      <c r="Q181" s="295"/>
      <c r="R181" s="295"/>
      <c r="S181" s="295"/>
      <c r="T181" s="295"/>
      <c r="U181" s="295"/>
      <c r="V181" s="295"/>
      <c r="W181" s="295"/>
      <c r="X181" s="295"/>
      <c r="Y181" s="295"/>
      <c r="Z181" s="295"/>
      <c r="AA181" s="295"/>
      <c r="AB181" s="295"/>
      <c r="AC181" s="295"/>
      <c r="AD181" s="295"/>
      <c r="AE181" s="295"/>
      <c r="AF181" s="295"/>
      <c r="AG181" s="295"/>
      <c r="AH181" s="295"/>
      <c r="AI181" s="295"/>
      <c r="AJ181" s="295"/>
      <c r="AK181" s="295"/>
      <c r="AL181" s="285">
        <f t="shared" si="75"/>
        <v>0</v>
      </c>
      <c r="AM181" s="295"/>
      <c r="AN181" s="295"/>
      <c r="AO181" s="285">
        <f t="shared" si="77"/>
        <v>0</v>
      </c>
      <c r="AP181" s="295"/>
      <c r="AQ181" s="285"/>
      <c r="AR181" s="295">
        <v>0</v>
      </c>
      <c r="AS181" s="295">
        <v>9000</v>
      </c>
      <c r="AT181" s="313"/>
    </row>
    <row r="182" spans="1:46" s="265" customFormat="1" ht="47.25" customHeight="1">
      <c r="A182" s="298">
        <v>12</v>
      </c>
      <c r="B182" s="354" t="s">
        <v>1030</v>
      </c>
      <c r="C182" s="300" t="s">
        <v>705</v>
      </c>
      <c r="D182" s="300" t="s">
        <v>705</v>
      </c>
      <c r="E182" s="300"/>
      <c r="F182" s="312" t="s">
        <v>684</v>
      </c>
      <c r="G182" s="300" t="s">
        <v>1031</v>
      </c>
      <c r="H182" s="353">
        <v>14850</v>
      </c>
      <c r="I182" s="358"/>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5"/>
      <c r="AF182" s="295"/>
      <c r="AG182" s="295"/>
      <c r="AH182" s="295"/>
      <c r="AI182" s="295"/>
      <c r="AJ182" s="295"/>
      <c r="AK182" s="295"/>
      <c r="AL182" s="285">
        <f t="shared" si="75"/>
        <v>0</v>
      </c>
      <c r="AM182" s="295"/>
      <c r="AN182" s="295"/>
      <c r="AO182" s="285">
        <f t="shared" si="77"/>
        <v>0</v>
      </c>
      <c r="AP182" s="295"/>
      <c r="AQ182" s="285"/>
      <c r="AR182" s="295">
        <v>0</v>
      </c>
      <c r="AS182" s="295">
        <v>5000</v>
      </c>
      <c r="AT182" s="313"/>
    </row>
    <row r="183" spans="1:46" ht="47.25" customHeight="1">
      <c r="A183" s="298">
        <v>13</v>
      </c>
      <c r="B183" s="363" t="s">
        <v>1032</v>
      </c>
      <c r="C183" s="300" t="s">
        <v>669</v>
      </c>
      <c r="D183" s="300" t="s">
        <v>669</v>
      </c>
      <c r="E183" s="300"/>
      <c r="F183" s="312" t="s">
        <v>684</v>
      </c>
      <c r="G183" s="300" t="s">
        <v>1033</v>
      </c>
      <c r="H183" s="353">
        <v>14500</v>
      </c>
      <c r="I183" s="358"/>
      <c r="J183" s="295"/>
      <c r="K183" s="295"/>
      <c r="L183" s="295"/>
      <c r="M183" s="295"/>
      <c r="N183" s="295"/>
      <c r="O183" s="295"/>
      <c r="P183" s="295"/>
      <c r="Q183" s="295"/>
      <c r="R183" s="295"/>
      <c r="S183" s="295"/>
      <c r="T183" s="295"/>
      <c r="U183" s="295"/>
      <c r="V183" s="295"/>
      <c r="W183" s="295"/>
      <c r="X183" s="295"/>
      <c r="Y183" s="295"/>
      <c r="Z183" s="295"/>
      <c r="AA183" s="295"/>
      <c r="AB183" s="295"/>
      <c r="AC183" s="295"/>
      <c r="AD183" s="295"/>
      <c r="AE183" s="295"/>
      <c r="AF183" s="295"/>
      <c r="AG183" s="295"/>
      <c r="AH183" s="295"/>
      <c r="AI183" s="295"/>
      <c r="AJ183" s="295"/>
      <c r="AK183" s="295"/>
      <c r="AL183" s="285">
        <f t="shared" si="75"/>
        <v>0</v>
      </c>
      <c r="AM183" s="295"/>
      <c r="AN183" s="295"/>
      <c r="AO183" s="285">
        <f t="shared" si="77"/>
        <v>0</v>
      </c>
      <c r="AP183" s="295"/>
      <c r="AQ183" s="295"/>
      <c r="AR183" s="295">
        <v>0</v>
      </c>
      <c r="AS183" s="295">
        <v>5500</v>
      </c>
      <c r="AT183" s="313"/>
    </row>
    <row r="184" spans="1:46" s="265" customFormat="1" ht="47.25" customHeight="1">
      <c r="A184" s="298">
        <v>14</v>
      </c>
      <c r="B184" s="351" t="s">
        <v>1034</v>
      </c>
      <c r="C184" s="300" t="s">
        <v>744</v>
      </c>
      <c r="D184" s="300" t="s">
        <v>744</v>
      </c>
      <c r="E184" s="300"/>
      <c r="F184" s="312" t="s">
        <v>745</v>
      </c>
      <c r="G184" s="300"/>
      <c r="H184" s="353">
        <v>30930</v>
      </c>
      <c r="I184" s="354"/>
      <c r="J184" s="295"/>
      <c r="K184" s="295"/>
      <c r="L184" s="295"/>
      <c r="M184" s="295"/>
      <c r="N184" s="295"/>
      <c r="O184" s="295"/>
      <c r="P184" s="295"/>
      <c r="Q184" s="295"/>
      <c r="R184" s="295"/>
      <c r="S184" s="295"/>
      <c r="T184" s="295"/>
      <c r="U184" s="295"/>
      <c r="V184" s="295"/>
      <c r="W184" s="295"/>
      <c r="X184" s="295"/>
      <c r="Y184" s="295"/>
      <c r="Z184" s="295"/>
      <c r="AA184" s="295"/>
      <c r="AB184" s="295"/>
      <c r="AC184" s="295"/>
      <c r="AD184" s="295"/>
      <c r="AE184" s="295"/>
      <c r="AF184" s="295"/>
      <c r="AG184" s="295"/>
      <c r="AH184" s="295"/>
      <c r="AI184" s="295"/>
      <c r="AJ184" s="295"/>
      <c r="AK184" s="295"/>
      <c r="AL184" s="285">
        <f t="shared" si="75"/>
        <v>0</v>
      </c>
      <c r="AM184" s="295"/>
      <c r="AN184" s="295"/>
      <c r="AO184" s="285">
        <f t="shared" si="77"/>
        <v>0</v>
      </c>
      <c r="AP184" s="295"/>
      <c r="AQ184" s="285"/>
      <c r="AR184" s="295">
        <v>0</v>
      </c>
      <c r="AS184" s="295">
        <v>10000</v>
      </c>
      <c r="AT184" s="313"/>
    </row>
    <row r="185" spans="1:46" s="265" customFormat="1" ht="47.25" customHeight="1">
      <c r="A185" s="298">
        <v>15</v>
      </c>
      <c r="B185" s="355" t="s">
        <v>1035</v>
      </c>
      <c r="C185" s="300" t="s">
        <v>700</v>
      </c>
      <c r="D185" s="300" t="s">
        <v>700</v>
      </c>
      <c r="E185" s="300"/>
      <c r="F185" s="312" t="s">
        <v>684</v>
      </c>
      <c r="G185" s="300" t="s">
        <v>1036</v>
      </c>
      <c r="H185" s="353">
        <v>10680</v>
      </c>
      <c r="I185" s="357"/>
      <c r="J185" s="295"/>
      <c r="K185" s="295"/>
      <c r="L185" s="295"/>
      <c r="M185" s="295"/>
      <c r="N185" s="295"/>
      <c r="O185" s="295"/>
      <c r="P185" s="295"/>
      <c r="Q185" s="295"/>
      <c r="R185" s="295"/>
      <c r="S185" s="295"/>
      <c r="T185" s="295"/>
      <c r="U185" s="295"/>
      <c r="V185" s="295"/>
      <c r="W185" s="295"/>
      <c r="X185" s="295"/>
      <c r="Y185" s="295"/>
      <c r="Z185" s="295"/>
      <c r="AA185" s="295"/>
      <c r="AB185" s="295"/>
      <c r="AC185" s="295"/>
      <c r="AD185" s="295"/>
      <c r="AE185" s="295"/>
      <c r="AF185" s="295"/>
      <c r="AG185" s="295"/>
      <c r="AH185" s="295"/>
      <c r="AI185" s="295"/>
      <c r="AJ185" s="295"/>
      <c r="AK185" s="295"/>
      <c r="AL185" s="285">
        <f t="shared" si="75"/>
        <v>0</v>
      </c>
      <c r="AM185" s="295"/>
      <c r="AN185" s="295"/>
      <c r="AO185" s="285">
        <f t="shared" si="77"/>
        <v>0</v>
      </c>
      <c r="AP185" s="295"/>
      <c r="AQ185" s="285"/>
      <c r="AR185" s="295">
        <v>0</v>
      </c>
      <c r="AS185" s="295">
        <v>4000</v>
      </c>
      <c r="AT185" s="313"/>
    </row>
    <row r="186" spans="1:46" s="265" customFormat="1" ht="47.25" customHeight="1">
      <c r="A186" s="298">
        <v>16</v>
      </c>
      <c r="B186" s="359" t="s">
        <v>1037</v>
      </c>
      <c r="C186" s="300" t="s">
        <v>679</v>
      </c>
      <c r="D186" s="300" t="s">
        <v>679</v>
      </c>
      <c r="E186" s="300"/>
      <c r="F186" s="312" t="s">
        <v>684</v>
      </c>
      <c r="G186" s="300"/>
      <c r="H186" s="353">
        <v>22646</v>
      </c>
      <c r="I186" s="364"/>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85">
        <f t="shared" si="75"/>
        <v>0</v>
      </c>
      <c r="AM186" s="295"/>
      <c r="AN186" s="295"/>
      <c r="AO186" s="285">
        <f t="shared" si="77"/>
        <v>0</v>
      </c>
      <c r="AP186" s="295"/>
      <c r="AQ186" s="285"/>
      <c r="AR186" s="295">
        <v>0</v>
      </c>
      <c r="AS186" s="295">
        <v>8000</v>
      </c>
      <c r="AT186" s="313"/>
    </row>
    <row r="187" spans="1:46" s="265" customFormat="1" ht="47.25" customHeight="1">
      <c r="A187" s="298">
        <v>17</v>
      </c>
      <c r="B187" s="362" t="s">
        <v>1038</v>
      </c>
      <c r="C187" s="300" t="s">
        <v>689</v>
      </c>
      <c r="D187" s="300" t="s">
        <v>689</v>
      </c>
      <c r="E187" s="300"/>
      <c r="F187" s="312" t="s">
        <v>684</v>
      </c>
      <c r="G187" s="307" t="s">
        <v>1039</v>
      </c>
      <c r="H187" s="353">
        <v>11594</v>
      </c>
      <c r="I187" s="357"/>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85">
        <f t="shared" si="75"/>
        <v>0</v>
      </c>
      <c r="AM187" s="295"/>
      <c r="AN187" s="295"/>
      <c r="AO187" s="285">
        <f t="shared" si="77"/>
        <v>0</v>
      </c>
      <c r="AP187" s="295"/>
      <c r="AQ187" s="285"/>
      <c r="AR187" s="295">
        <v>0</v>
      </c>
      <c r="AS187" s="295">
        <v>4500</v>
      </c>
      <c r="AT187" s="313"/>
    </row>
    <row r="188" spans="1:46" s="265" customFormat="1" ht="47.25" customHeight="1">
      <c r="A188" s="298">
        <v>18</v>
      </c>
      <c r="B188" s="365" t="s">
        <v>1040</v>
      </c>
      <c r="C188" s="300" t="s">
        <v>669</v>
      </c>
      <c r="D188" s="300" t="s">
        <v>669</v>
      </c>
      <c r="E188" s="300"/>
      <c r="F188" s="312" t="s">
        <v>684</v>
      </c>
      <c r="G188" s="300" t="s">
        <v>1041</v>
      </c>
      <c r="H188" s="353">
        <v>12389</v>
      </c>
      <c r="I188" s="366"/>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85">
        <f t="shared" si="75"/>
        <v>0</v>
      </c>
      <c r="AM188" s="295"/>
      <c r="AN188" s="295"/>
      <c r="AO188" s="285">
        <f t="shared" si="77"/>
        <v>0</v>
      </c>
      <c r="AP188" s="295"/>
      <c r="AQ188" s="285"/>
      <c r="AR188" s="295">
        <v>0</v>
      </c>
      <c r="AS188" s="295">
        <v>4500</v>
      </c>
      <c r="AT188" s="313"/>
    </row>
    <row r="189" spans="1:46" s="265" customFormat="1" ht="47.25" customHeight="1">
      <c r="A189" s="298">
        <v>19</v>
      </c>
      <c r="B189" s="363" t="s">
        <v>1042</v>
      </c>
      <c r="C189" s="300" t="s">
        <v>669</v>
      </c>
      <c r="D189" s="300" t="s">
        <v>669</v>
      </c>
      <c r="E189" s="300"/>
      <c r="F189" s="312" t="s">
        <v>684</v>
      </c>
      <c r="G189" s="300" t="s">
        <v>1043</v>
      </c>
      <c r="H189" s="353">
        <v>8224</v>
      </c>
      <c r="I189" s="354"/>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85">
        <f t="shared" si="75"/>
        <v>0</v>
      </c>
      <c r="AM189" s="295"/>
      <c r="AN189" s="295"/>
      <c r="AO189" s="285">
        <f t="shared" si="77"/>
        <v>0</v>
      </c>
      <c r="AP189" s="295"/>
      <c r="AQ189" s="285"/>
      <c r="AR189" s="295">
        <v>0</v>
      </c>
      <c r="AS189" s="295">
        <v>3000</v>
      </c>
      <c r="AT189" s="313"/>
    </row>
    <row r="190" spans="1:46" s="265" customFormat="1" ht="47.25" customHeight="1">
      <c r="A190" s="298">
        <v>20</v>
      </c>
      <c r="B190" s="362" t="s">
        <v>1044</v>
      </c>
      <c r="C190" s="300" t="s">
        <v>669</v>
      </c>
      <c r="D190" s="300" t="s">
        <v>669</v>
      </c>
      <c r="E190" s="300"/>
      <c r="F190" s="312" t="s">
        <v>684</v>
      </c>
      <c r="G190" s="300"/>
      <c r="H190" s="353">
        <v>19485</v>
      </c>
      <c r="I190" s="357"/>
      <c r="J190" s="295"/>
      <c r="K190" s="295"/>
      <c r="L190" s="295"/>
      <c r="M190" s="295"/>
      <c r="N190" s="295"/>
      <c r="O190" s="295"/>
      <c r="P190" s="295"/>
      <c r="Q190" s="295"/>
      <c r="R190" s="295"/>
      <c r="S190" s="295"/>
      <c r="T190" s="295"/>
      <c r="U190" s="295"/>
      <c r="V190" s="295"/>
      <c r="W190" s="295"/>
      <c r="X190" s="295"/>
      <c r="Y190" s="295"/>
      <c r="Z190" s="295"/>
      <c r="AA190" s="295"/>
      <c r="AB190" s="295"/>
      <c r="AC190" s="295"/>
      <c r="AD190" s="295"/>
      <c r="AE190" s="295"/>
      <c r="AF190" s="295"/>
      <c r="AG190" s="295"/>
      <c r="AH190" s="295"/>
      <c r="AI190" s="295"/>
      <c r="AJ190" s="295"/>
      <c r="AK190" s="295"/>
      <c r="AL190" s="285">
        <f t="shared" si="75"/>
        <v>0</v>
      </c>
      <c r="AM190" s="295"/>
      <c r="AN190" s="295"/>
      <c r="AO190" s="285">
        <f t="shared" si="77"/>
        <v>0</v>
      </c>
      <c r="AP190" s="295"/>
      <c r="AQ190" s="285"/>
      <c r="AR190" s="295">
        <v>0</v>
      </c>
      <c r="AS190" s="295">
        <v>9000</v>
      </c>
      <c r="AT190" s="313"/>
    </row>
    <row r="191" spans="1:46" s="265" customFormat="1" ht="47.25" customHeight="1">
      <c r="A191" s="298">
        <v>21</v>
      </c>
      <c r="B191" s="362" t="s">
        <v>1045</v>
      </c>
      <c r="C191" s="300" t="s">
        <v>698</v>
      </c>
      <c r="D191" s="300" t="s">
        <v>698</v>
      </c>
      <c r="E191" s="300"/>
      <c r="F191" s="312" t="s">
        <v>684</v>
      </c>
      <c r="G191" s="300" t="s">
        <v>1046</v>
      </c>
      <c r="H191" s="353">
        <v>10959</v>
      </c>
      <c r="I191" s="357"/>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c r="AL191" s="285">
        <f t="shared" si="75"/>
        <v>0</v>
      </c>
      <c r="AM191" s="295"/>
      <c r="AN191" s="295"/>
      <c r="AO191" s="285">
        <f t="shared" si="77"/>
        <v>0</v>
      </c>
      <c r="AP191" s="295"/>
      <c r="AQ191" s="285"/>
      <c r="AR191" s="295">
        <v>0</v>
      </c>
      <c r="AS191" s="295">
        <v>4000</v>
      </c>
      <c r="AT191" s="313"/>
    </row>
    <row r="192" spans="1:46" s="265" customFormat="1" ht="47.25" customHeight="1">
      <c r="A192" s="298">
        <v>22</v>
      </c>
      <c r="B192" s="351" t="s">
        <v>1047</v>
      </c>
      <c r="C192" s="300" t="s">
        <v>705</v>
      </c>
      <c r="D192" s="300" t="s">
        <v>705</v>
      </c>
      <c r="E192" s="300"/>
      <c r="F192" s="312" t="s">
        <v>684</v>
      </c>
      <c r="G192" s="300" t="s">
        <v>1048</v>
      </c>
      <c r="H192" s="353">
        <v>14800</v>
      </c>
      <c r="I192" s="357"/>
      <c r="J192" s="295"/>
      <c r="K192" s="295"/>
      <c r="L192" s="295"/>
      <c r="M192" s="295"/>
      <c r="N192" s="295"/>
      <c r="O192" s="295"/>
      <c r="P192" s="295"/>
      <c r="Q192" s="295"/>
      <c r="R192" s="295"/>
      <c r="S192" s="295"/>
      <c r="T192" s="295"/>
      <c r="U192" s="295"/>
      <c r="V192" s="295"/>
      <c r="W192" s="295"/>
      <c r="X192" s="295"/>
      <c r="Y192" s="295"/>
      <c r="Z192" s="295"/>
      <c r="AA192" s="295"/>
      <c r="AB192" s="295"/>
      <c r="AC192" s="295"/>
      <c r="AD192" s="295"/>
      <c r="AE192" s="295"/>
      <c r="AF192" s="295"/>
      <c r="AG192" s="295"/>
      <c r="AH192" s="295"/>
      <c r="AI192" s="295"/>
      <c r="AJ192" s="295"/>
      <c r="AK192" s="295"/>
      <c r="AL192" s="285">
        <f t="shared" si="75"/>
        <v>0</v>
      </c>
      <c r="AM192" s="295"/>
      <c r="AN192" s="295"/>
      <c r="AO192" s="285">
        <f t="shared" si="77"/>
        <v>0</v>
      </c>
      <c r="AP192" s="295"/>
      <c r="AQ192" s="285"/>
      <c r="AR192" s="295">
        <v>0</v>
      </c>
      <c r="AS192" s="295">
        <v>5000</v>
      </c>
      <c r="AT192" s="313"/>
    </row>
    <row r="193" spans="1:47" s="265" customFormat="1" ht="47.25" customHeight="1">
      <c r="A193" s="298">
        <v>23</v>
      </c>
      <c r="B193" s="362" t="s">
        <v>1049</v>
      </c>
      <c r="C193" s="300" t="s">
        <v>698</v>
      </c>
      <c r="D193" s="300" t="s">
        <v>698</v>
      </c>
      <c r="E193" s="300"/>
      <c r="F193" s="312" t="s">
        <v>684</v>
      </c>
      <c r="G193" s="300" t="s">
        <v>1050</v>
      </c>
      <c r="H193" s="353">
        <v>14246</v>
      </c>
      <c r="I193" s="357"/>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c r="AL193" s="285">
        <f t="shared" si="75"/>
        <v>0</v>
      </c>
      <c r="AM193" s="295"/>
      <c r="AN193" s="295"/>
      <c r="AO193" s="285">
        <f t="shared" si="77"/>
        <v>0</v>
      </c>
      <c r="AP193" s="295"/>
      <c r="AQ193" s="285"/>
      <c r="AR193" s="295">
        <v>0</v>
      </c>
      <c r="AS193" s="295">
        <v>5000</v>
      </c>
      <c r="AT193" s="313"/>
    </row>
    <row r="194" spans="1:47" s="265" customFormat="1" ht="47.25" customHeight="1">
      <c r="A194" s="298">
        <v>24</v>
      </c>
      <c r="B194" s="362" t="s">
        <v>1051</v>
      </c>
      <c r="C194" s="300" t="s">
        <v>946</v>
      </c>
      <c r="D194" s="300" t="s">
        <v>946</v>
      </c>
      <c r="E194" s="300"/>
      <c r="F194" s="312" t="s">
        <v>745</v>
      </c>
      <c r="G194" s="300" t="s">
        <v>1052</v>
      </c>
      <c r="H194" s="353">
        <v>14103</v>
      </c>
      <c r="I194" s="357"/>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c r="AL194" s="285">
        <f t="shared" si="75"/>
        <v>0</v>
      </c>
      <c r="AM194" s="295"/>
      <c r="AN194" s="295"/>
      <c r="AO194" s="285">
        <f t="shared" si="77"/>
        <v>0</v>
      </c>
      <c r="AP194" s="295"/>
      <c r="AQ194" s="285"/>
      <c r="AR194" s="295">
        <v>0</v>
      </c>
      <c r="AS194" s="295">
        <v>5000</v>
      </c>
      <c r="AT194" s="313"/>
    </row>
    <row r="195" spans="1:47" s="265" customFormat="1" ht="47.25" customHeight="1">
      <c r="A195" s="298">
        <v>25</v>
      </c>
      <c r="B195" s="362" t="s">
        <v>1053</v>
      </c>
      <c r="C195" s="300" t="s">
        <v>705</v>
      </c>
      <c r="D195" s="300" t="s">
        <v>705</v>
      </c>
      <c r="E195" s="300"/>
      <c r="F195" s="312" t="s">
        <v>684</v>
      </c>
      <c r="G195" s="300" t="s">
        <v>1054</v>
      </c>
      <c r="H195" s="353">
        <v>4500</v>
      </c>
      <c r="I195" s="357"/>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c r="AL195" s="285">
        <f t="shared" si="75"/>
        <v>0</v>
      </c>
      <c r="AM195" s="295"/>
      <c r="AN195" s="295"/>
      <c r="AO195" s="285">
        <f t="shared" si="77"/>
        <v>0</v>
      </c>
      <c r="AP195" s="295"/>
      <c r="AQ195" s="285"/>
      <c r="AR195" s="295">
        <v>0</v>
      </c>
      <c r="AS195" s="295">
        <v>2500</v>
      </c>
      <c r="AT195" s="313"/>
    </row>
    <row r="196" spans="1:47" s="265" customFormat="1" ht="47.25" customHeight="1">
      <c r="A196" s="298">
        <v>26</v>
      </c>
      <c r="B196" s="362" t="s">
        <v>1055</v>
      </c>
      <c r="C196" s="300" t="s">
        <v>679</v>
      </c>
      <c r="D196" s="300" t="s">
        <v>679</v>
      </c>
      <c r="E196" s="300"/>
      <c r="F196" s="312" t="s">
        <v>684</v>
      </c>
      <c r="G196" s="300" t="s">
        <v>1056</v>
      </c>
      <c r="H196" s="353">
        <v>14800</v>
      </c>
      <c r="I196" s="357"/>
      <c r="J196" s="295"/>
      <c r="K196" s="295"/>
      <c r="L196" s="295"/>
      <c r="M196" s="295"/>
      <c r="N196" s="295"/>
      <c r="O196" s="295"/>
      <c r="P196" s="295"/>
      <c r="Q196" s="295"/>
      <c r="R196" s="295"/>
      <c r="S196" s="295"/>
      <c r="T196" s="295"/>
      <c r="U196" s="295"/>
      <c r="V196" s="295"/>
      <c r="W196" s="295"/>
      <c r="X196" s="295"/>
      <c r="Y196" s="295"/>
      <c r="Z196" s="295"/>
      <c r="AA196" s="295"/>
      <c r="AB196" s="295"/>
      <c r="AC196" s="295"/>
      <c r="AD196" s="295"/>
      <c r="AE196" s="295"/>
      <c r="AF196" s="295"/>
      <c r="AG196" s="295"/>
      <c r="AH196" s="295"/>
      <c r="AI196" s="295"/>
      <c r="AJ196" s="295"/>
      <c r="AK196" s="295"/>
      <c r="AL196" s="285">
        <f t="shared" si="75"/>
        <v>0</v>
      </c>
      <c r="AM196" s="295"/>
      <c r="AN196" s="295"/>
      <c r="AO196" s="285">
        <f t="shared" si="77"/>
        <v>0</v>
      </c>
      <c r="AP196" s="295"/>
      <c r="AQ196" s="285"/>
      <c r="AR196" s="295">
        <v>0</v>
      </c>
      <c r="AS196" s="295">
        <v>5000</v>
      </c>
      <c r="AT196" s="313"/>
    </row>
    <row r="197" spans="1:47" s="265" customFormat="1" ht="47.25" customHeight="1">
      <c r="A197" s="298">
        <v>27</v>
      </c>
      <c r="B197" s="362" t="s">
        <v>1057</v>
      </c>
      <c r="C197" s="300" t="s">
        <v>705</v>
      </c>
      <c r="D197" s="300" t="s">
        <v>705</v>
      </c>
      <c r="E197" s="300"/>
      <c r="F197" s="312" t="s">
        <v>684</v>
      </c>
      <c r="G197" s="300" t="s">
        <v>1058</v>
      </c>
      <c r="H197" s="353">
        <v>14750</v>
      </c>
      <c r="I197" s="357"/>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c r="AL197" s="285">
        <f t="shared" si="75"/>
        <v>0</v>
      </c>
      <c r="AM197" s="295"/>
      <c r="AN197" s="295"/>
      <c r="AO197" s="285">
        <f t="shared" si="77"/>
        <v>0</v>
      </c>
      <c r="AP197" s="295"/>
      <c r="AQ197" s="285"/>
      <c r="AR197" s="295">
        <v>0</v>
      </c>
      <c r="AS197" s="295">
        <v>5000</v>
      </c>
      <c r="AT197" s="313"/>
    </row>
    <row r="198" spans="1:47" s="265" customFormat="1" ht="47.25" customHeight="1">
      <c r="A198" s="298">
        <v>28</v>
      </c>
      <c r="B198" s="362" t="s">
        <v>1059</v>
      </c>
      <c r="C198" s="300" t="s">
        <v>994</v>
      </c>
      <c r="D198" s="300" t="s">
        <v>679</v>
      </c>
      <c r="E198" s="300"/>
      <c r="F198" s="312" t="s">
        <v>745</v>
      </c>
      <c r="G198" s="300" t="s">
        <v>1060</v>
      </c>
      <c r="H198" s="353">
        <v>14570</v>
      </c>
      <c r="I198" s="357"/>
      <c r="J198" s="295"/>
      <c r="K198" s="295"/>
      <c r="L198" s="295"/>
      <c r="M198" s="295"/>
      <c r="N198" s="295"/>
      <c r="O198" s="295"/>
      <c r="P198" s="295"/>
      <c r="Q198" s="295"/>
      <c r="R198" s="295"/>
      <c r="S198" s="295"/>
      <c r="T198" s="295"/>
      <c r="U198" s="295"/>
      <c r="V198" s="295"/>
      <c r="W198" s="295"/>
      <c r="X198" s="295"/>
      <c r="Y198" s="295"/>
      <c r="Z198" s="295"/>
      <c r="AA198" s="295"/>
      <c r="AB198" s="295"/>
      <c r="AC198" s="295"/>
      <c r="AD198" s="295"/>
      <c r="AE198" s="295"/>
      <c r="AF198" s="295"/>
      <c r="AG198" s="295"/>
      <c r="AH198" s="295"/>
      <c r="AI198" s="295"/>
      <c r="AJ198" s="295"/>
      <c r="AK198" s="295"/>
      <c r="AL198" s="285">
        <f t="shared" ref="AL198:AL203" si="90">AI198+AJ198</f>
        <v>0</v>
      </c>
      <c r="AM198" s="295"/>
      <c r="AN198" s="295"/>
      <c r="AO198" s="285">
        <f t="shared" ref="AO198:AO203" si="91">K198+AM198</f>
        <v>0</v>
      </c>
      <c r="AP198" s="295"/>
      <c r="AQ198" s="285"/>
      <c r="AR198" s="295">
        <v>0</v>
      </c>
      <c r="AS198" s="295">
        <v>5000</v>
      </c>
      <c r="AT198" s="313"/>
    </row>
    <row r="199" spans="1:47" s="265" customFormat="1" ht="47.25" customHeight="1">
      <c r="A199" s="298">
        <v>29</v>
      </c>
      <c r="B199" s="362" t="s">
        <v>1061</v>
      </c>
      <c r="C199" s="300" t="s">
        <v>994</v>
      </c>
      <c r="D199" s="300" t="s">
        <v>669</v>
      </c>
      <c r="E199" s="300"/>
      <c r="F199" s="312" t="s">
        <v>684</v>
      </c>
      <c r="G199" s="300" t="s">
        <v>1062</v>
      </c>
      <c r="H199" s="353">
        <v>14788</v>
      </c>
      <c r="I199" s="357"/>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c r="AL199" s="285">
        <f t="shared" si="90"/>
        <v>0</v>
      </c>
      <c r="AM199" s="295"/>
      <c r="AN199" s="295"/>
      <c r="AO199" s="285">
        <f t="shared" si="91"/>
        <v>0</v>
      </c>
      <c r="AP199" s="295"/>
      <c r="AQ199" s="285"/>
      <c r="AR199" s="295">
        <v>0</v>
      </c>
      <c r="AS199" s="295">
        <v>5000</v>
      </c>
      <c r="AT199" s="313"/>
    </row>
    <row r="200" spans="1:47" s="265" customFormat="1" ht="47.25" customHeight="1">
      <c r="A200" s="298">
        <v>30</v>
      </c>
      <c r="B200" s="362" t="s">
        <v>1063</v>
      </c>
      <c r="C200" s="300" t="s">
        <v>994</v>
      </c>
      <c r="D200" s="300" t="s">
        <v>669</v>
      </c>
      <c r="E200" s="300"/>
      <c r="F200" s="312" t="s">
        <v>684</v>
      </c>
      <c r="G200" s="300" t="s">
        <v>1064</v>
      </c>
      <c r="H200" s="353">
        <v>4317</v>
      </c>
      <c r="I200" s="357"/>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c r="AL200" s="285">
        <f t="shared" si="90"/>
        <v>0</v>
      </c>
      <c r="AM200" s="295"/>
      <c r="AN200" s="295"/>
      <c r="AO200" s="285">
        <f t="shared" si="91"/>
        <v>0</v>
      </c>
      <c r="AP200" s="295"/>
      <c r="AQ200" s="285"/>
      <c r="AR200" s="295">
        <v>0</v>
      </c>
      <c r="AS200" s="295">
        <v>2000</v>
      </c>
      <c r="AT200" s="313"/>
    </row>
    <row r="201" spans="1:47" s="265" customFormat="1" ht="47.25" customHeight="1">
      <c r="A201" s="279">
        <v>31</v>
      </c>
      <c r="B201" s="347" t="s">
        <v>998</v>
      </c>
      <c r="C201" s="287" t="s">
        <v>659</v>
      </c>
      <c r="D201" s="287" t="s">
        <v>659</v>
      </c>
      <c r="E201" s="282"/>
      <c r="F201" s="348"/>
      <c r="G201" s="282"/>
      <c r="H201" s="285">
        <f>'[3]B2-MẦM NON'!H30</f>
        <v>284089</v>
      </c>
      <c r="I201" s="285">
        <f>'[3]B2-MẦM NON'!I30</f>
        <v>0</v>
      </c>
      <c r="J201" s="285">
        <f>'[3]B2-MẦM NON'!J30</f>
        <v>0</v>
      </c>
      <c r="K201" s="285">
        <f>'[3]B2-MẦM NON'!K30</f>
        <v>0</v>
      </c>
      <c r="L201" s="285">
        <f>'[3]B2-MẦM NON'!L30</f>
        <v>0</v>
      </c>
      <c r="M201" s="285">
        <f>'[3]B2-MẦM NON'!M30</f>
        <v>0</v>
      </c>
      <c r="N201" s="285">
        <f>'[3]B2-MẦM NON'!N30</f>
        <v>0</v>
      </c>
      <c r="O201" s="285">
        <f>'[3]B2-MẦM NON'!O30</f>
        <v>0</v>
      </c>
      <c r="P201" s="285">
        <f>'[3]B2-MẦM NON'!P30</f>
        <v>0</v>
      </c>
      <c r="Q201" s="285">
        <f>'[3]B2-MẦM NON'!Q30</f>
        <v>0</v>
      </c>
      <c r="R201" s="285">
        <f>'[3]B2-MẦM NON'!R30</f>
        <v>0</v>
      </c>
      <c r="S201" s="285">
        <f>'[3]B2-MẦM NON'!S30</f>
        <v>0</v>
      </c>
      <c r="T201" s="285">
        <f>'[3]B2-MẦM NON'!T30</f>
        <v>0</v>
      </c>
      <c r="U201" s="285">
        <f>'[3]B2-MẦM NON'!U30</f>
        <v>0</v>
      </c>
      <c r="V201" s="285">
        <f>'[3]B2-MẦM NON'!V30</f>
        <v>0</v>
      </c>
      <c r="W201" s="285">
        <f>'[3]B2-MẦM NON'!W30</f>
        <v>0</v>
      </c>
      <c r="X201" s="285">
        <f>'[3]B2-MẦM NON'!X30</f>
        <v>0</v>
      </c>
      <c r="Y201" s="285">
        <f>'[3]B2-MẦM NON'!Y30</f>
        <v>0</v>
      </c>
      <c r="Z201" s="285">
        <f>'[3]B2-MẦM NON'!Z30</f>
        <v>0</v>
      </c>
      <c r="AA201" s="285">
        <f>'[3]B2-MẦM NON'!AA30</f>
        <v>0</v>
      </c>
      <c r="AB201" s="285">
        <f>'[3]B2-MẦM NON'!AB30</f>
        <v>0</v>
      </c>
      <c r="AC201" s="285">
        <f>'[3]B2-MẦM NON'!AC30</f>
        <v>0</v>
      </c>
      <c r="AD201" s="285">
        <f>'[3]B2-MẦM NON'!AD30</f>
        <v>0</v>
      </c>
      <c r="AE201" s="285">
        <f>'[3]B2-MẦM NON'!AE30</f>
        <v>0</v>
      </c>
      <c r="AF201" s="285">
        <f>'[3]B2-MẦM NON'!AF30</f>
        <v>0</v>
      </c>
      <c r="AG201" s="285">
        <f>'[3]B2-MẦM NON'!AG30</f>
        <v>0</v>
      </c>
      <c r="AH201" s="285">
        <f>'[3]B2-MẦM NON'!AH30</f>
        <v>0</v>
      </c>
      <c r="AI201" s="285">
        <f>'[3]B2-MẦM NON'!AI30</f>
        <v>0</v>
      </c>
      <c r="AJ201" s="285">
        <f>'[3]B2-MẦM NON'!AJ30</f>
        <v>0</v>
      </c>
      <c r="AK201" s="285">
        <f>'[3]B2-MẦM NON'!AK30</f>
        <v>0</v>
      </c>
      <c r="AL201" s="285">
        <f>'[3]B2-MẦM NON'!AL30</f>
        <v>0</v>
      </c>
      <c r="AM201" s="285">
        <f>'[3]B2-MẦM NON'!AM30</f>
        <v>0</v>
      </c>
      <c r="AN201" s="285">
        <f>'[3]B2-MẦM NON'!AN30</f>
        <v>0</v>
      </c>
      <c r="AO201" s="285">
        <f>'[3]B2-MẦM NON'!AO30</f>
        <v>0</v>
      </c>
      <c r="AP201" s="285">
        <f>'[3]B2-MẦM NON'!AP30</f>
        <v>0</v>
      </c>
      <c r="AQ201" s="285">
        <f>'[3]B2-MẦM NON'!AQ30</f>
        <v>0</v>
      </c>
      <c r="AR201" s="285">
        <f>'[3]B2-MẦM NON'!AR30</f>
        <v>0</v>
      </c>
      <c r="AS201" s="285">
        <f>'[3]B2-MẦM NON'!AS30</f>
        <v>99400</v>
      </c>
      <c r="AT201" s="349" t="s">
        <v>999</v>
      </c>
    </row>
    <row r="202" spans="1:47" s="265" customFormat="1" ht="47.25" customHeight="1">
      <c r="A202" s="279">
        <v>32</v>
      </c>
      <c r="B202" s="367" t="s">
        <v>1065</v>
      </c>
      <c r="C202" s="282" t="s">
        <v>1066</v>
      </c>
      <c r="D202" s="282" t="s">
        <v>659</v>
      </c>
      <c r="E202" s="282"/>
      <c r="F202" s="348"/>
      <c r="G202" s="282"/>
      <c r="H202" s="368">
        <v>0</v>
      </c>
      <c r="I202" s="368"/>
      <c r="J202" s="368" t="e">
        <f>SUM(#REF!)</f>
        <v>#REF!</v>
      </c>
      <c r="K202" s="368" t="e">
        <f>SUM(#REF!)</f>
        <v>#REF!</v>
      </c>
      <c r="L202" s="368" t="e">
        <f>SUM(#REF!)</f>
        <v>#REF!</v>
      </c>
      <c r="M202" s="368" t="e">
        <f>SUM(#REF!)</f>
        <v>#REF!</v>
      </c>
      <c r="N202" s="368" t="e">
        <f>SUM(#REF!)</f>
        <v>#REF!</v>
      </c>
      <c r="O202" s="368" t="e">
        <f>SUM(#REF!)</f>
        <v>#REF!</v>
      </c>
      <c r="P202" s="368" t="e">
        <f>SUM(#REF!)</f>
        <v>#REF!</v>
      </c>
      <c r="Q202" s="368" t="e">
        <f>SUM(#REF!)</f>
        <v>#REF!</v>
      </c>
      <c r="R202" s="368" t="e">
        <f>SUM(#REF!)</f>
        <v>#REF!</v>
      </c>
      <c r="S202" s="368" t="e">
        <f>SUM(#REF!)</f>
        <v>#REF!</v>
      </c>
      <c r="T202" s="368" t="e">
        <f>SUM(#REF!)</f>
        <v>#REF!</v>
      </c>
      <c r="U202" s="368" t="e">
        <f>SUM(#REF!)</f>
        <v>#REF!</v>
      </c>
      <c r="V202" s="368" t="e">
        <f>SUM(#REF!)</f>
        <v>#REF!</v>
      </c>
      <c r="W202" s="368" t="e">
        <f>SUM(#REF!)</f>
        <v>#REF!</v>
      </c>
      <c r="X202" s="368" t="e">
        <f>SUM(#REF!)</f>
        <v>#REF!</v>
      </c>
      <c r="Y202" s="368" t="e">
        <f>SUM(#REF!)</f>
        <v>#REF!</v>
      </c>
      <c r="Z202" s="368" t="e">
        <f>SUM(#REF!)</f>
        <v>#REF!</v>
      </c>
      <c r="AA202" s="368" t="e">
        <f>SUM(#REF!)</f>
        <v>#REF!</v>
      </c>
      <c r="AB202" s="368" t="e">
        <f>SUM(#REF!)</f>
        <v>#REF!</v>
      </c>
      <c r="AC202" s="368" t="e">
        <f>SUM(#REF!)</f>
        <v>#REF!</v>
      </c>
      <c r="AD202" s="368" t="e">
        <f>SUM(#REF!)</f>
        <v>#REF!</v>
      </c>
      <c r="AE202" s="368" t="e">
        <f>SUM(#REF!)</f>
        <v>#REF!</v>
      </c>
      <c r="AF202" s="368" t="e">
        <f>SUM(#REF!)</f>
        <v>#REF!</v>
      </c>
      <c r="AG202" s="368" t="e">
        <f>SUM(#REF!)</f>
        <v>#REF!</v>
      </c>
      <c r="AH202" s="368" t="e">
        <f>SUM(#REF!)</f>
        <v>#REF!</v>
      </c>
      <c r="AI202" s="368" t="e">
        <f>SUM(#REF!)</f>
        <v>#REF!</v>
      </c>
      <c r="AJ202" s="368" t="e">
        <f>SUM(#REF!)</f>
        <v>#REF!</v>
      </c>
      <c r="AK202" s="368" t="e">
        <f>SUM(#REF!)</f>
        <v>#REF!</v>
      </c>
      <c r="AL202" s="285" t="e">
        <f t="shared" si="90"/>
        <v>#REF!</v>
      </c>
      <c r="AM202" s="368" t="e">
        <f>SUM(#REF!)</f>
        <v>#REF!</v>
      </c>
      <c r="AN202" s="368" t="e">
        <f>SUM(#REF!)</f>
        <v>#REF!</v>
      </c>
      <c r="AO202" s="285" t="e">
        <f t="shared" si="91"/>
        <v>#REF!</v>
      </c>
      <c r="AP202" s="368" t="e">
        <f>SUM(#REF!)</f>
        <v>#REF!</v>
      </c>
      <c r="AQ202" s="368" t="e">
        <f>SUM(#REF!)</f>
        <v>#REF!</v>
      </c>
      <c r="AR202" s="285">
        <v>0</v>
      </c>
      <c r="AS202" s="285">
        <f>31000+9700+3500</f>
        <v>44200</v>
      </c>
      <c r="AT202" s="349"/>
    </row>
    <row r="203" spans="1:47" s="265" customFormat="1" ht="47.25" hidden="1" customHeight="1">
      <c r="A203" s="298"/>
      <c r="B203" s="369"/>
      <c r="C203" s="298"/>
      <c r="D203" s="298"/>
      <c r="E203" s="298"/>
      <c r="F203" s="298"/>
      <c r="G203" s="370"/>
      <c r="H203" s="295"/>
      <c r="I203" s="295"/>
      <c r="J203" s="295">
        <f>I203*90%</f>
        <v>0</v>
      </c>
      <c r="K203" s="295"/>
      <c r="L203" s="295">
        <v>0</v>
      </c>
      <c r="M203" s="295">
        <v>0</v>
      </c>
      <c r="N203" s="295">
        <f>P203+R203</f>
        <v>0</v>
      </c>
      <c r="O203" s="295"/>
      <c r="P203" s="295"/>
      <c r="Q203" s="295"/>
      <c r="R203" s="295"/>
      <c r="S203" s="295"/>
      <c r="T203" s="295"/>
      <c r="U203" s="295">
        <f>W203+Y203+AA203+AC203+AE203</f>
        <v>0</v>
      </c>
      <c r="V203" s="295"/>
      <c r="W203" s="295"/>
      <c r="X203" s="295"/>
      <c r="Y203" s="295"/>
      <c r="Z203" s="295"/>
      <c r="AA203" s="295"/>
      <c r="AB203" s="295"/>
      <c r="AC203" s="295"/>
      <c r="AD203" s="295"/>
      <c r="AE203" s="295"/>
      <c r="AF203" s="295"/>
      <c r="AG203" s="295"/>
      <c r="AH203" s="295">
        <f>AI203+AJ203</f>
        <v>0</v>
      </c>
      <c r="AI203" s="295"/>
      <c r="AJ203" s="295">
        <f>R203+X203+Z203+AB203+AD203</f>
        <v>0</v>
      </c>
      <c r="AK203" s="295"/>
      <c r="AL203" s="285">
        <f t="shared" si="90"/>
        <v>0</v>
      </c>
      <c r="AM203" s="295">
        <f>N203+T203+AF203</f>
        <v>0</v>
      </c>
      <c r="AN203" s="295">
        <f>O203+U203+AG203</f>
        <v>0</v>
      </c>
      <c r="AO203" s="285">
        <f t="shared" si="91"/>
        <v>0</v>
      </c>
      <c r="AP203" s="295">
        <f>AH203-AM203</f>
        <v>0</v>
      </c>
      <c r="AQ203" s="285">
        <f>AP203-AK203</f>
        <v>0</v>
      </c>
      <c r="AR203" s="295"/>
      <c r="AS203" s="295"/>
      <c r="AT203" s="350"/>
    </row>
    <row r="204" spans="1:47" s="265" customFormat="1" ht="15.75">
      <c r="A204" s="290" t="s">
        <v>26</v>
      </c>
      <c r="B204" s="297" t="s">
        <v>1067</v>
      </c>
      <c r="C204" s="292"/>
      <c r="D204" s="279"/>
      <c r="E204" s="293"/>
      <c r="F204" s="298"/>
      <c r="G204" s="294"/>
      <c r="H204" s="285">
        <f t="shared" ref="H204:AQ204" si="92">H205+H214</f>
        <v>2863946</v>
      </c>
      <c r="I204" s="285">
        <f t="shared" si="92"/>
        <v>0</v>
      </c>
      <c r="J204" s="285">
        <f t="shared" si="92"/>
        <v>0</v>
      </c>
      <c r="K204" s="285">
        <f t="shared" si="92"/>
        <v>5940</v>
      </c>
      <c r="L204" s="285">
        <f t="shared" si="92"/>
        <v>357990</v>
      </c>
      <c r="M204" s="285">
        <f t="shared" si="92"/>
        <v>357990</v>
      </c>
      <c r="N204" s="285">
        <f t="shared" si="92"/>
        <v>15000</v>
      </c>
      <c r="O204" s="285">
        <f t="shared" si="92"/>
        <v>14479</v>
      </c>
      <c r="P204" s="285">
        <f t="shared" si="92"/>
        <v>15000</v>
      </c>
      <c r="Q204" s="285">
        <f t="shared" si="92"/>
        <v>14479</v>
      </c>
      <c r="R204" s="285">
        <f t="shared" si="92"/>
        <v>0</v>
      </c>
      <c r="S204" s="285">
        <f t="shared" si="92"/>
        <v>0</v>
      </c>
      <c r="T204" s="285">
        <f t="shared" si="92"/>
        <v>70562</v>
      </c>
      <c r="U204" s="285">
        <f t="shared" si="92"/>
        <v>23975</v>
      </c>
      <c r="V204" s="285">
        <f t="shared" si="92"/>
        <v>23520</v>
      </c>
      <c r="W204" s="285">
        <f t="shared" si="92"/>
        <v>23438</v>
      </c>
      <c r="X204" s="285">
        <f t="shared" si="92"/>
        <v>0</v>
      </c>
      <c r="Y204" s="285">
        <f t="shared" si="92"/>
        <v>0</v>
      </c>
      <c r="Z204" s="285">
        <f t="shared" si="92"/>
        <v>47042</v>
      </c>
      <c r="AA204" s="285">
        <f t="shared" si="92"/>
        <v>537</v>
      </c>
      <c r="AB204" s="285">
        <f t="shared" si="92"/>
        <v>0</v>
      </c>
      <c r="AC204" s="285">
        <f t="shared" si="92"/>
        <v>0</v>
      </c>
      <c r="AD204" s="285">
        <f t="shared" si="92"/>
        <v>0</v>
      </c>
      <c r="AE204" s="285">
        <f t="shared" si="92"/>
        <v>0</v>
      </c>
      <c r="AF204" s="285">
        <f t="shared" si="92"/>
        <v>41500</v>
      </c>
      <c r="AG204" s="285">
        <f t="shared" si="92"/>
        <v>4413</v>
      </c>
      <c r="AH204" s="285">
        <f t="shared" si="92"/>
        <v>513042</v>
      </c>
      <c r="AI204" s="285">
        <f t="shared" si="92"/>
        <v>466000</v>
      </c>
      <c r="AJ204" s="285">
        <f t="shared" si="92"/>
        <v>47042</v>
      </c>
      <c r="AK204" s="285">
        <f t="shared" si="92"/>
        <v>0</v>
      </c>
      <c r="AL204" s="285">
        <f t="shared" si="92"/>
        <v>513042</v>
      </c>
      <c r="AM204" s="285">
        <f t="shared" si="92"/>
        <v>142362</v>
      </c>
      <c r="AN204" s="285">
        <f t="shared" si="92"/>
        <v>42867</v>
      </c>
      <c r="AO204" s="285">
        <f t="shared" si="92"/>
        <v>148302</v>
      </c>
      <c r="AP204" s="285">
        <f t="shared" si="92"/>
        <v>385980</v>
      </c>
      <c r="AQ204" s="285">
        <f t="shared" si="92"/>
        <v>385980</v>
      </c>
      <c r="AR204" s="285">
        <f>AR205+AR214</f>
        <v>143802</v>
      </c>
      <c r="AS204" s="285">
        <f>AS205+AS214</f>
        <v>184060</v>
      </c>
      <c r="AT204" s="296"/>
    </row>
    <row r="205" spans="1:47" s="265" customFormat="1" ht="47.25" customHeight="1">
      <c r="A205" s="290" t="s">
        <v>337</v>
      </c>
      <c r="B205" s="297" t="s">
        <v>661</v>
      </c>
      <c r="C205" s="371"/>
      <c r="D205" s="371"/>
      <c r="E205" s="283"/>
      <c r="F205" s="279"/>
      <c r="G205" s="334"/>
      <c r="H205" s="372">
        <f t="shared" ref="H205:AQ205" si="93">SUM(H206:H213)</f>
        <v>390917</v>
      </c>
      <c r="I205" s="372">
        <f t="shared" si="93"/>
        <v>0</v>
      </c>
      <c r="J205" s="372">
        <f t="shared" si="93"/>
        <v>0</v>
      </c>
      <c r="K205" s="372">
        <f t="shared" si="93"/>
        <v>5940</v>
      </c>
      <c r="L205" s="372">
        <f t="shared" si="93"/>
        <v>298230</v>
      </c>
      <c r="M205" s="372">
        <f t="shared" si="93"/>
        <v>298230</v>
      </c>
      <c r="N205" s="372">
        <f t="shared" si="93"/>
        <v>15000</v>
      </c>
      <c r="O205" s="372">
        <f t="shared" si="93"/>
        <v>14479</v>
      </c>
      <c r="P205" s="372">
        <f t="shared" si="93"/>
        <v>15000</v>
      </c>
      <c r="Q205" s="372">
        <f t="shared" si="93"/>
        <v>14479</v>
      </c>
      <c r="R205" s="372">
        <f t="shared" si="93"/>
        <v>0</v>
      </c>
      <c r="S205" s="372">
        <f t="shared" si="93"/>
        <v>0</v>
      </c>
      <c r="T205" s="372">
        <f t="shared" si="93"/>
        <v>70562</v>
      </c>
      <c r="U205" s="372">
        <f t="shared" si="93"/>
        <v>23975</v>
      </c>
      <c r="V205" s="372">
        <f t="shared" si="93"/>
        <v>23520</v>
      </c>
      <c r="W205" s="372">
        <f t="shared" si="93"/>
        <v>23438</v>
      </c>
      <c r="X205" s="372">
        <f t="shared" si="93"/>
        <v>0</v>
      </c>
      <c r="Y205" s="372">
        <f t="shared" si="93"/>
        <v>0</v>
      </c>
      <c r="Z205" s="372">
        <f t="shared" si="93"/>
        <v>47042</v>
      </c>
      <c r="AA205" s="372">
        <f t="shared" si="93"/>
        <v>537</v>
      </c>
      <c r="AB205" s="372">
        <f t="shared" si="93"/>
        <v>0</v>
      </c>
      <c r="AC205" s="372">
        <f t="shared" si="93"/>
        <v>0</v>
      </c>
      <c r="AD205" s="372">
        <f t="shared" si="93"/>
        <v>0</v>
      </c>
      <c r="AE205" s="372">
        <f t="shared" si="93"/>
        <v>0</v>
      </c>
      <c r="AF205" s="372">
        <f t="shared" si="93"/>
        <v>41500</v>
      </c>
      <c r="AG205" s="372">
        <f t="shared" si="93"/>
        <v>4413</v>
      </c>
      <c r="AH205" s="372">
        <f t="shared" si="93"/>
        <v>289542</v>
      </c>
      <c r="AI205" s="372">
        <f t="shared" si="93"/>
        <v>242500</v>
      </c>
      <c r="AJ205" s="372">
        <f t="shared" si="93"/>
        <v>47042</v>
      </c>
      <c r="AK205" s="372">
        <f t="shared" si="93"/>
        <v>0</v>
      </c>
      <c r="AL205" s="372">
        <f t="shared" si="93"/>
        <v>289542</v>
      </c>
      <c r="AM205" s="372">
        <f t="shared" si="93"/>
        <v>142362</v>
      </c>
      <c r="AN205" s="372">
        <f t="shared" si="93"/>
        <v>42867</v>
      </c>
      <c r="AO205" s="372">
        <f t="shared" si="93"/>
        <v>148302</v>
      </c>
      <c r="AP205" s="372">
        <f t="shared" si="93"/>
        <v>162480</v>
      </c>
      <c r="AQ205" s="372">
        <f t="shared" si="93"/>
        <v>162480</v>
      </c>
      <c r="AR205" s="372">
        <f>SUM(AR206:AR213)</f>
        <v>143802</v>
      </c>
      <c r="AS205" s="372">
        <f>SUM(AS206:AS213)</f>
        <v>84000</v>
      </c>
      <c r="AT205" s="296"/>
    </row>
    <row r="206" spans="1:47" s="265" customFormat="1" ht="47.25" customHeight="1">
      <c r="A206" s="298">
        <v>1</v>
      </c>
      <c r="B206" s="314" t="s">
        <v>1068</v>
      </c>
      <c r="C206" s="300" t="s">
        <v>1069</v>
      </c>
      <c r="D206" s="300" t="s">
        <v>675</v>
      </c>
      <c r="E206" s="300" t="s">
        <v>1070</v>
      </c>
      <c r="F206" s="312" t="s">
        <v>716</v>
      </c>
      <c r="G206" s="300" t="s">
        <v>1071</v>
      </c>
      <c r="H206" s="295">
        <v>95000</v>
      </c>
      <c r="I206" s="295"/>
      <c r="J206" s="295">
        <f t="shared" ref="J206:J211" si="94">I206*90%</f>
        <v>0</v>
      </c>
      <c r="K206" s="295"/>
      <c r="L206" s="295">
        <v>45500</v>
      </c>
      <c r="M206" s="295">
        <v>45500</v>
      </c>
      <c r="N206" s="295">
        <f>P206+R206</f>
        <v>0</v>
      </c>
      <c r="O206" s="295">
        <f t="shared" ref="O206:O219" si="95">Q206+S206</f>
        <v>0</v>
      </c>
      <c r="P206" s="295"/>
      <c r="Q206" s="295"/>
      <c r="R206" s="295"/>
      <c r="S206" s="295"/>
      <c r="T206" s="295">
        <f>V206+X206+Z206+AB206+AD206</f>
        <v>47042</v>
      </c>
      <c r="U206" s="295">
        <f>W206+Y206+AA206+AC206+AE206</f>
        <v>537</v>
      </c>
      <c r="V206" s="295"/>
      <c r="W206" s="295"/>
      <c r="X206" s="295"/>
      <c r="Y206" s="295"/>
      <c r="Z206" s="295">
        <v>47042</v>
      </c>
      <c r="AA206" s="295">
        <v>537</v>
      </c>
      <c r="AB206" s="295"/>
      <c r="AC206" s="295"/>
      <c r="AD206" s="295"/>
      <c r="AE206" s="295"/>
      <c r="AF206" s="295">
        <v>1000</v>
      </c>
      <c r="AG206" s="295"/>
      <c r="AH206" s="295">
        <f>AI206+AJ206+AK206</f>
        <v>52042</v>
      </c>
      <c r="AI206" s="295">
        <v>5000</v>
      </c>
      <c r="AJ206" s="295">
        <f>R206+X206+Z206+AB206+AD206</f>
        <v>47042</v>
      </c>
      <c r="AK206" s="295"/>
      <c r="AL206" s="285">
        <f t="shared" ref="AL206:AL270" si="96">AI206+AJ206</f>
        <v>52042</v>
      </c>
      <c r="AM206" s="295">
        <f t="shared" ref="AM206:AN211" si="97">N206+T206+AF206</f>
        <v>48042</v>
      </c>
      <c r="AN206" s="295">
        <f t="shared" si="97"/>
        <v>537</v>
      </c>
      <c r="AO206" s="295">
        <f t="shared" ref="AO206:AO270" si="98">K206+AM206</f>
        <v>48042</v>
      </c>
      <c r="AP206" s="295">
        <f t="shared" ref="AP206:AP211" si="99">AH206-AM206</f>
        <v>4000</v>
      </c>
      <c r="AQ206" s="285">
        <f t="shared" ref="AQ206:AQ211" si="100">AP206-AK206</f>
        <v>4000</v>
      </c>
      <c r="AR206" s="295">
        <v>48042</v>
      </c>
      <c r="AS206" s="295">
        <v>2000</v>
      </c>
      <c r="AT206" s="304"/>
    </row>
    <row r="207" spans="1:47" s="265" customFormat="1" ht="47.25" customHeight="1">
      <c r="A207" s="298">
        <v>2</v>
      </c>
      <c r="B207" s="314" t="s">
        <v>1072</v>
      </c>
      <c r="C207" s="300" t="s">
        <v>797</v>
      </c>
      <c r="D207" s="300" t="s">
        <v>675</v>
      </c>
      <c r="E207" s="300" t="s">
        <v>1073</v>
      </c>
      <c r="F207" s="312" t="s">
        <v>887</v>
      </c>
      <c r="G207" s="300" t="s">
        <v>1074</v>
      </c>
      <c r="H207" s="295">
        <v>49922</v>
      </c>
      <c r="I207" s="295"/>
      <c r="J207" s="295">
        <f t="shared" si="94"/>
        <v>0</v>
      </c>
      <c r="K207" s="295">
        <v>5940</v>
      </c>
      <c r="L207" s="295">
        <v>28000</v>
      </c>
      <c r="M207" s="295">
        <v>28000</v>
      </c>
      <c r="N207" s="295">
        <f>P207+R207</f>
        <v>15000</v>
      </c>
      <c r="O207" s="295">
        <f t="shared" si="95"/>
        <v>14479</v>
      </c>
      <c r="P207" s="295">
        <v>15000</v>
      </c>
      <c r="Q207" s="295">
        <v>14479</v>
      </c>
      <c r="R207" s="295"/>
      <c r="S207" s="295"/>
      <c r="T207" s="295">
        <f>V207+X207+Z207+AB207+AD207</f>
        <v>4620</v>
      </c>
      <c r="U207" s="295">
        <f>W207+Y207+AA207+AC207+AE207</f>
        <v>4620</v>
      </c>
      <c r="V207" s="295">
        <v>4620</v>
      </c>
      <c r="W207" s="295">
        <v>4620</v>
      </c>
      <c r="X207" s="295"/>
      <c r="Y207" s="295"/>
      <c r="Z207" s="295"/>
      <c r="AA207" s="295"/>
      <c r="AB207" s="295"/>
      <c r="AC207" s="295"/>
      <c r="AD207" s="295"/>
      <c r="AE207" s="295"/>
      <c r="AF207" s="295">
        <v>3000</v>
      </c>
      <c r="AG207" s="295"/>
      <c r="AH207" s="295">
        <f>AI207+AJ207+AK207</f>
        <v>25000</v>
      </c>
      <c r="AI207" s="295">
        <v>25000</v>
      </c>
      <c r="AJ207" s="295">
        <f>R207+X207+Z207+AB207+AD207</f>
        <v>0</v>
      </c>
      <c r="AK207" s="295"/>
      <c r="AL207" s="285">
        <f t="shared" si="96"/>
        <v>25000</v>
      </c>
      <c r="AM207" s="295">
        <f t="shared" si="97"/>
        <v>22620</v>
      </c>
      <c r="AN207" s="295">
        <f t="shared" si="97"/>
        <v>19099</v>
      </c>
      <c r="AO207" s="295">
        <f t="shared" si="98"/>
        <v>28560</v>
      </c>
      <c r="AP207" s="295">
        <f t="shared" si="99"/>
        <v>2380</v>
      </c>
      <c r="AQ207" s="285">
        <f t="shared" si="100"/>
        <v>2380</v>
      </c>
      <c r="AR207" s="295">
        <v>28560</v>
      </c>
      <c r="AS207" s="295">
        <v>1500</v>
      </c>
      <c r="AT207" s="304"/>
      <c r="AU207" s="265" t="e">
        <f>#REF!+#REF!+#REF!</f>
        <v>#REF!</v>
      </c>
    </row>
    <row r="208" spans="1:47" s="265" customFormat="1" ht="47.25" customHeight="1">
      <c r="A208" s="298">
        <v>3</v>
      </c>
      <c r="B208" s="314" t="s">
        <v>1075</v>
      </c>
      <c r="C208" s="300" t="s">
        <v>797</v>
      </c>
      <c r="D208" s="300" t="s">
        <v>705</v>
      </c>
      <c r="E208" s="300" t="s">
        <v>1076</v>
      </c>
      <c r="F208" s="312" t="s">
        <v>720</v>
      </c>
      <c r="G208" s="300" t="s">
        <v>1077</v>
      </c>
      <c r="H208" s="295">
        <v>44965</v>
      </c>
      <c r="I208" s="295"/>
      <c r="J208" s="295">
        <f t="shared" si="94"/>
        <v>0</v>
      </c>
      <c r="K208" s="295"/>
      <c r="L208" s="295">
        <v>40500</v>
      </c>
      <c r="M208" s="295">
        <v>40500</v>
      </c>
      <c r="N208" s="295">
        <f t="shared" ref="N208:O217" si="101">P208+R208</f>
        <v>0</v>
      </c>
      <c r="O208" s="295">
        <f t="shared" si="95"/>
        <v>0</v>
      </c>
      <c r="P208" s="295"/>
      <c r="Q208" s="295"/>
      <c r="R208" s="295"/>
      <c r="S208" s="295"/>
      <c r="T208" s="295">
        <f t="shared" ref="T208:U221" si="102">V208+X208+Z208+AB208+AD208</f>
        <v>7000</v>
      </c>
      <c r="U208" s="295">
        <f t="shared" si="102"/>
        <v>7000</v>
      </c>
      <c r="V208" s="295">
        <v>7000</v>
      </c>
      <c r="W208" s="295">
        <v>7000</v>
      </c>
      <c r="X208" s="295"/>
      <c r="Y208" s="295"/>
      <c r="Z208" s="295"/>
      <c r="AA208" s="295"/>
      <c r="AB208" s="295"/>
      <c r="AC208" s="295"/>
      <c r="AD208" s="295"/>
      <c r="AE208" s="295"/>
      <c r="AF208" s="295">
        <v>10000</v>
      </c>
      <c r="AG208" s="295">
        <v>2151</v>
      </c>
      <c r="AH208" s="295">
        <f t="shared" ref="AH208:AH217" si="103">AI208+AJ208+AK208</f>
        <v>40500</v>
      </c>
      <c r="AI208" s="295">
        <v>40500</v>
      </c>
      <c r="AJ208" s="295">
        <f t="shared" ref="AJ208:AJ217" si="104">R208+X208+Z208+AB208+AD208</f>
        <v>0</v>
      </c>
      <c r="AK208" s="295"/>
      <c r="AL208" s="285">
        <f t="shared" si="96"/>
        <v>40500</v>
      </c>
      <c r="AM208" s="295">
        <f t="shared" si="97"/>
        <v>17000</v>
      </c>
      <c r="AN208" s="295">
        <f t="shared" si="97"/>
        <v>9151</v>
      </c>
      <c r="AO208" s="295">
        <f t="shared" si="98"/>
        <v>17000</v>
      </c>
      <c r="AP208" s="295">
        <f t="shared" si="99"/>
        <v>23500</v>
      </c>
      <c r="AQ208" s="285">
        <f t="shared" si="100"/>
        <v>23500</v>
      </c>
      <c r="AR208" s="295">
        <v>17000</v>
      </c>
      <c r="AS208" s="295">
        <v>12000</v>
      </c>
      <c r="AT208" s="304"/>
    </row>
    <row r="209" spans="1:47" s="265" customFormat="1" ht="47.25" customHeight="1">
      <c r="A209" s="298">
        <v>4</v>
      </c>
      <c r="B209" s="314" t="s">
        <v>1078</v>
      </c>
      <c r="C209" s="300" t="s">
        <v>797</v>
      </c>
      <c r="D209" s="300" t="s">
        <v>675</v>
      </c>
      <c r="E209" s="300"/>
      <c r="F209" s="312" t="s">
        <v>941</v>
      </c>
      <c r="G209" s="300" t="s">
        <v>1079</v>
      </c>
      <c r="H209" s="295">
        <v>29980</v>
      </c>
      <c r="I209" s="295"/>
      <c r="J209" s="295">
        <f t="shared" si="94"/>
        <v>0</v>
      </c>
      <c r="K209" s="295"/>
      <c r="L209" s="295">
        <v>27000</v>
      </c>
      <c r="M209" s="295">
        <v>27000</v>
      </c>
      <c r="N209" s="295">
        <f t="shared" si="101"/>
        <v>0</v>
      </c>
      <c r="O209" s="295">
        <f t="shared" si="95"/>
        <v>0</v>
      </c>
      <c r="P209" s="295"/>
      <c r="Q209" s="295"/>
      <c r="R209" s="295"/>
      <c r="S209" s="295"/>
      <c r="T209" s="295">
        <f t="shared" si="102"/>
        <v>11900</v>
      </c>
      <c r="U209" s="295">
        <f t="shared" si="102"/>
        <v>11818</v>
      </c>
      <c r="V209" s="295">
        <v>11900</v>
      </c>
      <c r="W209" s="295">
        <v>11818</v>
      </c>
      <c r="X209" s="295"/>
      <c r="Y209" s="295"/>
      <c r="Z209" s="295"/>
      <c r="AA209" s="295"/>
      <c r="AB209" s="295"/>
      <c r="AC209" s="295"/>
      <c r="AD209" s="295"/>
      <c r="AE209" s="295"/>
      <c r="AF209" s="295">
        <v>10000</v>
      </c>
      <c r="AG209" s="295">
        <v>2262</v>
      </c>
      <c r="AH209" s="295">
        <f t="shared" si="103"/>
        <v>27000</v>
      </c>
      <c r="AI209" s="295">
        <v>27000</v>
      </c>
      <c r="AJ209" s="295">
        <f t="shared" si="104"/>
        <v>0</v>
      </c>
      <c r="AK209" s="295"/>
      <c r="AL209" s="285">
        <f t="shared" si="96"/>
        <v>27000</v>
      </c>
      <c r="AM209" s="295">
        <f t="shared" si="97"/>
        <v>21900</v>
      </c>
      <c r="AN209" s="295">
        <f t="shared" si="97"/>
        <v>14080</v>
      </c>
      <c r="AO209" s="295">
        <f t="shared" si="98"/>
        <v>21900</v>
      </c>
      <c r="AP209" s="295">
        <f t="shared" si="99"/>
        <v>5100</v>
      </c>
      <c r="AQ209" s="285">
        <f t="shared" si="100"/>
        <v>5100</v>
      </c>
      <c r="AR209" s="295">
        <v>21900</v>
      </c>
      <c r="AS209" s="295">
        <v>4000</v>
      </c>
      <c r="AT209" s="304"/>
    </row>
    <row r="210" spans="1:47" s="265" customFormat="1" ht="47.25" customHeight="1">
      <c r="A210" s="298">
        <v>5</v>
      </c>
      <c r="B210" s="314" t="s">
        <v>1080</v>
      </c>
      <c r="C210" s="300" t="s">
        <v>797</v>
      </c>
      <c r="D210" s="300" t="s">
        <v>698</v>
      </c>
      <c r="E210" s="300"/>
      <c r="F210" s="312" t="s">
        <v>899</v>
      </c>
      <c r="G210" s="300"/>
      <c r="H210" s="295">
        <v>93473</v>
      </c>
      <c r="I210" s="295"/>
      <c r="J210" s="295">
        <f t="shared" si="94"/>
        <v>0</v>
      </c>
      <c r="K210" s="295"/>
      <c r="L210" s="295">
        <v>100000</v>
      </c>
      <c r="M210" s="295">
        <v>100000</v>
      </c>
      <c r="N210" s="295">
        <f t="shared" si="101"/>
        <v>0</v>
      </c>
      <c r="O210" s="295">
        <f t="shared" si="101"/>
        <v>0</v>
      </c>
      <c r="P210" s="295"/>
      <c r="Q210" s="295"/>
      <c r="R210" s="295"/>
      <c r="S210" s="295"/>
      <c r="T210" s="295">
        <f>V210+X210+Z210+AB210+AD210</f>
        <v>0</v>
      </c>
      <c r="U210" s="295">
        <f t="shared" si="102"/>
        <v>0</v>
      </c>
      <c r="V210" s="295"/>
      <c r="W210" s="295"/>
      <c r="X210" s="295"/>
      <c r="Y210" s="295"/>
      <c r="Z210" s="295"/>
      <c r="AA210" s="295"/>
      <c r="AB210" s="295"/>
      <c r="AC210" s="295"/>
      <c r="AD210" s="295"/>
      <c r="AE210" s="295"/>
      <c r="AF210" s="295">
        <v>5000</v>
      </c>
      <c r="AG210" s="295"/>
      <c r="AH210" s="295">
        <f>AI210+AJ210+AK210</f>
        <v>84000</v>
      </c>
      <c r="AI210" s="295">
        <v>84000</v>
      </c>
      <c r="AJ210" s="295">
        <f>R210+X210+Z210+AB210+AD210</f>
        <v>0</v>
      </c>
      <c r="AK210" s="295"/>
      <c r="AL210" s="285">
        <f t="shared" si="96"/>
        <v>84000</v>
      </c>
      <c r="AM210" s="295">
        <f t="shared" si="97"/>
        <v>5000</v>
      </c>
      <c r="AN210" s="295">
        <f t="shared" si="97"/>
        <v>0</v>
      </c>
      <c r="AO210" s="295">
        <f t="shared" si="98"/>
        <v>5000</v>
      </c>
      <c r="AP210" s="295">
        <f t="shared" si="99"/>
        <v>79000</v>
      </c>
      <c r="AQ210" s="285">
        <f t="shared" si="100"/>
        <v>79000</v>
      </c>
      <c r="AR210" s="295">
        <v>500</v>
      </c>
      <c r="AS210" s="295">
        <v>20000</v>
      </c>
      <c r="AT210" s="304"/>
    </row>
    <row r="211" spans="1:47" s="265" customFormat="1" ht="47.25" customHeight="1">
      <c r="A211" s="298">
        <v>6</v>
      </c>
      <c r="B211" s="314" t="s">
        <v>1081</v>
      </c>
      <c r="C211" s="300" t="s">
        <v>1069</v>
      </c>
      <c r="D211" s="300" t="s">
        <v>659</v>
      </c>
      <c r="E211" s="300"/>
      <c r="F211" s="312" t="s">
        <v>899</v>
      </c>
      <c r="G211" s="300" t="s">
        <v>1082</v>
      </c>
      <c r="H211" s="295">
        <v>39785</v>
      </c>
      <c r="I211" s="295"/>
      <c r="J211" s="295">
        <f t="shared" si="94"/>
        <v>0</v>
      </c>
      <c r="K211" s="295"/>
      <c r="L211" s="295">
        <v>40000</v>
      </c>
      <c r="M211" s="295">
        <v>40000</v>
      </c>
      <c r="N211" s="295">
        <f t="shared" si="101"/>
        <v>0</v>
      </c>
      <c r="O211" s="295">
        <f t="shared" si="101"/>
        <v>0</v>
      </c>
      <c r="P211" s="295"/>
      <c r="Q211" s="295"/>
      <c r="R211" s="295"/>
      <c r="S211" s="295"/>
      <c r="T211" s="295">
        <f>V211+X211+Z211+AB211+AD211</f>
        <v>0</v>
      </c>
      <c r="U211" s="295">
        <f t="shared" si="102"/>
        <v>0</v>
      </c>
      <c r="V211" s="295"/>
      <c r="W211" s="295"/>
      <c r="X211" s="295"/>
      <c r="Y211" s="295"/>
      <c r="Z211" s="295"/>
      <c r="AA211" s="295"/>
      <c r="AB211" s="295"/>
      <c r="AC211" s="295"/>
      <c r="AD211" s="295"/>
      <c r="AE211" s="295"/>
      <c r="AF211" s="295">
        <v>12500</v>
      </c>
      <c r="AG211" s="295"/>
      <c r="AH211" s="295">
        <f>AI211+AJ211+AK211</f>
        <v>36000</v>
      </c>
      <c r="AI211" s="295">
        <v>36000</v>
      </c>
      <c r="AJ211" s="295">
        <f>R211+X211+Z211+AB211+AD211</f>
        <v>0</v>
      </c>
      <c r="AK211" s="295"/>
      <c r="AL211" s="285">
        <f t="shared" si="96"/>
        <v>36000</v>
      </c>
      <c r="AM211" s="295">
        <f t="shared" si="97"/>
        <v>12500</v>
      </c>
      <c r="AN211" s="295">
        <f t="shared" si="97"/>
        <v>0</v>
      </c>
      <c r="AO211" s="295">
        <f t="shared" si="98"/>
        <v>12500</v>
      </c>
      <c r="AP211" s="295">
        <f t="shared" si="99"/>
        <v>23500</v>
      </c>
      <c r="AQ211" s="285">
        <f t="shared" si="100"/>
        <v>23500</v>
      </c>
      <c r="AR211" s="295">
        <v>12500</v>
      </c>
      <c r="AS211" s="295">
        <v>17000</v>
      </c>
      <c r="AT211" s="304"/>
    </row>
    <row r="212" spans="1:47" s="265" customFormat="1" ht="47.25" customHeight="1">
      <c r="A212" s="279">
        <v>7</v>
      </c>
      <c r="B212" s="367" t="s">
        <v>1083</v>
      </c>
      <c r="C212" s="287" t="s">
        <v>659</v>
      </c>
      <c r="D212" s="287" t="s">
        <v>659</v>
      </c>
      <c r="E212" s="283"/>
      <c r="F212" s="298"/>
      <c r="G212" s="334"/>
      <c r="H212" s="285">
        <f>'[3]B3 - Y TẾ'!H10</f>
        <v>37792</v>
      </c>
      <c r="I212" s="285">
        <f>'[3]B3 - Y TẾ'!I10</f>
        <v>0</v>
      </c>
      <c r="J212" s="285">
        <f>'[3]B3 - Y TẾ'!J10</f>
        <v>0</v>
      </c>
      <c r="K212" s="285">
        <f>'[3]B3 - Y TẾ'!K10</f>
        <v>0</v>
      </c>
      <c r="L212" s="285">
        <f>'[3]B3 - Y TẾ'!L10</f>
        <v>0</v>
      </c>
      <c r="M212" s="285">
        <f>'[3]B3 - Y TẾ'!M10</f>
        <v>0</v>
      </c>
      <c r="N212" s="285">
        <f>'[3]B3 - Y TẾ'!N10</f>
        <v>0</v>
      </c>
      <c r="O212" s="285">
        <f>'[3]B3 - Y TẾ'!O10</f>
        <v>0</v>
      </c>
      <c r="P212" s="285">
        <f>'[3]B3 - Y TẾ'!P10</f>
        <v>0</v>
      </c>
      <c r="Q212" s="285">
        <f>'[3]B3 - Y TẾ'!Q10</f>
        <v>0</v>
      </c>
      <c r="R212" s="285">
        <f>'[3]B3 - Y TẾ'!R10</f>
        <v>0</v>
      </c>
      <c r="S212" s="285">
        <f>'[3]B3 - Y TẾ'!S10</f>
        <v>0</v>
      </c>
      <c r="T212" s="285">
        <f>'[3]B3 - Y TẾ'!T10</f>
        <v>0</v>
      </c>
      <c r="U212" s="285">
        <f>'[3]B3 - Y TẾ'!U10</f>
        <v>0</v>
      </c>
      <c r="V212" s="285">
        <f>'[3]B3 - Y TẾ'!V10</f>
        <v>0</v>
      </c>
      <c r="W212" s="285">
        <f>'[3]B3 - Y TẾ'!W10</f>
        <v>0</v>
      </c>
      <c r="X212" s="285">
        <f>'[3]B3 - Y TẾ'!X10</f>
        <v>0</v>
      </c>
      <c r="Y212" s="285">
        <f>'[3]B3 - Y TẾ'!Y10</f>
        <v>0</v>
      </c>
      <c r="Z212" s="285">
        <f>'[3]B3 - Y TẾ'!Z10</f>
        <v>0</v>
      </c>
      <c r="AA212" s="285">
        <f>'[3]B3 - Y TẾ'!AA10</f>
        <v>0</v>
      </c>
      <c r="AB212" s="285">
        <f>'[3]B3 - Y TẾ'!AB10</f>
        <v>0</v>
      </c>
      <c r="AC212" s="285">
        <f>'[3]B3 - Y TẾ'!AC10</f>
        <v>0</v>
      </c>
      <c r="AD212" s="285">
        <f>'[3]B3 - Y TẾ'!AD10</f>
        <v>0</v>
      </c>
      <c r="AE212" s="285">
        <f>'[3]B3 - Y TẾ'!AE10</f>
        <v>0</v>
      </c>
      <c r="AF212" s="285">
        <f>'[3]B3 - Y TẾ'!AF10</f>
        <v>0</v>
      </c>
      <c r="AG212" s="285">
        <f>'[3]B3 - Y TẾ'!AG10</f>
        <v>0</v>
      </c>
      <c r="AH212" s="285">
        <f>'[3]B3 - Y TẾ'!AH10</f>
        <v>0</v>
      </c>
      <c r="AI212" s="285">
        <f>'[3]B3 - Y TẾ'!AI10</f>
        <v>0</v>
      </c>
      <c r="AJ212" s="285">
        <f>'[3]B3 - Y TẾ'!AJ10</f>
        <v>0</v>
      </c>
      <c r="AK212" s="285">
        <f>'[3]B3 - Y TẾ'!AK10</f>
        <v>0</v>
      </c>
      <c r="AL212" s="285">
        <f>'[3]B3 - Y TẾ'!AL10</f>
        <v>0</v>
      </c>
      <c r="AM212" s="285">
        <f>'[3]B3 - Y TẾ'!AM10</f>
        <v>15300</v>
      </c>
      <c r="AN212" s="285">
        <f>'[3]B3 - Y TẾ'!AN10</f>
        <v>0</v>
      </c>
      <c r="AO212" s="285">
        <f>'[3]B3 - Y TẾ'!AO10</f>
        <v>15300</v>
      </c>
      <c r="AP212" s="285">
        <f>'[3]B3 - Y TẾ'!AP10</f>
        <v>0</v>
      </c>
      <c r="AQ212" s="285">
        <f>'[3]B3 - Y TẾ'!AQ10</f>
        <v>0</v>
      </c>
      <c r="AR212" s="285">
        <f>'[3]B3 - Y TẾ'!AR10</f>
        <v>15300</v>
      </c>
      <c r="AS212" s="285">
        <f>'[3]B3 - Y TẾ'!AS10</f>
        <v>12500</v>
      </c>
      <c r="AT212" s="373" t="s">
        <v>1084</v>
      </c>
      <c r="AU212" s="265" t="e">
        <f>47560-#REF!</f>
        <v>#REF!</v>
      </c>
    </row>
    <row r="213" spans="1:47" s="265" customFormat="1" ht="47.25" customHeight="1">
      <c r="A213" s="279">
        <v>8</v>
      </c>
      <c r="B213" s="347" t="s">
        <v>1085</v>
      </c>
      <c r="C213" s="282" t="s">
        <v>1066</v>
      </c>
      <c r="D213" s="282" t="s">
        <v>659</v>
      </c>
      <c r="E213" s="282"/>
      <c r="F213" s="348"/>
      <c r="G213" s="282"/>
      <c r="H213" s="285">
        <v>0</v>
      </c>
      <c r="I213" s="285"/>
      <c r="J213" s="285">
        <f>I213*90%</f>
        <v>0</v>
      </c>
      <c r="K213" s="285"/>
      <c r="L213" s="285">
        <v>17230</v>
      </c>
      <c r="M213" s="285">
        <v>17230</v>
      </c>
      <c r="N213" s="285">
        <f t="shared" si="101"/>
        <v>0</v>
      </c>
      <c r="O213" s="285">
        <f t="shared" si="101"/>
        <v>0</v>
      </c>
      <c r="P213" s="285"/>
      <c r="Q213" s="285"/>
      <c r="R213" s="285"/>
      <c r="S213" s="285"/>
      <c r="T213" s="285">
        <f>V213+X213+Z213+AB213+AD213</f>
        <v>0</v>
      </c>
      <c r="U213" s="285">
        <f>W213+Y213+AA213+AC213+AE213</f>
        <v>0</v>
      </c>
      <c r="V213" s="285"/>
      <c r="W213" s="285"/>
      <c r="X213" s="285"/>
      <c r="Y213" s="285"/>
      <c r="Z213" s="285"/>
      <c r="AA213" s="285"/>
      <c r="AB213" s="285"/>
      <c r="AC213" s="285"/>
      <c r="AD213" s="285"/>
      <c r="AE213" s="285"/>
      <c r="AF213" s="285"/>
      <c r="AG213" s="285"/>
      <c r="AH213" s="285">
        <f>AI213+AJ213+AK213</f>
        <v>25000</v>
      </c>
      <c r="AI213" s="285">
        <v>25000</v>
      </c>
      <c r="AJ213" s="285">
        <f>R213+X213+Z213+AB213+AD213</f>
        <v>0</v>
      </c>
      <c r="AK213" s="285"/>
      <c r="AL213" s="285">
        <f>AI213+AJ213</f>
        <v>25000</v>
      </c>
      <c r="AM213" s="285">
        <f>N213+T213+AF213</f>
        <v>0</v>
      </c>
      <c r="AN213" s="285">
        <f>O213+U213+AG213</f>
        <v>0</v>
      </c>
      <c r="AO213" s="285">
        <f>K213+AM213</f>
        <v>0</v>
      </c>
      <c r="AP213" s="285">
        <f>AH213-AM213</f>
        <v>25000</v>
      </c>
      <c r="AQ213" s="285">
        <f>AP213-AK213</f>
        <v>25000</v>
      </c>
      <c r="AR213" s="285">
        <v>0</v>
      </c>
      <c r="AS213" s="285">
        <v>15000</v>
      </c>
      <c r="AT213" s="349"/>
    </row>
    <row r="214" spans="1:47" s="265" customFormat="1" ht="47.25" customHeight="1">
      <c r="A214" s="290" t="s">
        <v>340</v>
      </c>
      <c r="B214" s="297" t="s">
        <v>682</v>
      </c>
      <c r="C214" s="292"/>
      <c r="D214" s="279"/>
      <c r="E214" s="293"/>
      <c r="F214" s="279"/>
      <c r="G214" s="294"/>
      <c r="H214" s="285">
        <f t="shared" ref="H214:AS214" si="105">SUM(H215:H220)</f>
        <v>2473029</v>
      </c>
      <c r="I214" s="285">
        <f t="shared" si="105"/>
        <v>0</v>
      </c>
      <c r="J214" s="285">
        <f t="shared" si="105"/>
        <v>0</v>
      </c>
      <c r="K214" s="285">
        <f t="shared" si="105"/>
        <v>0</v>
      </c>
      <c r="L214" s="285">
        <f t="shared" si="105"/>
        <v>59760</v>
      </c>
      <c r="M214" s="285">
        <f t="shared" si="105"/>
        <v>59760</v>
      </c>
      <c r="N214" s="285">
        <f t="shared" si="105"/>
        <v>0</v>
      </c>
      <c r="O214" s="285">
        <f t="shared" si="105"/>
        <v>0</v>
      </c>
      <c r="P214" s="285">
        <f t="shared" si="105"/>
        <v>0</v>
      </c>
      <c r="Q214" s="285">
        <f t="shared" si="105"/>
        <v>0</v>
      </c>
      <c r="R214" s="285">
        <f t="shared" si="105"/>
        <v>0</v>
      </c>
      <c r="S214" s="285">
        <f t="shared" si="105"/>
        <v>0</v>
      </c>
      <c r="T214" s="285">
        <f t="shared" si="105"/>
        <v>0</v>
      </c>
      <c r="U214" s="285">
        <f t="shared" si="105"/>
        <v>0</v>
      </c>
      <c r="V214" s="285">
        <f t="shared" si="105"/>
        <v>0</v>
      </c>
      <c r="W214" s="285">
        <f t="shared" si="105"/>
        <v>0</v>
      </c>
      <c r="X214" s="285">
        <f t="shared" si="105"/>
        <v>0</v>
      </c>
      <c r="Y214" s="285">
        <f t="shared" si="105"/>
        <v>0</v>
      </c>
      <c r="Z214" s="285">
        <f t="shared" si="105"/>
        <v>0</v>
      </c>
      <c r="AA214" s="285">
        <f t="shared" si="105"/>
        <v>0</v>
      </c>
      <c r="AB214" s="285">
        <f t="shared" si="105"/>
        <v>0</v>
      </c>
      <c r="AC214" s="285">
        <f t="shared" si="105"/>
        <v>0</v>
      </c>
      <c r="AD214" s="285">
        <f t="shared" si="105"/>
        <v>0</v>
      </c>
      <c r="AE214" s="285">
        <f t="shared" si="105"/>
        <v>0</v>
      </c>
      <c r="AF214" s="285">
        <f t="shared" si="105"/>
        <v>0</v>
      </c>
      <c r="AG214" s="285">
        <f t="shared" si="105"/>
        <v>0</v>
      </c>
      <c r="AH214" s="285">
        <f t="shared" si="105"/>
        <v>223500</v>
      </c>
      <c r="AI214" s="285">
        <f t="shared" si="105"/>
        <v>223500</v>
      </c>
      <c r="AJ214" s="285">
        <f t="shared" si="105"/>
        <v>0</v>
      </c>
      <c r="AK214" s="285">
        <f t="shared" si="105"/>
        <v>0</v>
      </c>
      <c r="AL214" s="285">
        <f t="shared" si="105"/>
        <v>223500</v>
      </c>
      <c r="AM214" s="285">
        <f t="shared" si="105"/>
        <v>0</v>
      </c>
      <c r="AN214" s="285">
        <f t="shared" si="105"/>
        <v>0</v>
      </c>
      <c r="AO214" s="285">
        <f t="shared" si="105"/>
        <v>0</v>
      </c>
      <c r="AP214" s="285">
        <f t="shared" si="105"/>
        <v>223500</v>
      </c>
      <c r="AQ214" s="285">
        <f t="shared" si="105"/>
        <v>223500</v>
      </c>
      <c r="AR214" s="285">
        <f t="shared" si="105"/>
        <v>0</v>
      </c>
      <c r="AS214" s="285">
        <f t="shared" si="105"/>
        <v>100060</v>
      </c>
      <c r="AT214" s="296"/>
    </row>
    <row r="215" spans="1:47" s="265" customFormat="1" ht="47.25" customHeight="1">
      <c r="A215" s="298">
        <v>1</v>
      </c>
      <c r="B215" s="314" t="s">
        <v>1086</v>
      </c>
      <c r="C215" s="300" t="s">
        <v>797</v>
      </c>
      <c r="D215" s="300" t="s">
        <v>946</v>
      </c>
      <c r="E215" s="300"/>
      <c r="F215" s="312" t="s">
        <v>727</v>
      </c>
      <c r="G215" s="300"/>
      <c r="H215" s="295">
        <v>34918</v>
      </c>
      <c r="I215" s="295"/>
      <c r="J215" s="295">
        <f>I215*90%</f>
        <v>0</v>
      </c>
      <c r="K215" s="295"/>
      <c r="L215" s="295">
        <v>31500</v>
      </c>
      <c r="M215" s="295">
        <v>31500</v>
      </c>
      <c r="N215" s="295">
        <f t="shared" si="101"/>
        <v>0</v>
      </c>
      <c r="O215" s="295">
        <f t="shared" si="95"/>
        <v>0</v>
      </c>
      <c r="P215" s="295"/>
      <c r="Q215" s="295"/>
      <c r="R215" s="295"/>
      <c r="S215" s="295"/>
      <c r="T215" s="295">
        <f t="shared" si="102"/>
        <v>0</v>
      </c>
      <c r="U215" s="295">
        <f t="shared" si="102"/>
        <v>0</v>
      </c>
      <c r="V215" s="295"/>
      <c r="W215" s="295"/>
      <c r="X215" s="295"/>
      <c r="Y215" s="295"/>
      <c r="Z215" s="295"/>
      <c r="AA215" s="295"/>
      <c r="AB215" s="295"/>
      <c r="AC215" s="295"/>
      <c r="AD215" s="295"/>
      <c r="AE215" s="295"/>
      <c r="AF215" s="295"/>
      <c r="AG215" s="295"/>
      <c r="AH215" s="295">
        <f t="shared" si="103"/>
        <v>31500</v>
      </c>
      <c r="AI215" s="295">
        <v>31500</v>
      </c>
      <c r="AJ215" s="295">
        <f t="shared" si="104"/>
        <v>0</v>
      </c>
      <c r="AK215" s="295"/>
      <c r="AL215" s="285">
        <f t="shared" si="96"/>
        <v>31500</v>
      </c>
      <c r="AM215" s="295">
        <f t="shared" ref="AM215:AN219" si="106">N215+T215+AF215</f>
        <v>0</v>
      </c>
      <c r="AN215" s="295">
        <f t="shared" si="106"/>
        <v>0</v>
      </c>
      <c r="AO215" s="285">
        <f t="shared" si="98"/>
        <v>0</v>
      </c>
      <c r="AP215" s="295">
        <f>AH215-AM215</f>
        <v>31500</v>
      </c>
      <c r="AQ215" s="285">
        <f t="shared" ref="AQ215:AQ221" si="107">AP215-AK215</f>
        <v>31500</v>
      </c>
      <c r="AR215" s="295">
        <v>0</v>
      </c>
      <c r="AS215" s="295">
        <v>12000</v>
      </c>
      <c r="AT215" s="304"/>
    </row>
    <row r="216" spans="1:47" s="265" customFormat="1" ht="47.25" customHeight="1">
      <c r="A216" s="298">
        <v>2</v>
      </c>
      <c r="B216" s="314" t="s">
        <v>1087</v>
      </c>
      <c r="C216" s="300" t="s">
        <v>797</v>
      </c>
      <c r="D216" s="300" t="s">
        <v>675</v>
      </c>
      <c r="E216" s="300"/>
      <c r="F216" s="312" t="s">
        <v>727</v>
      </c>
      <c r="G216" s="300"/>
      <c r="H216" s="295">
        <v>28494</v>
      </c>
      <c r="I216" s="295"/>
      <c r="J216" s="295">
        <f>I216*90%</f>
        <v>0</v>
      </c>
      <c r="K216" s="295"/>
      <c r="L216" s="295">
        <v>18000</v>
      </c>
      <c r="M216" s="295">
        <v>18000</v>
      </c>
      <c r="N216" s="295">
        <f t="shared" si="101"/>
        <v>0</v>
      </c>
      <c r="O216" s="295">
        <f t="shared" si="95"/>
        <v>0</v>
      </c>
      <c r="P216" s="295"/>
      <c r="Q216" s="295"/>
      <c r="R216" s="295"/>
      <c r="S216" s="295"/>
      <c r="T216" s="295">
        <f t="shared" si="102"/>
        <v>0</v>
      </c>
      <c r="U216" s="295">
        <f t="shared" si="102"/>
        <v>0</v>
      </c>
      <c r="V216" s="295"/>
      <c r="W216" s="295"/>
      <c r="X216" s="295"/>
      <c r="Y216" s="295"/>
      <c r="Z216" s="295"/>
      <c r="AA216" s="295"/>
      <c r="AB216" s="295"/>
      <c r="AC216" s="295"/>
      <c r="AD216" s="295"/>
      <c r="AE216" s="295"/>
      <c r="AF216" s="295"/>
      <c r="AG216" s="295"/>
      <c r="AH216" s="295">
        <f t="shared" si="103"/>
        <v>18000</v>
      </c>
      <c r="AI216" s="295">
        <v>18000</v>
      </c>
      <c r="AJ216" s="295">
        <f t="shared" si="104"/>
        <v>0</v>
      </c>
      <c r="AK216" s="295"/>
      <c r="AL216" s="285">
        <f t="shared" si="96"/>
        <v>18000</v>
      </c>
      <c r="AM216" s="295">
        <f t="shared" si="106"/>
        <v>0</v>
      </c>
      <c r="AN216" s="295">
        <f t="shared" si="106"/>
        <v>0</v>
      </c>
      <c r="AO216" s="285">
        <f t="shared" si="98"/>
        <v>0</v>
      </c>
      <c r="AP216" s="295">
        <f>AH216-AM216</f>
        <v>18000</v>
      </c>
      <c r="AQ216" s="285">
        <f t="shared" si="107"/>
        <v>18000</v>
      </c>
      <c r="AR216" s="295">
        <v>0</v>
      </c>
      <c r="AS216" s="295">
        <v>10000</v>
      </c>
      <c r="AT216" s="304"/>
    </row>
    <row r="217" spans="1:47" s="265" customFormat="1" ht="47.25" customHeight="1">
      <c r="A217" s="298">
        <v>3</v>
      </c>
      <c r="B217" s="314" t="s">
        <v>1088</v>
      </c>
      <c r="C217" s="300" t="s">
        <v>1089</v>
      </c>
      <c r="D217" s="300" t="s">
        <v>711</v>
      </c>
      <c r="E217" s="300"/>
      <c r="F217" s="312" t="s">
        <v>727</v>
      </c>
      <c r="G217" s="300"/>
      <c r="H217" s="295">
        <v>0</v>
      </c>
      <c r="I217" s="295"/>
      <c r="J217" s="295">
        <f>I217*90%</f>
        <v>0</v>
      </c>
      <c r="K217" s="295"/>
      <c r="L217" s="295">
        <v>10260</v>
      </c>
      <c r="M217" s="295">
        <v>10260</v>
      </c>
      <c r="N217" s="295">
        <f t="shared" si="101"/>
        <v>0</v>
      </c>
      <c r="O217" s="295">
        <f t="shared" si="95"/>
        <v>0</v>
      </c>
      <c r="P217" s="295"/>
      <c r="Q217" s="295"/>
      <c r="R217" s="295"/>
      <c r="S217" s="295"/>
      <c r="T217" s="295">
        <f t="shared" si="102"/>
        <v>0</v>
      </c>
      <c r="U217" s="295">
        <f t="shared" si="102"/>
        <v>0</v>
      </c>
      <c r="V217" s="295"/>
      <c r="W217" s="295"/>
      <c r="X217" s="295"/>
      <c r="Y217" s="295"/>
      <c r="Z217" s="295"/>
      <c r="AA217" s="295"/>
      <c r="AB217" s="295"/>
      <c r="AC217" s="295"/>
      <c r="AD217" s="295"/>
      <c r="AE217" s="295"/>
      <c r="AF217" s="295"/>
      <c r="AG217" s="295"/>
      <c r="AH217" s="295">
        <f t="shared" si="103"/>
        <v>11000</v>
      </c>
      <c r="AI217" s="295">
        <v>11000</v>
      </c>
      <c r="AJ217" s="295">
        <f t="shared" si="104"/>
        <v>0</v>
      </c>
      <c r="AK217" s="295"/>
      <c r="AL217" s="285">
        <f t="shared" si="96"/>
        <v>11000</v>
      </c>
      <c r="AM217" s="295">
        <f t="shared" si="106"/>
        <v>0</v>
      </c>
      <c r="AN217" s="295">
        <f t="shared" si="106"/>
        <v>0</v>
      </c>
      <c r="AO217" s="285">
        <f t="shared" si="98"/>
        <v>0</v>
      </c>
      <c r="AP217" s="295">
        <f>AH217-AM217</f>
        <v>11000</v>
      </c>
      <c r="AQ217" s="285">
        <f t="shared" si="107"/>
        <v>11000</v>
      </c>
      <c r="AR217" s="295">
        <v>0</v>
      </c>
      <c r="AS217" s="295">
        <v>20000</v>
      </c>
      <c r="AT217" s="304"/>
    </row>
    <row r="218" spans="1:47" s="265" customFormat="1" ht="47.25" customHeight="1">
      <c r="A218" s="298">
        <v>4</v>
      </c>
      <c r="B218" s="374" t="s">
        <v>1090</v>
      </c>
      <c r="C218" s="300" t="s">
        <v>797</v>
      </c>
      <c r="D218" s="298" t="s">
        <v>675</v>
      </c>
      <c r="E218" s="293"/>
      <c r="F218" s="298" t="s">
        <v>904</v>
      </c>
      <c r="G218" s="300" t="s">
        <v>1091</v>
      </c>
      <c r="H218" s="295">
        <v>2350000</v>
      </c>
      <c r="I218" s="295"/>
      <c r="J218" s="295">
        <f>I218*90%</f>
        <v>0</v>
      </c>
      <c r="K218" s="285"/>
      <c r="L218" s="285"/>
      <c r="M218" s="285"/>
      <c r="N218" s="285"/>
      <c r="O218" s="295">
        <f t="shared" si="95"/>
        <v>0</v>
      </c>
      <c r="P218" s="285"/>
      <c r="Q218" s="285"/>
      <c r="R218" s="285"/>
      <c r="S218" s="285"/>
      <c r="T218" s="285"/>
      <c r="U218" s="295">
        <f t="shared" si="102"/>
        <v>0</v>
      </c>
      <c r="V218" s="285"/>
      <c r="W218" s="285"/>
      <c r="X218" s="285"/>
      <c r="Y218" s="285"/>
      <c r="Z218" s="285"/>
      <c r="AA218" s="285"/>
      <c r="AB218" s="285"/>
      <c r="AC218" s="285"/>
      <c r="AD218" s="285"/>
      <c r="AE218" s="285"/>
      <c r="AF218" s="285"/>
      <c r="AG218" s="285"/>
      <c r="AH218" s="295">
        <f>AI218+AJ218+AK218</f>
        <v>150000</v>
      </c>
      <c r="AI218" s="295">
        <v>150000</v>
      </c>
      <c r="AJ218" s="285"/>
      <c r="AK218" s="285"/>
      <c r="AL218" s="285">
        <f t="shared" si="96"/>
        <v>150000</v>
      </c>
      <c r="AM218" s="295">
        <f t="shared" si="106"/>
        <v>0</v>
      </c>
      <c r="AN218" s="295">
        <f t="shared" si="106"/>
        <v>0</v>
      </c>
      <c r="AO218" s="285">
        <f t="shared" si="98"/>
        <v>0</v>
      </c>
      <c r="AP218" s="295">
        <f>AH218-AM218</f>
        <v>150000</v>
      </c>
      <c r="AQ218" s="285">
        <f t="shared" si="107"/>
        <v>150000</v>
      </c>
      <c r="AR218" s="295">
        <v>0</v>
      </c>
      <c r="AS218" s="295">
        <v>18000</v>
      </c>
      <c r="AT218" s="296"/>
    </row>
    <row r="219" spans="1:47" s="265" customFormat="1" ht="47.25" customHeight="1">
      <c r="A219" s="298">
        <v>5</v>
      </c>
      <c r="B219" s="314" t="s">
        <v>1092</v>
      </c>
      <c r="C219" s="300" t="s">
        <v>1093</v>
      </c>
      <c r="D219" s="298" t="s">
        <v>675</v>
      </c>
      <c r="E219" s="300"/>
      <c r="F219" s="312" t="s">
        <v>684</v>
      </c>
      <c r="G219" s="300" t="s">
        <v>1094</v>
      </c>
      <c r="H219" s="295">
        <v>14417</v>
      </c>
      <c r="I219" s="295"/>
      <c r="J219" s="295">
        <f>I219*90%</f>
        <v>0</v>
      </c>
      <c r="K219" s="295"/>
      <c r="L219" s="295"/>
      <c r="M219" s="295"/>
      <c r="N219" s="295"/>
      <c r="O219" s="295">
        <f t="shared" si="95"/>
        <v>0</v>
      </c>
      <c r="P219" s="295"/>
      <c r="Q219" s="295"/>
      <c r="R219" s="295"/>
      <c r="S219" s="295"/>
      <c r="T219" s="295">
        <f>V219+X219+Z219+AB219+AD219</f>
        <v>0</v>
      </c>
      <c r="U219" s="295">
        <f t="shared" si="102"/>
        <v>0</v>
      </c>
      <c r="V219" s="295"/>
      <c r="W219" s="295"/>
      <c r="X219" s="295"/>
      <c r="Y219" s="295"/>
      <c r="Z219" s="295"/>
      <c r="AA219" s="295"/>
      <c r="AB219" s="295"/>
      <c r="AC219" s="295"/>
      <c r="AD219" s="295"/>
      <c r="AE219" s="295"/>
      <c r="AF219" s="295"/>
      <c r="AG219" s="295"/>
      <c r="AH219" s="295">
        <f>AI219+AJ219+AK219</f>
        <v>13000</v>
      </c>
      <c r="AI219" s="295">
        <v>13000</v>
      </c>
      <c r="AJ219" s="295">
        <f>R219+X219+Z219+AB219+AD219</f>
        <v>0</v>
      </c>
      <c r="AK219" s="295"/>
      <c r="AL219" s="285">
        <f t="shared" si="96"/>
        <v>13000</v>
      </c>
      <c r="AM219" s="295">
        <f t="shared" si="106"/>
        <v>0</v>
      </c>
      <c r="AN219" s="295">
        <f t="shared" si="106"/>
        <v>0</v>
      </c>
      <c r="AO219" s="285">
        <f t="shared" si="98"/>
        <v>0</v>
      </c>
      <c r="AP219" s="295">
        <f>AH219-AM219</f>
        <v>13000</v>
      </c>
      <c r="AQ219" s="285">
        <f t="shared" si="107"/>
        <v>13000</v>
      </c>
      <c r="AR219" s="295">
        <v>0</v>
      </c>
      <c r="AS219" s="295">
        <v>5000</v>
      </c>
      <c r="AT219" s="375"/>
    </row>
    <row r="220" spans="1:47" s="265" customFormat="1" ht="47.25" customHeight="1">
      <c r="A220" s="279">
        <v>6</v>
      </c>
      <c r="B220" s="367" t="s">
        <v>1083</v>
      </c>
      <c r="C220" s="287" t="s">
        <v>659</v>
      </c>
      <c r="D220" s="287" t="s">
        <v>659</v>
      </c>
      <c r="E220" s="283"/>
      <c r="F220" s="298"/>
      <c r="G220" s="334"/>
      <c r="H220" s="285">
        <v>45200</v>
      </c>
      <c r="I220" s="285">
        <f>'[4]B4 - Y TẾ'!I19</f>
        <v>0</v>
      </c>
      <c r="J220" s="285">
        <f>'[4]B4 - Y TẾ'!J19</f>
        <v>0</v>
      </c>
      <c r="K220" s="285">
        <f>'[4]B4 - Y TẾ'!K19</f>
        <v>0</v>
      </c>
      <c r="L220" s="285">
        <f>'[4]B4 - Y TẾ'!L19</f>
        <v>0</v>
      </c>
      <c r="M220" s="285">
        <f>'[4]B4 - Y TẾ'!M19</f>
        <v>0</v>
      </c>
      <c r="N220" s="285">
        <f>'[4]B4 - Y TẾ'!N19</f>
        <v>0</v>
      </c>
      <c r="O220" s="285">
        <f>'[4]B4 - Y TẾ'!O19</f>
        <v>0</v>
      </c>
      <c r="P220" s="285">
        <f>'[4]B4 - Y TẾ'!P19</f>
        <v>0</v>
      </c>
      <c r="Q220" s="285">
        <f>'[4]B4 - Y TẾ'!Q19</f>
        <v>0</v>
      </c>
      <c r="R220" s="285">
        <f>'[4]B4 - Y TẾ'!R19</f>
        <v>0</v>
      </c>
      <c r="S220" s="285">
        <f>'[4]B4 - Y TẾ'!S19</f>
        <v>0</v>
      </c>
      <c r="T220" s="285">
        <f>'[4]B4 - Y TẾ'!T19</f>
        <v>0</v>
      </c>
      <c r="U220" s="285">
        <f>'[4]B4 - Y TẾ'!U19</f>
        <v>0</v>
      </c>
      <c r="V220" s="285">
        <f>'[4]B4 - Y TẾ'!V19</f>
        <v>0</v>
      </c>
      <c r="W220" s="285">
        <f>'[4]B4 - Y TẾ'!W19</f>
        <v>0</v>
      </c>
      <c r="X220" s="285">
        <f>'[4]B4 - Y TẾ'!X19</f>
        <v>0</v>
      </c>
      <c r="Y220" s="285">
        <f>'[4]B4 - Y TẾ'!Y19</f>
        <v>0</v>
      </c>
      <c r="Z220" s="285">
        <f>'[4]B4 - Y TẾ'!Z19</f>
        <v>0</v>
      </c>
      <c r="AA220" s="285">
        <f>'[4]B4 - Y TẾ'!AA19</f>
        <v>0</v>
      </c>
      <c r="AB220" s="285">
        <f>'[4]B4 - Y TẾ'!AB19</f>
        <v>0</v>
      </c>
      <c r="AC220" s="285">
        <f>'[4]B4 - Y TẾ'!AC19</f>
        <v>0</v>
      </c>
      <c r="AD220" s="285">
        <f>'[4]B4 - Y TẾ'!AD19</f>
        <v>0</v>
      </c>
      <c r="AE220" s="285">
        <f>'[4]B4 - Y TẾ'!AE19</f>
        <v>0</v>
      </c>
      <c r="AF220" s="285">
        <f>'[4]B4 - Y TẾ'!AF19</f>
        <v>0</v>
      </c>
      <c r="AG220" s="285">
        <f>'[4]B4 - Y TẾ'!AG19</f>
        <v>0</v>
      </c>
      <c r="AH220" s="285">
        <f>'[4]B4 - Y TẾ'!AH19</f>
        <v>0</v>
      </c>
      <c r="AI220" s="285">
        <f>'[4]B4 - Y TẾ'!AI19</f>
        <v>0</v>
      </c>
      <c r="AJ220" s="285">
        <f>'[4]B4 - Y TẾ'!AJ19</f>
        <v>0</v>
      </c>
      <c r="AK220" s="285">
        <f>'[4]B4 - Y TẾ'!AK19</f>
        <v>0</v>
      </c>
      <c r="AL220" s="285">
        <f>'[4]B4 - Y TẾ'!AL19</f>
        <v>0</v>
      </c>
      <c r="AM220" s="285">
        <f>'[4]B4 - Y TẾ'!AM19</f>
        <v>0</v>
      </c>
      <c r="AN220" s="285">
        <f>'[4]B4 - Y TẾ'!AN19</f>
        <v>0</v>
      </c>
      <c r="AO220" s="285">
        <f>'[4]B4 - Y TẾ'!AO19</f>
        <v>0</v>
      </c>
      <c r="AP220" s="285">
        <f>'[4]B4 - Y TẾ'!AP19</f>
        <v>0</v>
      </c>
      <c r="AQ220" s="285">
        <f>'[4]B4 - Y TẾ'!AQ19</f>
        <v>0</v>
      </c>
      <c r="AR220" s="285">
        <v>0</v>
      </c>
      <c r="AS220" s="285">
        <f>'[4]B4 - Y TẾ'!AS19</f>
        <v>35060</v>
      </c>
      <c r="AT220" s="373" t="s">
        <v>1084</v>
      </c>
      <c r="AU220" s="265" t="e">
        <f>47560-#REF!</f>
        <v>#REF!</v>
      </c>
    </row>
    <row r="221" spans="1:47" s="265" customFormat="1" ht="47.25" hidden="1" customHeight="1">
      <c r="A221" s="298"/>
      <c r="B221" s="376"/>
      <c r="C221" s="301"/>
      <c r="D221" s="301"/>
      <c r="E221" s="302"/>
      <c r="F221" s="298"/>
      <c r="G221" s="377"/>
      <c r="H221" s="295"/>
      <c r="I221" s="295"/>
      <c r="J221" s="295"/>
      <c r="K221" s="295"/>
      <c r="L221" s="295"/>
      <c r="M221" s="295"/>
      <c r="N221" s="295"/>
      <c r="O221" s="295"/>
      <c r="P221" s="295"/>
      <c r="Q221" s="295"/>
      <c r="R221" s="295"/>
      <c r="S221" s="295"/>
      <c r="T221" s="295"/>
      <c r="U221" s="295">
        <f t="shared" si="102"/>
        <v>0</v>
      </c>
      <c r="V221" s="295"/>
      <c r="W221" s="295"/>
      <c r="X221" s="295"/>
      <c r="Y221" s="295"/>
      <c r="Z221" s="295"/>
      <c r="AA221" s="295"/>
      <c r="AB221" s="295"/>
      <c r="AC221" s="295"/>
      <c r="AD221" s="295"/>
      <c r="AE221" s="295"/>
      <c r="AF221" s="295"/>
      <c r="AG221" s="295"/>
      <c r="AH221" s="295"/>
      <c r="AI221" s="295"/>
      <c r="AJ221" s="295"/>
      <c r="AK221" s="295"/>
      <c r="AL221" s="285">
        <f t="shared" si="96"/>
        <v>0</v>
      </c>
      <c r="AM221" s="295">
        <f>N221+T221+AF221</f>
        <v>0</v>
      </c>
      <c r="AN221" s="295">
        <f>O221+U221+AG221</f>
        <v>0</v>
      </c>
      <c r="AO221" s="285">
        <f t="shared" si="98"/>
        <v>0</v>
      </c>
      <c r="AP221" s="295">
        <f t="shared" ref="AP221:AP252" si="108">AH221-AM221</f>
        <v>0</v>
      </c>
      <c r="AQ221" s="285">
        <f t="shared" si="107"/>
        <v>0</v>
      </c>
      <c r="AR221" s="295"/>
      <c r="AS221" s="295"/>
      <c r="AT221" s="310"/>
    </row>
    <row r="222" spans="1:47" s="265" customFormat="1" ht="47.25" customHeight="1">
      <c r="A222" s="279" t="s">
        <v>33</v>
      </c>
      <c r="B222" s="378" t="s">
        <v>1095</v>
      </c>
      <c r="C222" s="282" t="s">
        <v>659</v>
      </c>
      <c r="D222" s="282" t="s">
        <v>659</v>
      </c>
      <c r="E222" s="282"/>
      <c r="F222" s="282"/>
      <c r="G222" s="282"/>
      <c r="H222" s="285">
        <f t="shared" ref="H222:AR222" si="109">SUM(H223:H227)</f>
        <v>0</v>
      </c>
      <c r="I222" s="285">
        <f t="shared" si="109"/>
        <v>0</v>
      </c>
      <c r="J222" s="285">
        <f t="shared" si="109"/>
        <v>0</v>
      </c>
      <c r="K222" s="285">
        <f t="shared" si="109"/>
        <v>0</v>
      </c>
      <c r="L222" s="285">
        <f t="shared" si="109"/>
        <v>0</v>
      </c>
      <c r="M222" s="285">
        <f t="shared" si="109"/>
        <v>0</v>
      </c>
      <c r="N222" s="285">
        <f t="shared" si="109"/>
        <v>0</v>
      </c>
      <c r="O222" s="285">
        <f t="shared" si="109"/>
        <v>0</v>
      </c>
      <c r="P222" s="285">
        <f t="shared" si="109"/>
        <v>0</v>
      </c>
      <c r="Q222" s="285">
        <f t="shared" si="109"/>
        <v>0</v>
      </c>
      <c r="R222" s="285">
        <f t="shared" si="109"/>
        <v>0</v>
      </c>
      <c r="S222" s="285">
        <f t="shared" si="109"/>
        <v>0</v>
      </c>
      <c r="T222" s="285">
        <f t="shared" si="109"/>
        <v>0</v>
      </c>
      <c r="U222" s="285">
        <f t="shared" si="109"/>
        <v>0</v>
      </c>
      <c r="V222" s="285">
        <f t="shared" si="109"/>
        <v>0</v>
      </c>
      <c r="W222" s="285">
        <f t="shared" si="109"/>
        <v>0</v>
      </c>
      <c r="X222" s="285">
        <f t="shared" si="109"/>
        <v>0</v>
      </c>
      <c r="Y222" s="285">
        <f t="shared" si="109"/>
        <v>0</v>
      </c>
      <c r="Z222" s="285">
        <f t="shared" si="109"/>
        <v>0</v>
      </c>
      <c r="AA222" s="285">
        <f t="shared" si="109"/>
        <v>0</v>
      </c>
      <c r="AB222" s="285">
        <f t="shared" si="109"/>
        <v>0</v>
      </c>
      <c r="AC222" s="285">
        <f t="shared" si="109"/>
        <v>0</v>
      </c>
      <c r="AD222" s="285">
        <f t="shared" si="109"/>
        <v>0</v>
      </c>
      <c r="AE222" s="285">
        <f t="shared" si="109"/>
        <v>0</v>
      </c>
      <c r="AF222" s="285">
        <f t="shared" si="109"/>
        <v>0</v>
      </c>
      <c r="AG222" s="285">
        <f t="shared" si="109"/>
        <v>0</v>
      </c>
      <c r="AH222" s="285">
        <f t="shared" si="109"/>
        <v>0</v>
      </c>
      <c r="AI222" s="285">
        <f t="shared" si="109"/>
        <v>0</v>
      </c>
      <c r="AJ222" s="285">
        <f t="shared" si="109"/>
        <v>0</v>
      </c>
      <c r="AK222" s="285">
        <f t="shared" si="109"/>
        <v>0</v>
      </c>
      <c r="AL222" s="285">
        <f t="shared" si="109"/>
        <v>0</v>
      </c>
      <c r="AM222" s="285">
        <f t="shared" si="109"/>
        <v>0</v>
      </c>
      <c r="AN222" s="285">
        <f t="shared" si="109"/>
        <v>0</v>
      </c>
      <c r="AO222" s="285">
        <f t="shared" si="109"/>
        <v>0</v>
      </c>
      <c r="AP222" s="285">
        <f t="shared" si="109"/>
        <v>0</v>
      </c>
      <c r="AQ222" s="285">
        <f t="shared" si="109"/>
        <v>0</v>
      </c>
      <c r="AR222" s="285">
        <f t="shared" si="109"/>
        <v>0</v>
      </c>
      <c r="AS222" s="285">
        <f>SUM(AS223:AS227)</f>
        <v>361150</v>
      </c>
      <c r="AT222" s="379"/>
    </row>
    <row r="223" spans="1:47" ht="47.25" customHeight="1">
      <c r="A223" s="298">
        <v>1</v>
      </c>
      <c r="B223" s="380" t="s">
        <v>1096</v>
      </c>
      <c r="C223" s="300" t="s">
        <v>659</v>
      </c>
      <c r="D223" s="300" t="s">
        <v>659</v>
      </c>
      <c r="E223" s="300"/>
      <c r="F223" s="300"/>
      <c r="G223" s="300"/>
      <c r="H223" s="295">
        <v>0</v>
      </c>
      <c r="I223" s="295"/>
      <c r="J223" s="295"/>
      <c r="K223" s="295"/>
      <c r="L223" s="295"/>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85">
        <f t="shared" si="96"/>
        <v>0</v>
      </c>
      <c r="AM223" s="295"/>
      <c r="AN223" s="295"/>
      <c r="AO223" s="285">
        <f t="shared" si="98"/>
        <v>0</v>
      </c>
      <c r="AP223" s="295"/>
      <c r="AQ223" s="295"/>
      <c r="AR223" s="295">
        <v>0</v>
      </c>
      <c r="AS223" s="295">
        <f>23*10000</f>
        <v>230000</v>
      </c>
      <c r="AT223" s="381"/>
    </row>
    <row r="224" spans="1:47" ht="47.25" customHeight="1">
      <c r="A224" s="298">
        <v>2</v>
      </c>
      <c r="B224" s="380" t="s">
        <v>1097</v>
      </c>
      <c r="C224" s="300" t="s">
        <v>659</v>
      </c>
      <c r="D224" s="300" t="s">
        <v>659</v>
      </c>
      <c r="E224" s="300"/>
      <c r="F224" s="300"/>
      <c r="G224" s="300"/>
      <c r="H224" s="295">
        <v>0</v>
      </c>
      <c r="I224" s="295"/>
      <c r="J224" s="295"/>
      <c r="K224" s="295"/>
      <c r="L224" s="295"/>
      <c r="M224" s="295"/>
      <c r="N224" s="295"/>
      <c r="O224" s="295"/>
      <c r="P224" s="295"/>
      <c r="Q224" s="295"/>
      <c r="R224" s="295"/>
      <c r="S224" s="295"/>
      <c r="T224" s="295"/>
      <c r="U224" s="295"/>
      <c r="V224" s="295"/>
      <c r="W224" s="295"/>
      <c r="X224" s="295"/>
      <c r="Y224" s="295"/>
      <c r="Z224" s="295"/>
      <c r="AA224" s="295"/>
      <c r="AB224" s="295"/>
      <c r="AC224" s="295"/>
      <c r="AD224" s="295"/>
      <c r="AE224" s="295"/>
      <c r="AF224" s="295"/>
      <c r="AG224" s="295"/>
      <c r="AH224" s="295"/>
      <c r="AI224" s="295"/>
      <c r="AJ224" s="295"/>
      <c r="AK224" s="295"/>
      <c r="AL224" s="285">
        <f t="shared" si="96"/>
        <v>0</v>
      </c>
      <c r="AM224" s="295"/>
      <c r="AN224" s="295"/>
      <c r="AO224" s="285">
        <f t="shared" si="98"/>
        <v>0</v>
      </c>
      <c r="AP224" s="295"/>
      <c r="AQ224" s="295"/>
      <c r="AR224" s="295">
        <v>0</v>
      </c>
      <c r="AS224" s="295">
        <f>23*1000</f>
        <v>23000</v>
      </c>
      <c r="AT224" s="381"/>
    </row>
    <row r="225" spans="1:46" ht="47.25" customHeight="1">
      <c r="A225" s="298">
        <v>3</v>
      </c>
      <c r="B225" s="380" t="s">
        <v>1098</v>
      </c>
      <c r="C225" s="300" t="s">
        <v>659</v>
      </c>
      <c r="D225" s="300" t="s">
        <v>659</v>
      </c>
      <c r="E225" s="300"/>
      <c r="F225" s="300"/>
      <c r="G225" s="300"/>
      <c r="H225" s="295">
        <v>0</v>
      </c>
      <c r="I225" s="295"/>
      <c r="J225" s="295"/>
      <c r="K225" s="295"/>
      <c r="L225" s="295"/>
      <c r="M225" s="295"/>
      <c r="N225" s="295"/>
      <c r="O225" s="295"/>
      <c r="P225" s="295"/>
      <c r="Q225" s="295"/>
      <c r="R225" s="295"/>
      <c r="S225" s="295"/>
      <c r="T225" s="295"/>
      <c r="U225" s="295"/>
      <c r="V225" s="295"/>
      <c r="W225" s="295"/>
      <c r="X225" s="295"/>
      <c r="Y225" s="295"/>
      <c r="Z225" s="295"/>
      <c r="AA225" s="295"/>
      <c r="AB225" s="295"/>
      <c r="AC225" s="295"/>
      <c r="AD225" s="295"/>
      <c r="AE225" s="295"/>
      <c r="AF225" s="295"/>
      <c r="AG225" s="295"/>
      <c r="AH225" s="295"/>
      <c r="AI225" s="295"/>
      <c r="AJ225" s="295"/>
      <c r="AK225" s="295"/>
      <c r="AL225" s="285">
        <f t="shared" si="96"/>
        <v>0</v>
      </c>
      <c r="AM225" s="295"/>
      <c r="AN225" s="295"/>
      <c r="AO225" s="285">
        <f t="shared" si="98"/>
        <v>0</v>
      </c>
      <c r="AP225" s="295"/>
      <c r="AQ225" s="295"/>
      <c r="AR225" s="295">
        <v>0</v>
      </c>
      <c r="AS225" s="295">
        <f>29*350</f>
        <v>10150</v>
      </c>
      <c r="AT225" s="381"/>
    </row>
    <row r="226" spans="1:46" ht="47.25" customHeight="1">
      <c r="A226" s="298">
        <v>4</v>
      </c>
      <c r="B226" s="380" t="s">
        <v>1099</v>
      </c>
      <c r="C226" s="300"/>
      <c r="D226" s="300" t="s">
        <v>659</v>
      </c>
      <c r="E226" s="300"/>
      <c r="F226" s="300"/>
      <c r="G226" s="300"/>
      <c r="H226" s="295">
        <v>0</v>
      </c>
      <c r="I226" s="295"/>
      <c r="J226" s="295"/>
      <c r="K226" s="295"/>
      <c r="L226" s="295"/>
      <c r="M226" s="295"/>
      <c r="N226" s="295"/>
      <c r="O226" s="295"/>
      <c r="P226" s="295"/>
      <c r="Q226" s="295"/>
      <c r="R226" s="295"/>
      <c r="S226" s="295"/>
      <c r="T226" s="295"/>
      <c r="U226" s="295"/>
      <c r="V226" s="295"/>
      <c r="W226" s="295"/>
      <c r="X226" s="295"/>
      <c r="Y226" s="295"/>
      <c r="Z226" s="295"/>
      <c r="AA226" s="295"/>
      <c r="AB226" s="295"/>
      <c r="AC226" s="295"/>
      <c r="AD226" s="295"/>
      <c r="AE226" s="295"/>
      <c r="AF226" s="295"/>
      <c r="AG226" s="295"/>
      <c r="AH226" s="295"/>
      <c r="AI226" s="295"/>
      <c r="AJ226" s="295"/>
      <c r="AK226" s="295"/>
      <c r="AL226" s="285">
        <f t="shared" si="96"/>
        <v>0</v>
      </c>
      <c r="AM226" s="295"/>
      <c r="AN226" s="295"/>
      <c r="AO226" s="285">
        <f t="shared" si="98"/>
        <v>0</v>
      </c>
      <c r="AP226" s="295"/>
      <c r="AQ226" s="295"/>
      <c r="AR226" s="295">
        <v>0</v>
      </c>
      <c r="AS226" s="295">
        <v>10000</v>
      </c>
      <c r="AT226" s="381"/>
    </row>
    <row r="227" spans="1:46" ht="47.25" customHeight="1">
      <c r="A227" s="298">
        <v>5</v>
      </c>
      <c r="B227" s="380" t="s">
        <v>1100</v>
      </c>
      <c r="C227" s="300" t="s">
        <v>659</v>
      </c>
      <c r="D227" s="300" t="s">
        <v>659</v>
      </c>
      <c r="E227" s="300"/>
      <c r="F227" s="300"/>
      <c r="G227" s="300"/>
      <c r="H227" s="295">
        <v>0</v>
      </c>
      <c r="I227" s="295"/>
      <c r="J227" s="295"/>
      <c r="K227" s="295"/>
      <c r="L227" s="295"/>
      <c r="M227" s="295"/>
      <c r="N227" s="295"/>
      <c r="O227" s="295"/>
      <c r="P227" s="295"/>
      <c r="Q227" s="295"/>
      <c r="R227" s="295"/>
      <c r="S227" s="295"/>
      <c r="T227" s="295"/>
      <c r="U227" s="295"/>
      <c r="V227" s="295"/>
      <c r="W227" s="295"/>
      <c r="X227" s="295"/>
      <c r="Y227" s="295"/>
      <c r="Z227" s="295"/>
      <c r="AA227" s="295"/>
      <c r="AB227" s="295"/>
      <c r="AC227" s="295"/>
      <c r="AD227" s="295"/>
      <c r="AE227" s="295"/>
      <c r="AF227" s="295"/>
      <c r="AG227" s="295"/>
      <c r="AH227" s="295"/>
      <c r="AI227" s="295"/>
      <c r="AJ227" s="295"/>
      <c r="AK227" s="295"/>
      <c r="AL227" s="285">
        <f t="shared" si="96"/>
        <v>0</v>
      </c>
      <c r="AM227" s="295"/>
      <c r="AN227" s="295"/>
      <c r="AO227" s="285">
        <f t="shared" si="98"/>
        <v>0</v>
      </c>
      <c r="AP227" s="295"/>
      <c r="AQ227" s="295"/>
      <c r="AR227" s="295">
        <v>0</v>
      </c>
      <c r="AS227" s="295">
        <f>22*4000</f>
        <v>88000</v>
      </c>
      <c r="AT227" s="381"/>
    </row>
    <row r="228" spans="1:46" s="265" customFormat="1" ht="47.25" hidden="1" customHeight="1">
      <c r="A228" s="279"/>
      <c r="B228" s="299"/>
      <c r="C228" s="382"/>
      <c r="D228" s="279"/>
      <c r="E228" s="383"/>
      <c r="F228" s="312"/>
      <c r="G228" s="320"/>
      <c r="H228" s="295"/>
      <c r="I228" s="295"/>
      <c r="J228" s="295">
        <f>I228*90%</f>
        <v>0</v>
      </c>
      <c r="K228" s="295"/>
      <c r="L228" s="295"/>
      <c r="M228" s="295">
        <v>0</v>
      </c>
      <c r="N228" s="295">
        <f>P228+R228</f>
        <v>0</v>
      </c>
      <c r="O228" s="295"/>
      <c r="P228" s="295"/>
      <c r="Q228" s="295"/>
      <c r="R228" s="295"/>
      <c r="S228" s="295"/>
      <c r="T228" s="295"/>
      <c r="U228" s="295">
        <f>W228+Y228+AA228+AC228+AE228</f>
        <v>0</v>
      </c>
      <c r="V228" s="295"/>
      <c r="W228" s="295"/>
      <c r="X228" s="295"/>
      <c r="Y228" s="295"/>
      <c r="Z228" s="295"/>
      <c r="AA228" s="295"/>
      <c r="AB228" s="295"/>
      <c r="AC228" s="295"/>
      <c r="AD228" s="295"/>
      <c r="AE228" s="295"/>
      <c r="AF228" s="295"/>
      <c r="AG228" s="295"/>
      <c r="AH228" s="295">
        <f>AI228+AJ228</f>
        <v>0</v>
      </c>
      <c r="AI228" s="295"/>
      <c r="AJ228" s="295">
        <f>R228+X228+Z228+AB228+AD228</f>
        <v>0</v>
      </c>
      <c r="AK228" s="295"/>
      <c r="AL228" s="285">
        <f t="shared" si="96"/>
        <v>0</v>
      </c>
      <c r="AM228" s="295">
        <f>N228+T228+AF228</f>
        <v>0</v>
      </c>
      <c r="AN228" s="295">
        <f>O228+U228+AG228</f>
        <v>0</v>
      </c>
      <c r="AO228" s="285">
        <f t="shared" si="98"/>
        <v>0</v>
      </c>
      <c r="AP228" s="295">
        <f t="shared" si="108"/>
        <v>0</v>
      </c>
      <c r="AQ228" s="285">
        <f>AP228-AK228</f>
        <v>0</v>
      </c>
      <c r="AR228" s="295">
        <v>0</v>
      </c>
      <c r="AS228" s="295"/>
      <c r="AT228" s="310"/>
    </row>
    <row r="229" spans="1:46" s="265" customFormat="1" ht="47.25" customHeight="1">
      <c r="A229" s="290" t="s">
        <v>110</v>
      </c>
      <c r="B229" s="297" t="s">
        <v>1101</v>
      </c>
      <c r="C229" s="292"/>
      <c r="D229" s="279"/>
      <c r="E229" s="293"/>
      <c r="F229" s="279"/>
      <c r="G229" s="294"/>
      <c r="H229" s="285">
        <f t="shared" ref="H229:AS229" si="110">H230</f>
        <v>3595399</v>
      </c>
      <c r="I229" s="285">
        <f t="shared" si="110"/>
        <v>169209</v>
      </c>
      <c r="J229" s="285">
        <f t="shared" si="110"/>
        <v>152288.1</v>
      </c>
      <c r="K229" s="285">
        <f t="shared" si="110"/>
        <v>668331</v>
      </c>
      <c r="L229" s="285">
        <f t="shared" si="110"/>
        <v>601000</v>
      </c>
      <c r="M229" s="285">
        <f t="shared" si="110"/>
        <v>601000</v>
      </c>
      <c r="N229" s="285">
        <f t="shared" si="110"/>
        <v>50665</v>
      </c>
      <c r="O229" s="285">
        <f t="shared" si="110"/>
        <v>45063</v>
      </c>
      <c r="P229" s="285">
        <f t="shared" si="110"/>
        <v>42665</v>
      </c>
      <c r="Q229" s="285">
        <f t="shared" si="110"/>
        <v>37063</v>
      </c>
      <c r="R229" s="285">
        <f t="shared" si="110"/>
        <v>8000</v>
      </c>
      <c r="S229" s="285">
        <f t="shared" si="110"/>
        <v>8000</v>
      </c>
      <c r="T229" s="285">
        <f t="shared" si="110"/>
        <v>103720</v>
      </c>
      <c r="U229" s="285">
        <f t="shared" si="110"/>
        <v>89248</v>
      </c>
      <c r="V229" s="285">
        <f t="shared" si="110"/>
        <v>103720</v>
      </c>
      <c r="W229" s="285">
        <f t="shared" si="110"/>
        <v>89248</v>
      </c>
      <c r="X229" s="285">
        <f t="shared" si="110"/>
        <v>0</v>
      </c>
      <c r="Y229" s="285">
        <f t="shared" si="110"/>
        <v>0</v>
      </c>
      <c r="Z229" s="285">
        <f t="shared" si="110"/>
        <v>0</v>
      </c>
      <c r="AA229" s="285">
        <f t="shared" si="110"/>
        <v>0</v>
      </c>
      <c r="AB229" s="285">
        <f t="shared" si="110"/>
        <v>0</v>
      </c>
      <c r="AC229" s="285">
        <f t="shared" si="110"/>
        <v>0</v>
      </c>
      <c r="AD229" s="285">
        <f t="shared" si="110"/>
        <v>0</v>
      </c>
      <c r="AE229" s="285">
        <f t="shared" si="110"/>
        <v>0</v>
      </c>
      <c r="AF229" s="285">
        <f t="shared" si="110"/>
        <v>143500</v>
      </c>
      <c r="AG229" s="285">
        <f t="shared" si="110"/>
        <v>57021</v>
      </c>
      <c r="AH229" s="285">
        <f t="shared" si="110"/>
        <v>714000</v>
      </c>
      <c r="AI229" s="285">
        <f t="shared" si="110"/>
        <v>576000</v>
      </c>
      <c r="AJ229" s="285">
        <f t="shared" si="110"/>
        <v>8000</v>
      </c>
      <c r="AK229" s="285">
        <f t="shared" si="110"/>
        <v>130000</v>
      </c>
      <c r="AL229" s="285">
        <f t="shared" si="110"/>
        <v>584000</v>
      </c>
      <c r="AM229" s="285">
        <f t="shared" si="110"/>
        <v>297885</v>
      </c>
      <c r="AN229" s="285">
        <f t="shared" si="110"/>
        <v>191332</v>
      </c>
      <c r="AO229" s="285">
        <f t="shared" si="110"/>
        <v>966216</v>
      </c>
      <c r="AP229" s="285">
        <f t="shared" si="110"/>
        <v>416115</v>
      </c>
      <c r="AQ229" s="285">
        <f t="shared" si="110"/>
        <v>286115</v>
      </c>
      <c r="AR229" s="285">
        <f t="shared" si="110"/>
        <v>1020501</v>
      </c>
      <c r="AS229" s="285">
        <f t="shared" si="110"/>
        <v>72600</v>
      </c>
      <c r="AT229" s="296"/>
    </row>
    <row r="230" spans="1:46" s="265" customFormat="1" ht="15.75">
      <c r="A230" s="290" t="s">
        <v>337</v>
      </c>
      <c r="B230" s="297" t="s">
        <v>661</v>
      </c>
      <c r="C230" s="292"/>
      <c r="D230" s="279"/>
      <c r="E230" s="293"/>
      <c r="F230" s="279"/>
      <c r="G230" s="294"/>
      <c r="H230" s="285">
        <f t="shared" ref="H230:AR230" si="111">SUM(H231:H238)</f>
        <v>3595399</v>
      </c>
      <c r="I230" s="285">
        <f t="shared" si="111"/>
        <v>169209</v>
      </c>
      <c r="J230" s="285">
        <f t="shared" si="111"/>
        <v>152288.1</v>
      </c>
      <c r="K230" s="285">
        <f t="shared" si="111"/>
        <v>668331</v>
      </c>
      <c r="L230" s="285">
        <f t="shared" si="111"/>
        <v>601000</v>
      </c>
      <c r="M230" s="285">
        <f t="shared" si="111"/>
        <v>601000</v>
      </c>
      <c r="N230" s="285">
        <f t="shared" si="111"/>
        <v>50665</v>
      </c>
      <c r="O230" s="285">
        <f t="shared" si="111"/>
        <v>45063</v>
      </c>
      <c r="P230" s="285">
        <f t="shared" si="111"/>
        <v>42665</v>
      </c>
      <c r="Q230" s="285">
        <f t="shared" si="111"/>
        <v>37063</v>
      </c>
      <c r="R230" s="285">
        <f t="shared" si="111"/>
        <v>8000</v>
      </c>
      <c r="S230" s="285">
        <f t="shared" si="111"/>
        <v>8000</v>
      </c>
      <c r="T230" s="285">
        <f t="shared" si="111"/>
        <v>103720</v>
      </c>
      <c r="U230" s="285">
        <f t="shared" si="111"/>
        <v>89248</v>
      </c>
      <c r="V230" s="285">
        <f t="shared" si="111"/>
        <v>103720</v>
      </c>
      <c r="W230" s="285">
        <f t="shared" si="111"/>
        <v>89248</v>
      </c>
      <c r="X230" s="285">
        <f t="shared" si="111"/>
        <v>0</v>
      </c>
      <c r="Y230" s="285">
        <f t="shared" si="111"/>
        <v>0</v>
      </c>
      <c r="Z230" s="285">
        <f t="shared" si="111"/>
        <v>0</v>
      </c>
      <c r="AA230" s="285">
        <f t="shared" si="111"/>
        <v>0</v>
      </c>
      <c r="AB230" s="285">
        <f t="shared" si="111"/>
        <v>0</v>
      </c>
      <c r="AC230" s="285">
        <f t="shared" si="111"/>
        <v>0</v>
      </c>
      <c r="AD230" s="285">
        <f t="shared" si="111"/>
        <v>0</v>
      </c>
      <c r="AE230" s="285">
        <f t="shared" si="111"/>
        <v>0</v>
      </c>
      <c r="AF230" s="285">
        <f t="shared" si="111"/>
        <v>143500</v>
      </c>
      <c r="AG230" s="285">
        <f t="shared" si="111"/>
        <v>57021</v>
      </c>
      <c r="AH230" s="285">
        <f t="shared" si="111"/>
        <v>714000</v>
      </c>
      <c r="AI230" s="285">
        <f t="shared" si="111"/>
        <v>576000</v>
      </c>
      <c r="AJ230" s="285">
        <f t="shared" si="111"/>
        <v>8000</v>
      </c>
      <c r="AK230" s="285">
        <f t="shared" si="111"/>
        <v>130000</v>
      </c>
      <c r="AL230" s="285">
        <f t="shared" si="111"/>
        <v>584000</v>
      </c>
      <c r="AM230" s="285">
        <f t="shared" si="111"/>
        <v>297885</v>
      </c>
      <c r="AN230" s="285">
        <f t="shared" si="111"/>
        <v>191332</v>
      </c>
      <c r="AO230" s="285">
        <f t="shared" si="111"/>
        <v>966216</v>
      </c>
      <c r="AP230" s="285">
        <f t="shared" si="111"/>
        <v>416115</v>
      </c>
      <c r="AQ230" s="285">
        <f t="shared" si="111"/>
        <v>286115</v>
      </c>
      <c r="AR230" s="285">
        <f t="shared" si="111"/>
        <v>1020501</v>
      </c>
      <c r="AS230" s="285">
        <f>SUM(AS231:AS238)</f>
        <v>72600</v>
      </c>
      <c r="AT230" s="296"/>
    </row>
    <row r="231" spans="1:46" s="265" customFormat="1" ht="47.25" customHeight="1">
      <c r="A231" s="298">
        <v>1</v>
      </c>
      <c r="B231" s="314" t="s">
        <v>1102</v>
      </c>
      <c r="C231" s="300" t="s">
        <v>797</v>
      </c>
      <c r="D231" s="300" t="s">
        <v>675</v>
      </c>
      <c r="E231" s="300" t="s">
        <v>1103</v>
      </c>
      <c r="F231" s="312" t="s">
        <v>1104</v>
      </c>
      <c r="G231" s="300" t="s">
        <v>1105</v>
      </c>
      <c r="H231" s="295">
        <v>235750</v>
      </c>
      <c r="I231" s="295"/>
      <c r="J231" s="295">
        <f t="shared" ref="J231:J239" si="112">I231*90%</f>
        <v>0</v>
      </c>
      <c r="K231" s="295">
        <v>32094</v>
      </c>
      <c r="L231" s="295">
        <v>100000</v>
      </c>
      <c r="M231" s="295">
        <v>100000</v>
      </c>
      <c r="N231" s="295">
        <f t="shared" ref="N231:O238" si="113">P231+R231</f>
        <v>24000</v>
      </c>
      <c r="O231" s="295">
        <f t="shared" si="113"/>
        <v>22175</v>
      </c>
      <c r="P231" s="295">
        <v>24000</v>
      </c>
      <c r="Q231" s="295">
        <v>22175</v>
      </c>
      <c r="R231" s="295"/>
      <c r="S231" s="295"/>
      <c r="T231" s="295">
        <f t="shared" ref="T231:U249" si="114">V231+X231+Z231+AB231+AD231</f>
        <v>40000</v>
      </c>
      <c r="U231" s="295">
        <f t="shared" si="114"/>
        <v>40000</v>
      </c>
      <c r="V231" s="295">
        <v>40000</v>
      </c>
      <c r="W231" s="295">
        <v>40000</v>
      </c>
      <c r="X231" s="295"/>
      <c r="Y231" s="295"/>
      <c r="Z231" s="295"/>
      <c r="AA231" s="295"/>
      <c r="AB231" s="295"/>
      <c r="AC231" s="295"/>
      <c r="AD231" s="295"/>
      <c r="AE231" s="295"/>
      <c r="AF231" s="295">
        <v>21000</v>
      </c>
      <c r="AG231" s="295">
        <v>10443</v>
      </c>
      <c r="AH231" s="295">
        <f t="shared" ref="AH231:AH238" si="115">AI231+AJ231+AK231</f>
        <v>200000</v>
      </c>
      <c r="AI231" s="295">
        <v>120000</v>
      </c>
      <c r="AJ231" s="295">
        <f t="shared" ref="AJ231:AJ239" si="116">R231+X231+Z231+AB231+AD231</f>
        <v>0</v>
      </c>
      <c r="AK231" s="295">
        <v>80000</v>
      </c>
      <c r="AL231" s="285">
        <f t="shared" si="96"/>
        <v>120000</v>
      </c>
      <c r="AM231" s="295">
        <f>N231+T231+AF231</f>
        <v>85000</v>
      </c>
      <c r="AN231" s="295">
        <f>O231+U231+AG231</f>
        <v>72618</v>
      </c>
      <c r="AO231" s="295">
        <f t="shared" si="98"/>
        <v>117094</v>
      </c>
      <c r="AP231" s="295">
        <f t="shared" si="108"/>
        <v>115000</v>
      </c>
      <c r="AQ231" s="285">
        <f t="shared" ref="AQ231:AQ239" si="117">AP231-AK231</f>
        <v>35000</v>
      </c>
      <c r="AR231" s="295">
        <v>117094</v>
      </c>
      <c r="AS231" s="295">
        <v>7000</v>
      </c>
      <c r="AT231" s="313"/>
    </row>
    <row r="232" spans="1:46" ht="47.25" customHeight="1">
      <c r="A232" s="298">
        <v>2</v>
      </c>
      <c r="B232" s="299" t="s">
        <v>1106</v>
      </c>
      <c r="C232" s="301" t="s">
        <v>1107</v>
      </c>
      <c r="D232" s="301" t="s">
        <v>675</v>
      </c>
      <c r="E232" s="302" t="s">
        <v>1108</v>
      </c>
      <c r="F232" s="298" t="s">
        <v>1109</v>
      </c>
      <c r="G232" s="307" t="s">
        <v>1110</v>
      </c>
      <c r="H232" s="295">
        <v>503494</v>
      </c>
      <c r="I232" s="295"/>
      <c r="J232" s="295">
        <f t="shared" si="112"/>
        <v>0</v>
      </c>
      <c r="K232" s="295">
        <v>437637</v>
      </c>
      <c r="L232" s="295">
        <v>55000</v>
      </c>
      <c r="M232" s="295">
        <v>55000</v>
      </c>
      <c r="N232" s="295">
        <f t="shared" si="113"/>
        <v>10000</v>
      </c>
      <c r="O232" s="295">
        <f t="shared" si="113"/>
        <v>6223</v>
      </c>
      <c r="P232" s="295">
        <v>10000</v>
      </c>
      <c r="Q232" s="295">
        <v>6223</v>
      </c>
      <c r="R232" s="295"/>
      <c r="S232" s="295"/>
      <c r="T232" s="295">
        <f t="shared" si="114"/>
        <v>12720</v>
      </c>
      <c r="U232" s="295">
        <f t="shared" si="114"/>
        <v>8459</v>
      </c>
      <c r="V232" s="295">
        <v>12720</v>
      </c>
      <c r="W232" s="295">
        <v>8459</v>
      </c>
      <c r="X232" s="295"/>
      <c r="Y232" s="295"/>
      <c r="Z232" s="295"/>
      <c r="AA232" s="295"/>
      <c r="AB232" s="295"/>
      <c r="AC232" s="295"/>
      <c r="AD232" s="295"/>
      <c r="AE232" s="295"/>
      <c r="AF232" s="295">
        <v>2000</v>
      </c>
      <c r="AG232" s="295">
        <v>335</v>
      </c>
      <c r="AH232" s="295">
        <f t="shared" si="115"/>
        <v>35000</v>
      </c>
      <c r="AI232" s="295">
        <v>35000</v>
      </c>
      <c r="AJ232" s="295">
        <f t="shared" si="116"/>
        <v>0</v>
      </c>
      <c r="AK232" s="295"/>
      <c r="AL232" s="285">
        <f t="shared" si="96"/>
        <v>35000</v>
      </c>
      <c r="AM232" s="295">
        <f t="shared" ref="AM232:AN239" si="118">N232+T232+AF232</f>
        <v>24720</v>
      </c>
      <c r="AN232" s="295">
        <f t="shared" si="118"/>
        <v>15017</v>
      </c>
      <c r="AO232" s="295">
        <f t="shared" si="98"/>
        <v>462357</v>
      </c>
      <c r="AP232" s="295">
        <f t="shared" si="108"/>
        <v>10280</v>
      </c>
      <c r="AQ232" s="285">
        <f t="shared" si="117"/>
        <v>10280</v>
      </c>
      <c r="AR232" s="295">
        <v>462357</v>
      </c>
      <c r="AS232" s="295">
        <v>5000</v>
      </c>
      <c r="AT232" s="313"/>
    </row>
    <row r="233" spans="1:46" s="265" customFormat="1" ht="47.25" customHeight="1">
      <c r="A233" s="298">
        <v>3</v>
      </c>
      <c r="B233" s="314" t="s">
        <v>1111</v>
      </c>
      <c r="C233" s="300" t="s">
        <v>797</v>
      </c>
      <c r="D233" s="300" t="s">
        <v>675</v>
      </c>
      <c r="E233" s="300" t="s">
        <v>1112</v>
      </c>
      <c r="F233" s="312" t="s">
        <v>1113</v>
      </c>
      <c r="G233" s="300" t="s">
        <v>1114</v>
      </c>
      <c r="H233" s="295">
        <v>84114</v>
      </c>
      <c r="I233" s="295"/>
      <c r="J233" s="295">
        <f t="shared" si="112"/>
        <v>0</v>
      </c>
      <c r="K233" s="295">
        <v>500</v>
      </c>
      <c r="L233" s="295">
        <v>45000</v>
      </c>
      <c r="M233" s="295">
        <v>45000</v>
      </c>
      <c r="N233" s="295">
        <f t="shared" si="113"/>
        <v>165</v>
      </c>
      <c r="O233" s="295">
        <f t="shared" si="113"/>
        <v>165</v>
      </c>
      <c r="P233" s="295">
        <v>165</v>
      </c>
      <c r="Q233" s="295">
        <v>165</v>
      </c>
      <c r="R233" s="295"/>
      <c r="S233" s="295"/>
      <c r="T233" s="295">
        <f t="shared" si="114"/>
        <v>1000</v>
      </c>
      <c r="U233" s="295">
        <f t="shared" si="114"/>
        <v>591</v>
      </c>
      <c r="V233" s="295">
        <v>1000</v>
      </c>
      <c r="W233" s="295">
        <v>591</v>
      </c>
      <c r="X233" s="295"/>
      <c r="Y233" s="295"/>
      <c r="Z233" s="295"/>
      <c r="AA233" s="295"/>
      <c r="AB233" s="295"/>
      <c r="AC233" s="295"/>
      <c r="AD233" s="295"/>
      <c r="AE233" s="295"/>
      <c r="AF233" s="295">
        <v>15000</v>
      </c>
      <c r="AG233" s="295">
        <v>208</v>
      </c>
      <c r="AH233" s="295">
        <f t="shared" si="115"/>
        <v>75000</v>
      </c>
      <c r="AI233" s="295">
        <v>45000</v>
      </c>
      <c r="AJ233" s="295">
        <f t="shared" si="116"/>
        <v>0</v>
      </c>
      <c r="AK233" s="295">
        <v>30000</v>
      </c>
      <c r="AL233" s="285">
        <f t="shared" si="96"/>
        <v>45000</v>
      </c>
      <c r="AM233" s="295">
        <f t="shared" si="118"/>
        <v>16165</v>
      </c>
      <c r="AN233" s="295">
        <f t="shared" si="118"/>
        <v>964</v>
      </c>
      <c r="AO233" s="295">
        <f t="shared" si="98"/>
        <v>16665</v>
      </c>
      <c r="AP233" s="295">
        <f t="shared" si="108"/>
        <v>58835</v>
      </c>
      <c r="AQ233" s="285">
        <f t="shared" si="117"/>
        <v>28835</v>
      </c>
      <c r="AR233" s="295">
        <v>16665</v>
      </c>
      <c r="AS233" s="295">
        <v>10000</v>
      </c>
      <c r="AT233" s="313"/>
    </row>
    <row r="234" spans="1:46" s="265" customFormat="1" ht="47.25" customHeight="1">
      <c r="A234" s="298">
        <v>4</v>
      </c>
      <c r="B234" s="299" t="s">
        <v>874</v>
      </c>
      <c r="C234" s="300" t="s">
        <v>675</v>
      </c>
      <c r="D234" s="301" t="s">
        <v>675</v>
      </c>
      <c r="E234" s="302" t="s">
        <v>875</v>
      </c>
      <c r="F234" s="298" t="s">
        <v>876</v>
      </c>
      <c r="G234" s="303" t="s">
        <v>877</v>
      </c>
      <c r="H234" s="295">
        <v>1343809</v>
      </c>
      <c r="I234" s="295">
        <v>169209</v>
      </c>
      <c r="J234" s="295">
        <f t="shared" si="112"/>
        <v>152288.1</v>
      </c>
      <c r="K234" s="295">
        <f>47000+30500+27600+15000+3000</f>
        <v>123100</v>
      </c>
      <c r="L234" s="295">
        <v>46000</v>
      </c>
      <c r="M234" s="295">
        <v>46000</v>
      </c>
      <c r="N234" s="295">
        <f>P234+R234</f>
        <v>8500</v>
      </c>
      <c r="O234" s="295">
        <f>Q234+S234</f>
        <v>8500</v>
      </c>
      <c r="P234" s="295">
        <v>8500</v>
      </c>
      <c r="Q234" s="295">
        <v>8500</v>
      </c>
      <c r="R234" s="295"/>
      <c r="S234" s="295"/>
      <c r="T234" s="295">
        <f>V234+X234+Z234+AB234+AD234</f>
        <v>0</v>
      </c>
      <c r="U234" s="295">
        <f t="shared" si="114"/>
        <v>0</v>
      </c>
      <c r="V234" s="295"/>
      <c r="W234" s="295"/>
      <c r="X234" s="295"/>
      <c r="Y234" s="295"/>
      <c r="Z234" s="295"/>
      <c r="AA234" s="295"/>
      <c r="AB234" s="295"/>
      <c r="AC234" s="295"/>
      <c r="AD234" s="295"/>
      <c r="AE234" s="295"/>
      <c r="AF234" s="295">
        <v>20500</v>
      </c>
      <c r="AG234" s="295">
        <v>20500</v>
      </c>
      <c r="AH234" s="295">
        <f>AI234+AJ234</f>
        <v>46000</v>
      </c>
      <c r="AI234" s="295">
        <v>46000</v>
      </c>
      <c r="AJ234" s="295">
        <f>R234+X234+Z234+AB234+AD234</f>
        <v>0</v>
      </c>
      <c r="AK234" s="295"/>
      <c r="AL234" s="285">
        <f t="shared" si="96"/>
        <v>46000</v>
      </c>
      <c r="AM234" s="295">
        <f t="shared" si="118"/>
        <v>29000</v>
      </c>
      <c r="AN234" s="295">
        <f t="shared" si="118"/>
        <v>29000</v>
      </c>
      <c r="AO234" s="295">
        <f t="shared" si="98"/>
        <v>152100</v>
      </c>
      <c r="AP234" s="295">
        <f t="shared" si="108"/>
        <v>17000</v>
      </c>
      <c r="AQ234" s="285">
        <f t="shared" si="117"/>
        <v>17000</v>
      </c>
      <c r="AR234" s="295">
        <v>206385</v>
      </c>
      <c r="AS234" s="295">
        <v>2000</v>
      </c>
      <c r="AT234" s="313"/>
    </row>
    <row r="235" spans="1:46" s="265" customFormat="1" ht="47.25" customHeight="1">
      <c r="A235" s="298">
        <v>5</v>
      </c>
      <c r="B235" s="314" t="s">
        <v>882</v>
      </c>
      <c r="C235" s="300" t="s">
        <v>714</v>
      </c>
      <c r="D235" s="300" t="s">
        <v>705</v>
      </c>
      <c r="E235" s="300" t="s">
        <v>883</v>
      </c>
      <c r="F235" s="312" t="s">
        <v>666</v>
      </c>
      <c r="G235" s="300" t="s">
        <v>884</v>
      </c>
      <c r="H235" s="295">
        <v>984319</v>
      </c>
      <c r="I235" s="295"/>
      <c r="J235" s="295">
        <f t="shared" si="112"/>
        <v>0</v>
      </c>
      <c r="K235" s="295">
        <v>75000</v>
      </c>
      <c r="L235" s="295">
        <v>90000</v>
      </c>
      <c r="M235" s="295">
        <v>90000</v>
      </c>
      <c r="N235" s="295">
        <f t="shared" si="113"/>
        <v>8000</v>
      </c>
      <c r="O235" s="295">
        <f t="shared" si="113"/>
        <v>8000</v>
      </c>
      <c r="P235" s="295"/>
      <c r="Q235" s="295"/>
      <c r="R235" s="295">
        <v>8000</v>
      </c>
      <c r="S235" s="295">
        <v>8000</v>
      </c>
      <c r="T235" s="295">
        <f t="shared" si="114"/>
        <v>0</v>
      </c>
      <c r="U235" s="295">
        <f t="shared" si="114"/>
        <v>0</v>
      </c>
      <c r="V235" s="295"/>
      <c r="W235" s="295"/>
      <c r="X235" s="295"/>
      <c r="Y235" s="295"/>
      <c r="Z235" s="295"/>
      <c r="AA235" s="295"/>
      <c r="AB235" s="295"/>
      <c r="AC235" s="295"/>
      <c r="AD235" s="295"/>
      <c r="AE235" s="295"/>
      <c r="AF235" s="295">
        <v>15000</v>
      </c>
      <c r="AG235" s="295">
        <v>535</v>
      </c>
      <c r="AH235" s="295">
        <f t="shared" si="115"/>
        <v>58000</v>
      </c>
      <c r="AI235" s="295">
        <v>50000</v>
      </c>
      <c r="AJ235" s="295">
        <f t="shared" si="116"/>
        <v>8000</v>
      </c>
      <c r="AK235" s="295"/>
      <c r="AL235" s="285">
        <f t="shared" si="96"/>
        <v>58000</v>
      </c>
      <c r="AM235" s="295">
        <f t="shared" si="118"/>
        <v>23000</v>
      </c>
      <c r="AN235" s="295">
        <f t="shared" si="118"/>
        <v>8535</v>
      </c>
      <c r="AO235" s="295">
        <f t="shared" si="98"/>
        <v>98000</v>
      </c>
      <c r="AP235" s="295">
        <f t="shared" si="108"/>
        <v>35000</v>
      </c>
      <c r="AQ235" s="285">
        <f t="shared" si="117"/>
        <v>35000</v>
      </c>
      <c r="AR235" s="295">
        <v>98000</v>
      </c>
      <c r="AS235" s="295">
        <v>12000</v>
      </c>
      <c r="AT235" s="316"/>
    </row>
    <row r="236" spans="1:46" s="265" customFormat="1" ht="47.25" customHeight="1">
      <c r="A236" s="298">
        <v>6</v>
      </c>
      <c r="B236" s="314" t="s">
        <v>718</v>
      </c>
      <c r="C236" s="300" t="s">
        <v>714</v>
      </c>
      <c r="D236" s="300" t="s">
        <v>689</v>
      </c>
      <c r="E236" s="300" t="s">
        <v>719</v>
      </c>
      <c r="F236" s="312" t="s">
        <v>720</v>
      </c>
      <c r="G236" s="300" t="s">
        <v>721</v>
      </c>
      <c r="H236" s="295">
        <v>140340</v>
      </c>
      <c r="I236" s="295"/>
      <c r="J236" s="295">
        <f t="shared" si="112"/>
        <v>0</v>
      </c>
      <c r="K236" s="295"/>
      <c r="L236" s="295">
        <v>76000</v>
      </c>
      <c r="M236" s="295">
        <v>76000</v>
      </c>
      <c r="N236" s="295">
        <f t="shared" si="113"/>
        <v>0</v>
      </c>
      <c r="O236" s="295">
        <f t="shared" si="113"/>
        <v>0</v>
      </c>
      <c r="P236" s="295"/>
      <c r="Q236" s="295"/>
      <c r="R236" s="295"/>
      <c r="S236" s="295"/>
      <c r="T236" s="295">
        <f t="shared" si="114"/>
        <v>15000</v>
      </c>
      <c r="U236" s="295">
        <f t="shared" si="114"/>
        <v>15000</v>
      </c>
      <c r="V236" s="295">
        <v>15000</v>
      </c>
      <c r="W236" s="295">
        <v>15000</v>
      </c>
      <c r="X236" s="295">
        <v>0</v>
      </c>
      <c r="Y236" s="295"/>
      <c r="Z236" s="295"/>
      <c r="AA236" s="295"/>
      <c r="AB236" s="295"/>
      <c r="AC236" s="295"/>
      <c r="AD236" s="295"/>
      <c r="AE236" s="295"/>
      <c r="AF236" s="295">
        <v>25000</v>
      </c>
      <c r="AG236" s="295"/>
      <c r="AH236" s="295">
        <f t="shared" si="115"/>
        <v>80000</v>
      </c>
      <c r="AI236" s="295">
        <v>80000</v>
      </c>
      <c r="AJ236" s="295">
        <f t="shared" si="116"/>
        <v>0</v>
      </c>
      <c r="AK236" s="295"/>
      <c r="AL236" s="285">
        <f t="shared" si="96"/>
        <v>80000</v>
      </c>
      <c r="AM236" s="295">
        <f t="shared" si="118"/>
        <v>40000</v>
      </c>
      <c r="AN236" s="295">
        <f t="shared" si="118"/>
        <v>15000</v>
      </c>
      <c r="AO236" s="295">
        <f t="shared" si="98"/>
        <v>40000</v>
      </c>
      <c r="AP236" s="295">
        <f t="shared" si="108"/>
        <v>40000</v>
      </c>
      <c r="AQ236" s="285">
        <f t="shared" si="117"/>
        <v>40000</v>
      </c>
      <c r="AR236" s="295">
        <v>40000</v>
      </c>
      <c r="AS236" s="295">
        <v>9000</v>
      </c>
      <c r="AT236" s="316"/>
    </row>
    <row r="237" spans="1:46" s="265" customFormat="1" ht="47.25" customHeight="1">
      <c r="A237" s="298">
        <v>7</v>
      </c>
      <c r="B237" s="314" t="s">
        <v>722</v>
      </c>
      <c r="C237" s="300" t="s">
        <v>714</v>
      </c>
      <c r="D237" s="300" t="s">
        <v>700</v>
      </c>
      <c r="E237" s="300" t="s">
        <v>723</v>
      </c>
      <c r="F237" s="312" t="s">
        <v>716</v>
      </c>
      <c r="G237" s="300" t="s">
        <v>724</v>
      </c>
      <c r="H237" s="295">
        <v>199670</v>
      </c>
      <c r="I237" s="295"/>
      <c r="J237" s="295">
        <f t="shared" si="112"/>
        <v>0</v>
      </c>
      <c r="K237" s="295"/>
      <c r="L237" s="295">
        <v>129000</v>
      </c>
      <c r="M237" s="295">
        <v>129000</v>
      </c>
      <c r="N237" s="295">
        <f t="shared" si="113"/>
        <v>0</v>
      </c>
      <c r="O237" s="295">
        <f t="shared" si="113"/>
        <v>0</v>
      </c>
      <c r="P237" s="295"/>
      <c r="Q237" s="295"/>
      <c r="R237" s="295"/>
      <c r="S237" s="295"/>
      <c r="T237" s="295">
        <f t="shared" si="114"/>
        <v>25000</v>
      </c>
      <c r="U237" s="295">
        <f t="shared" si="114"/>
        <v>25000</v>
      </c>
      <c r="V237" s="295">
        <v>25000</v>
      </c>
      <c r="W237" s="295">
        <v>25000</v>
      </c>
      <c r="X237" s="295">
        <v>0</v>
      </c>
      <c r="Y237" s="295"/>
      <c r="Z237" s="295"/>
      <c r="AA237" s="295"/>
      <c r="AB237" s="295"/>
      <c r="AC237" s="295"/>
      <c r="AD237" s="295"/>
      <c r="AE237" s="295"/>
      <c r="AF237" s="295">
        <v>25000</v>
      </c>
      <c r="AG237" s="295">
        <v>25000</v>
      </c>
      <c r="AH237" s="295">
        <f t="shared" si="115"/>
        <v>120000</v>
      </c>
      <c r="AI237" s="295">
        <v>120000</v>
      </c>
      <c r="AJ237" s="295">
        <f t="shared" si="116"/>
        <v>0</v>
      </c>
      <c r="AK237" s="295"/>
      <c r="AL237" s="285">
        <f t="shared" si="96"/>
        <v>120000</v>
      </c>
      <c r="AM237" s="295">
        <f t="shared" si="118"/>
        <v>50000</v>
      </c>
      <c r="AN237" s="295">
        <f t="shared" si="118"/>
        <v>50000</v>
      </c>
      <c r="AO237" s="295">
        <f t="shared" si="98"/>
        <v>50000</v>
      </c>
      <c r="AP237" s="295">
        <f t="shared" si="108"/>
        <v>70000</v>
      </c>
      <c r="AQ237" s="285">
        <f t="shared" si="117"/>
        <v>70000</v>
      </c>
      <c r="AR237" s="295">
        <v>50000</v>
      </c>
      <c r="AS237" s="295">
        <v>9000</v>
      </c>
      <c r="AT237" s="316"/>
    </row>
    <row r="238" spans="1:46" s="265" customFormat="1" ht="47.25" customHeight="1">
      <c r="A238" s="298">
        <v>8</v>
      </c>
      <c r="B238" s="314" t="s">
        <v>1115</v>
      </c>
      <c r="C238" s="300" t="s">
        <v>744</v>
      </c>
      <c r="D238" s="300" t="s">
        <v>744</v>
      </c>
      <c r="E238" s="300"/>
      <c r="F238" s="312" t="s">
        <v>1116</v>
      </c>
      <c r="G238" s="300" t="s">
        <v>1117</v>
      </c>
      <c r="H238" s="295">
        <v>103903</v>
      </c>
      <c r="I238" s="295"/>
      <c r="J238" s="295">
        <f t="shared" si="112"/>
        <v>0</v>
      </c>
      <c r="K238" s="295"/>
      <c r="L238" s="295">
        <v>60000</v>
      </c>
      <c r="M238" s="295">
        <v>60000</v>
      </c>
      <c r="N238" s="295">
        <f t="shared" si="113"/>
        <v>0</v>
      </c>
      <c r="O238" s="295">
        <f t="shared" si="113"/>
        <v>0</v>
      </c>
      <c r="P238" s="295"/>
      <c r="Q238" s="295"/>
      <c r="R238" s="295"/>
      <c r="S238" s="295"/>
      <c r="T238" s="295">
        <f t="shared" si="114"/>
        <v>10000</v>
      </c>
      <c r="U238" s="295">
        <f t="shared" si="114"/>
        <v>198</v>
      </c>
      <c r="V238" s="295">
        <v>10000</v>
      </c>
      <c r="W238" s="295">
        <v>198</v>
      </c>
      <c r="X238" s="295">
        <v>0</v>
      </c>
      <c r="Y238" s="295"/>
      <c r="Z238" s="295"/>
      <c r="AA238" s="295"/>
      <c r="AB238" s="295"/>
      <c r="AC238" s="295"/>
      <c r="AD238" s="295"/>
      <c r="AE238" s="295"/>
      <c r="AF238" s="295">
        <v>20000</v>
      </c>
      <c r="AG238" s="295">
        <v>0</v>
      </c>
      <c r="AH238" s="295">
        <f t="shared" si="115"/>
        <v>100000</v>
      </c>
      <c r="AI238" s="295">
        <v>80000</v>
      </c>
      <c r="AJ238" s="295">
        <f t="shared" si="116"/>
        <v>0</v>
      </c>
      <c r="AK238" s="295">
        <v>20000</v>
      </c>
      <c r="AL238" s="285">
        <f t="shared" si="96"/>
        <v>80000</v>
      </c>
      <c r="AM238" s="295">
        <f t="shared" si="118"/>
        <v>30000</v>
      </c>
      <c r="AN238" s="295">
        <f t="shared" si="118"/>
        <v>198</v>
      </c>
      <c r="AO238" s="295">
        <f t="shared" si="98"/>
        <v>30000</v>
      </c>
      <c r="AP238" s="295">
        <f t="shared" si="108"/>
        <v>70000</v>
      </c>
      <c r="AQ238" s="285">
        <f t="shared" si="117"/>
        <v>50000</v>
      </c>
      <c r="AR238" s="295">
        <v>30000</v>
      </c>
      <c r="AS238" s="295">
        <v>18600</v>
      </c>
      <c r="AT238" s="313"/>
    </row>
    <row r="239" spans="1:46" s="265" customFormat="1" ht="47.25" hidden="1" customHeight="1">
      <c r="A239" s="298"/>
      <c r="B239" s="376"/>
      <c r="C239" s="301"/>
      <c r="D239" s="300"/>
      <c r="E239" s="377"/>
      <c r="F239" s="377"/>
      <c r="G239" s="377"/>
      <c r="H239" s="295"/>
      <c r="I239" s="295"/>
      <c r="J239" s="295">
        <f t="shared" si="112"/>
        <v>0</v>
      </c>
      <c r="K239" s="295"/>
      <c r="L239" s="295"/>
      <c r="M239" s="295"/>
      <c r="N239" s="295">
        <f>P239+R239</f>
        <v>0</v>
      </c>
      <c r="O239" s="295"/>
      <c r="P239" s="295"/>
      <c r="Q239" s="295"/>
      <c r="R239" s="295"/>
      <c r="S239" s="295"/>
      <c r="T239" s="295">
        <f t="shared" si="114"/>
        <v>0</v>
      </c>
      <c r="U239" s="295">
        <f t="shared" si="114"/>
        <v>0</v>
      </c>
      <c r="V239" s="295"/>
      <c r="W239" s="295"/>
      <c r="X239" s="295"/>
      <c r="Y239" s="295"/>
      <c r="Z239" s="295"/>
      <c r="AA239" s="295"/>
      <c r="AB239" s="295"/>
      <c r="AC239" s="295"/>
      <c r="AD239" s="295"/>
      <c r="AE239" s="295"/>
      <c r="AF239" s="295"/>
      <c r="AG239" s="295"/>
      <c r="AH239" s="295">
        <f>AI239+AJ239</f>
        <v>0</v>
      </c>
      <c r="AI239" s="295"/>
      <c r="AJ239" s="295">
        <f t="shared" si="116"/>
        <v>0</v>
      </c>
      <c r="AK239" s="295"/>
      <c r="AL239" s="285">
        <f t="shared" si="96"/>
        <v>0</v>
      </c>
      <c r="AM239" s="295">
        <f t="shared" si="118"/>
        <v>0</v>
      </c>
      <c r="AN239" s="295">
        <f t="shared" si="118"/>
        <v>0</v>
      </c>
      <c r="AO239" s="285">
        <f t="shared" si="98"/>
        <v>0</v>
      </c>
      <c r="AP239" s="295">
        <f t="shared" si="108"/>
        <v>0</v>
      </c>
      <c r="AQ239" s="285">
        <f t="shared" si="117"/>
        <v>0</v>
      </c>
      <c r="AR239" s="295"/>
      <c r="AS239" s="295"/>
      <c r="AT239" s="310"/>
    </row>
    <row r="240" spans="1:46" s="265" customFormat="1" ht="15.75">
      <c r="A240" s="290" t="s">
        <v>112</v>
      </c>
      <c r="B240" s="297" t="s">
        <v>1118</v>
      </c>
      <c r="C240" s="292"/>
      <c r="D240" s="279"/>
      <c r="E240" s="293"/>
      <c r="F240" s="279"/>
      <c r="G240" s="294"/>
      <c r="H240" s="285">
        <f t="shared" ref="H240:AS240" si="119">H241</f>
        <v>20365</v>
      </c>
      <c r="I240" s="285">
        <f t="shared" si="119"/>
        <v>0</v>
      </c>
      <c r="J240" s="285">
        <f t="shared" si="119"/>
        <v>0</v>
      </c>
      <c r="K240" s="285">
        <f t="shared" si="119"/>
        <v>0</v>
      </c>
      <c r="L240" s="285">
        <f t="shared" si="119"/>
        <v>20800</v>
      </c>
      <c r="M240" s="285">
        <f t="shared" si="119"/>
        <v>20800</v>
      </c>
      <c r="N240" s="285">
        <f t="shared" si="119"/>
        <v>0</v>
      </c>
      <c r="O240" s="285">
        <f t="shared" si="119"/>
        <v>0</v>
      </c>
      <c r="P240" s="285">
        <f t="shared" si="119"/>
        <v>0</v>
      </c>
      <c r="Q240" s="285">
        <f t="shared" si="119"/>
        <v>0</v>
      </c>
      <c r="R240" s="285">
        <f t="shared" si="119"/>
        <v>0</v>
      </c>
      <c r="S240" s="285">
        <f t="shared" si="119"/>
        <v>0</v>
      </c>
      <c r="T240" s="285">
        <f t="shared" si="119"/>
        <v>0</v>
      </c>
      <c r="U240" s="285">
        <f t="shared" si="119"/>
        <v>0</v>
      </c>
      <c r="V240" s="285">
        <f t="shared" si="119"/>
        <v>0</v>
      </c>
      <c r="W240" s="285">
        <f t="shared" si="119"/>
        <v>0</v>
      </c>
      <c r="X240" s="285">
        <f t="shared" si="119"/>
        <v>0</v>
      </c>
      <c r="Y240" s="285">
        <f t="shared" si="119"/>
        <v>0</v>
      </c>
      <c r="Z240" s="285">
        <f t="shared" si="119"/>
        <v>0</v>
      </c>
      <c r="AA240" s="285">
        <f t="shared" si="119"/>
        <v>0</v>
      </c>
      <c r="AB240" s="285">
        <f t="shared" si="119"/>
        <v>0</v>
      </c>
      <c r="AC240" s="285">
        <f t="shared" si="119"/>
        <v>0</v>
      </c>
      <c r="AD240" s="285">
        <f t="shared" si="119"/>
        <v>0</v>
      </c>
      <c r="AE240" s="285">
        <f t="shared" si="119"/>
        <v>0</v>
      </c>
      <c r="AF240" s="285">
        <f t="shared" si="119"/>
        <v>8000</v>
      </c>
      <c r="AG240" s="285">
        <f t="shared" si="119"/>
        <v>0</v>
      </c>
      <c r="AH240" s="285">
        <f t="shared" si="119"/>
        <v>25800</v>
      </c>
      <c r="AI240" s="285">
        <f t="shared" si="119"/>
        <v>25800</v>
      </c>
      <c r="AJ240" s="285">
        <f t="shared" si="119"/>
        <v>0</v>
      </c>
      <c r="AK240" s="285">
        <f t="shared" si="119"/>
        <v>0</v>
      </c>
      <c r="AL240" s="285">
        <f t="shared" si="119"/>
        <v>25800</v>
      </c>
      <c r="AM240" s="285">
        <f t="shared" si="119"/>
        <v>8000</v>
      </c>
      <c r="AN240" s="285">
        <f t="shared" si="119"/>
        <v>0</v>
      </c>
      <c r="AO240" s="285">
        <f t="shared" si="119"/>
        <v>8000</v>
      </c>
      <c r="AP240" s="285">
        <f t="shared" si="119"/>
        <v>17800</v>
      </c>
      <c r="AQ240" s="285">
        <f t="shared" si="119"/>
        <v>17800</v>
      </c>
      <c r="AR240" s="285">
        <f t="shared" si="119"/>
        <v>8000</v>
      </c>
      <c r="AS240" s="285">
        <f t="shared" si="119"/>
        <v>9500</v>
      </c>
      <c r="AT240" s="296"/>
    </row>
    <row r="241" spans="1:46" s="265" customFormat="1" ht="47.25" customHeight="1">
      <c r="A241" s="279" t="s">
        <v>337</v>
      </c>
      <c r="B241" s="297" t="s">
        <v>661</v>
      </c>
      <c r="C241" s="287"/>
      <c r="D241" s="288"/>
      <c r="E241" s="288"/>
      <c r="F241" s="282"/>
      <c r="G241" s="282"/>
      <c r="H241" s="285">
        <f t="shared" ref="H241:AR241" si="120">SUM(H242:H244)</f>
        <v>20365</v>
      </c>
      <c r="I241" s="285">
        <f t="shared" si="120"/>
        <v>0</v>
      </c>
      <c r="J241" s="285">
        <f t="shared" si="120"/>
        <v>0</v>
      </c>
      <c r="K241" s="285">
        <f t="shared" si="120"/>
        <v>0</v>
      </c>
      <c r="L241" s="285">
        <f t="shared" si="120"/>
        <v>20800</v>
      </c>
      <c r="M241" s="285">
        <f t="shared" si="120"/>
        <v>20800</v>
      </c>
      <c r="N241" s="285">
        <f t="shared" si="120"/>
        <v>0</v>
      </c>
      <c r="O241" s="285">
        <f t="shared" si="120"/>
        <v>0</v>
      </c>
      <c r="P241" s="285">
        <f t="shared" si="120"/>
        <v>0</v>
      </c>
      <c r="Q241" s="285">
        <f t="shared" si="120"/>
        <v>0</v>
      </c>
      <c r="R241" s="285">
        <f t="shared" si="120"/>
        <v>0</v>
      </c>
      <c r="S241" s="285">
        <f t="shared" si="120"/>
        <v>0</v>
      </c>
      <c r="T241" s="285">
        <f t="shared" si="120"/>
        <v>0</v>
      </c>
      <c r="U241" s="285">
        <f t="shared" si="120"/>
        <v>0</v>
      </c>
      <c r="V241" s="285">
        <f t="shared" si="120"/>
        <v>0</v>
      </c>
      <c r="W241" s="285">
        <f t="shared" si="120"/>
        <v>0</v>
      </c>
      <c r="X241" s="285">
        <f t="shared" si="120"/>
        <v>0</v>
      </c>
      <c r="Y241" s="285">
        <f t="shared" si="120"/>
        <v>0</v>
      </c>
      <c r="Z241" s="285">
        <f t="shared" si="120"/>
        <v>0</v>
      </c>
      <c r="AA241" s="285">
        <f t="shared" si="120"/>
        <v>0</v>
      </c>
      <c r="AB241" s="285">
        <f t="shared" si="120"/>
        <v>0</v>
      </c>
      <c r="AC241" s="285">
        <f t="shared" si="120"/>
        <v>0</v>
      </c>
      <c r="AD241" s="285">
        <f t="shared" si="120"/>
        <v>0</v>
      </c>
      <c r="AE241" s="285">
        <f t="shared" si="120"/>
        <v>0</v>
      </c>
      <c r="AF241" s="285">
        <f t="shared" si="120"/>
        <v>8000</v>
      </c>
      <c r="AG241" s="285">
        <f t="shared" si="120"/>
        <v>0</v>
      </c>
      <c r="AH241" s="285">
        <f t="shared" si="120"/>
        <v>25800</v>
      </c>
      <c r="AI241" s="285">
        <f t="shared" si="120"/>
        <v>25800</v>
      </c>
      <c r="AJ241" s="285">
        <f t="shared" si="120"/>
        <v>0</v>
      </c>
      <c r="AK241" s="285">
        <f t="shared" si="120"/>
        <v>0</v>
      </c>
      <c r="AL241" s="285">
        <f t="shared" si="120"/>
        <v>25800</v>
      </c>
      <c r="AM241" s="285">
        <f t="shared" si="120"/>
        <v>8000</v>
      </c>
      <c r="AN241" s="285">
        <f t="shared" si="120"/>
        <v>0</v>
      </c>
      <c r="AO241" s="285">
        <f t="shared" si="120"/>
        <v>8000</v>
      </c>
      <c r="AP241" s="285">
        <f t="shared" si="120"/>
        <v>17800</v>
      </c>
      <c r="AQ241" s="285">
        <f t="shared" si="120"/>
        <v>17800</v>
      </c>
      <c r="AR241" s="285">
        <f t="shared" si="120"/>
        <v>8000</v>
      </c>
      <c r="AS241" s="285">
        <f>SUM(AS242:AS244)</f>
        <v>9500</v>
      </c>
      <c r="AT241" s="315"/>
    </row>
    <row r="242" spans="1:46" s="265" customFormat="1" ht="47.25" customHeight="1">
      <c r="A242" s="298">
        <v>1</v>
      </c>
      <c r="B242" s="314" t="s">
        <v>1119</v>
      </c>
      <c r="C242" s="300" t="s">
        <v>1120</v>
      </c>
      <c r="D242" s="300" t="s">
        <v>675</v>
      </c>
      <c r="E242" s="300"/>
      <c r="F242" s="312" t="s">
        <v>727</v>
      </c>
      <c r="G242" s="300" t="s">
        <v>1121</v>
      </c>
      <c r="H242" s="295">
        <v>6128</v>
      </c>
      <c r="I242" s="295"/>
      <c r="J242" s="295">
        <f>I242*90%</f>
        <v>0</v>
      </c>
      <c r="K242" s="295"/>
      <c r="L242" s="295">
        <v>5500</v>
      </c>
      <c r="M242" s="295">
        <v>5500</v>
      </c>
      <c r="N242" s="295">
        <f t="shared" ref="N242:O244" si="121">P242+R242</f>
        <v>0</v>
      </c>
      <c r="O242" s="295">
        <f t="shared" si="121"/>
        <v>0</v>
      </c>
      <c r="P242" s="295"/>
      <c r="Q242" s="295"/>
      <c r="R242" s="295"/>
      <c r="S242" s="295"/>
      <c r="T242" s="295">
        <f>V242+X242+Z242+AB242+AD242</f>
        <v>0</v>
      </c>
      <c r="U242" s="295">
        <f t="shared" si="114"/>
        <v>0</v>
      </c>
      <c r="V242" s="295">
        <v>0</v>
      </c>
      <c r="W242" s="295"/>
      <c r="X242" s="295"/>
      <c r="Y242" s="295"/>
      <c r="Z242" s="295"/>
      <c r="AA242" s="295"/>
      <c r="AB242" s="295"/>
      <c r="AC242" s="295"/>
      <c r="AD242" s="295"/>
      <c r="AE242" s="295"/>
      <c r="AF242" s="295">
        <v>3000</v>
      </c>
      <c r="AG242" s="295">
        <v>0</v>
      </c>
      <c r="AH242" s="295">
        <f>AI242+AJ242+AK242</f>
        <v>5500</v>
      </c>
      <c r="AI242" s="295">
        <v>5500</v>
      </c>
      <c r="AJ242" s="295">
        <f>R242+X242+Z242+AB242+AD242</f>
        <v>0</v>
      </c>
      <c r="AK242" s="295"/>
      <c r="AL242" s="285">
        <f t="shared" si="96"/>
        <v>5500</v>
      </c>
      <c r="AM242" s="295">
        <f t="shared" ref="AM242:AN245" si="122">N242+T242+AF242</f>
        <v>3000</v>
      </c>
      <c r="AN242" s="295">
        <f t="shared" si="122"/>
        <v>0</v>
      </c>
      <c r="AO242" s="295">
        <f t="shared" si="98"/>
        <v>3000</v>
      </c>
      <c r="AP242" s="295">
        <f t="shared" si="108"/>
        <v>2500</v>
      </c>
      <c r="AQ242" s="285">
        <f>AP242-AK242</f>
        <v>2500</v>
      </c>
      <c r="AR242" s="295">
        <v>3000</v>
      </c>
      <c r="AS242" s="295">
        <v>2000</v>
      </c>
      <c r="AT242" s="313"/>
    </row>
    <row r="243" spans="1:46" s="265" customFormat="1" ht="47.25" customHeight="1">
      <c r="A243" s="298">
        <v>2</v>
      </c>
      <c r="B243" s="314" t="s">
        <v>1122</v>
      </c>
      <c r="C243" s="300" t="s">
        <v>1120</v>
      </c>
      <c r="D243" s="300" t="s">
        <v>705</v>
      </c>
      <c r="E243" s="300"/>
      <c r="F243" s="312" t="s">
        <v>727</v>
      </c>
      <c r="G243" s="300" t="s">
        <v>1123</v>
      </c>
      <c r="H243" s="295">
        <v>14237</v>
      </c>
      <c r="I243" s="295"/>
      <c r="J243" s="295">
        <f>I243*90%</f>
        <v>0</v>
      </c>
      <c r="K243" s="295"/>
      <c r="L243" s="295">
        <v>10000</v>
      </c>
      <c r="M243" s="295">
        <v>10000</v>
      </c>
      <c r="N243" s="295">
        <f t="shared" si="121"/>
        <v>0</v>
      </c>
      <c r="O243" s="295">
        <f t="shared" si="121"/>
        <v>0</v>
      </c>
      <c r="P243" s="295"/>
      <c r="Q243" s="295"/>
      <c r="R243" s="295"/>
      <c r="S243" s="295"/>
      <c r="T243" s="295">
        <f>V243+X243+Z243+AB243+AD243</f>
        <v>0</v>
      </c>
      <c r="U243" s="295">
        <f t="shared" si="114"/>
        <v>0</v>
      </c>
      <c r="V243" s="295">
        <v>0</v>
      </c>
      <c r="W243" s="295"/>
      <c r="X243" s="295"/>
      <c r="Y243" s="295"/>
      <c r="Z243" s="295"/>
      <c r="AA243" s="295"/>
      <c r="AB243" s="295"/>
      <c r="AC243" s="295"/>
      <c r="AD243" s="295"/>
      <c r="AE243" s="295"/>
      <c r="AF243" s="295">
        <v>5000</v>
      </c>
      <c r="AG243" s="295">
        <v>0</v>
      </c>
      <c r="AH243" s="295">
        <f>AI243+AJ243+AK243</f>
        <v>12000</v>
      </c>
      <c r="AI243" s="295">
        <v>12000</v>
      </c>
      <c r="AJ243" s="295">
        <f>R243+X243+Z243+AB243+AD243</f>
        <v>0</v>
      </c>
      <c r="AK243" s="295"/>
      <c r="AL243" s="285">
        <f t="shared" si="96"/>
        <v>12000</v>
      </c>
      <c r="AM243" s="295">
        <f t="shared" si="122"/>
        <v>5000</v>
      </c>
      <c r="AN243" s="295">
        <f t="shared" si="122"/>
        <v>0</v>
      </c>
      <c r="AO243" s="295">
        <f t="shared" si="98"/>
        <v>5000</v>
      </c>
      <c r="AP243" s="295">
        <f t="shared" si="108"/>
        <v>7000</v>
      </c>
      <c r="AQ243" s="285">
        <f>AP243-AK243</f>
        <v>7000</v>
      </c>
      <c r="AR243" s="295">
        <v>5000</v>
      </c>
      <c r="AS243" s="295">
        <v>5000</v>
      </c>
      <c r="AT243" s="313"/>
    </row>
    <row r="244" spans="1:46" s="265" customFormat="1" ht="47.25" customHeight="1">
      <c r="A244" s="298">
        <v>3</v>
      </c>
      <c r="B244" s="309" t="s">
        <v>855</v>
      </c>
      <c r="C244" s="301" t="s">
        <v>907</v>
      </c>
      <c r="D244" s="301" t="s">
        <v>659</v>
      </c>
      <c r="E244" s="302"/>
      <c r="F244" s="298"/>
      <c r="G244" s="307"/>
      <c r="H244" s="295">
        <v>0</v>
      </c>
      <c r="I244" s="295"/>
      <c r="J244" s="295">
        <f>I244*90%</f>
        <v>0</v>
      </c>
      <c r="K244" s="295"/>
      <c r="L244" s="295">
        <f>3184-584+2700</f>
        <v>5300</v>
      </c>
      <c r="M244" s="295">
        <f>3184-584+2700</f>
        <v>5300</v>
      </c>
      <c r="N244" s="295">
        <f t="shared" si="121"/>
        <v>0</v>
      </c>
      <c r="O244" s="295">
        <f t="shared" si="121"/>
        <v>0</v>
      </c>
      <c r="P244" s="295"/>
      <c r="Q244" s="295"/>
      <c r="R244" s="295"/>
      <c r="S244" s="295"/>
      <c r="T244" s="295">
        <f>V244+X244+Z244+AB244+AD244</f>
        <v>0</v>
      </c>
      <c r="U244" s="295">
        <f t="shared" si="114"/>
        <v>0</v>
      </c>
      <c r="V244" s="295">
        <v>0</v>
      </c>
      <c r="W244" s="295"/>
      <c r="X244" s="295"/>
      <c r="Y244" s="295"/>
      <c r="Z244" s="295"/>
      <c r="AA244" s="295"/>
      <c r="AB244" s="295"/>
      <c r="AC244" s="295"/>
      <c r="AD244" s="295"/>
      <c r="AE244" s="295"/>
      <c r="AF244" s="295"/>
      <c r="AG244" s="295"/>
      <c r="AH244" s="295">
        <f>AI244+AJ244+AK244</f>
        <v>8300</v>
      </c>
      <c r="AI244" s="295">
        <v>8300</v>
      </c>
      <c r="AJ244" s="295">
        <f>R244+X244+Z244+AB244+AD244</f>
        <v>0</v>
      </c>
      <c r="AK244" s="295"/>
      <c r="AL244" s="285">
        <f t="shared" si="96"/>
        <v>8300</v>
      </c>
      <c r="AM244" s="295">
        <f t="shared" si="122"/>
        <v>0</v>
      </c>
      <c r="AN244" s="295">
        <f t="shared" si="122"/>
        <v>0</v>
      </c>
      <c r="AO244" s="295">
        <f t="shared" si="98"/>
        <v>0</v>
      </c>
      <c r="AP244" s="295">
        <f t="shared" si="108"/>
        <v>8300</v>
      </c>
      <c r="AQ244" s="285">
        <f>AP244-AK244</f>
        <v>8300</v>
      </c>
      <c r="AR244" s="295">
        <v>0</v>
      </c>
      <c r="AS244" s="295">
        <v>2500</v>
      </c>
      <c r="AT244" s="310"/>
    </row>
    <row r="245" spans="1:46" s="265" customFormat="1" ht="47.25" hidden="1" customHeight="1">
      <c r="A245" s="298"/>
      <c r="B245" s="299"/>
      <c r="C245" s="301"/>
      <c r="D245" s="301"/>
      <c r="E245" s="302"/>
      <c r="F245" s="298"/>
      <c r="G245" s="307"/>
      <c r="H245" s="295"/>
      <c r="I245" s="295"/>
      <c r="J245" s="295"/>
      <c r="K245" s="295"/>
      <c r="L245" s="295"/>
      <c r="M245" s="295"/>
      <c r="N245" s="295"/>
      <c r="O245" s="295"/>
      <c r="P245" s="295"/>
      <c r="Q245" s="295"/>
      <c r="R245" s="295"/>
      <c r="S245" s="295"/>
      <c r="T245" s="295"/>
      <c r="U245" s="295">
        <f t="shared" si="114"/>
        <v>0</v>
      </c>
      <c r="V245" s="295"/>
      <c r="W245" s="295"/>
      <c r="X245" s="295"/>
      <c r="Y245" s="295"/>
      <c r="Z245" s="295"/>
      <c r="AA245" s="295"/>
      <c r="AB245" s="295"/>
      <c r="AC245" s="295"/>
      <c r="AD245" s="295"/>
      <c r="AE245" s="295"/>
      <c r="AF245" s="295"/>
      <c r="AG245" s="295"/>
      <c r="AH245" s="295"/>
      <c r="AI245" s="295"/>
      <c r="AJ245" s="295"/>
      <c r="AK245" s="295"/>
      <c r="AL245" s="285">
        <f t="shared" si="96"/>
        <v>0</v>
      </c>
      <c r="AM245" s="295">
        <f t="shared" si="122"/>
        <v>0</v>
      </c>
      <c r="AN245" s="295">
        <f t="shared" si="122"/>
        <v>0</v>
      </c>
      <c r="AO245" s="285">
        <f t="shared" si="98"/>
        <v>0</v>
      </c>
      <c r="AP245" s="295">
        <f t="shared" si="108"/>
        <v>0</v>
      </c>
      <c r="AQ245" s="285">
        <f>AP245-AK245</f>
        <v>0</v>
      </c>
      <c r="AR245" s="295"/>
      <c r="AS245" s="295"/>
      <c r="AT245" s="310"/>
    </row>
    <row r="246" spans="1:46" s="265" customFormat="1" ht="47.25" customHeight="1">
      <c r="A246" s="279" t="s">
        <v>114</v>
      </c>
      <c r="B246" s="286" t="s">
        <v>1124</v>
      </c>
      <c r="C246" s="287"/>
      <c r="D246" s="288"/>
      <c r="E246" s="288"/>
      <c r="F246" s="282"/>
      <c r="G246" s="282"/>
      <c r="H246" s="285">
        <f t="shared" ref="H246:AR246" si="123">H247+H255</f>
        <v>70747</v>
      </c>
      <c r="I246" s="285">
        <f t="shared" si="123"/>
        <v>0</v>
      </c>
      <c r="J246" s="285">
        <f t="shared" si="123"/>
        <v>0</v>
      </c>
      <c r="K246" s="285">
        <f t="shared" si="123"/>
        <v>0</v>
      </c>
      <c r="L246" s="285">
        <f t="shared" si="123"/>
        <v>47000</v>
      </c>
      <c r="M246" s="285">
        <f t="shared" si="123"/>
        <v>47000</v>
      </c>
      <c r="N246" s="285">
        <f t="shared" si="123"/>
        <v>0</v>
      </c>
      <c r="O246" s="285">
        <f t="shared" si="123"/>
        <v>0</v>
      </c>
      <c r="P246" s="285">
        <f t="shared" si="123"/>
        <v>0</v>
      </c>
      <c r="Q246" s="285">
        <f t="shared" si="123"/>
        <v>0</v>
      </c>
      <c r="R246" s="285">
        <f t="shared" si="123"/>
        <v>0</v>
      </c>
      <c r="S246" s="285">
        <f t="shared" si="123"/>
        <v>0</v>
      </c>
      <c r="T246" s="285">
        <f t="shared" si="123"/>
        <v>9770</v>
      </c>
      <c r="U246" s="285">
        <f t="shared" si="123"/>
        <v>9431</v>
      </c>
      <c r="V246" s="285">
        <f t="shared" si="123"/>
        <v>9770</v>
      </c>
      <c r="W246" s="285">
        <f t="shared" si="123"/>
        <v>9431</v>
      </c>
      <c r="X246" s="285">
        <f t="shared" si="123"/>
        <v>0</v>
      </c>
      <c r="Y246" s="285">
        <f t="shared" si="123"/>
        <v>0</v>
      </c>
      <c r="Z246" s="285">
        <f t="shared" si="123"/>
        <v>0</v>
      </c>
      <c r="AA246" s="285">
        <f t="shared" si="123"/>
        <v>0</v>
      </c>
      <c r="AB246" s="285">
        <f t="shared" si="123"/>
        <v>0</v>
      </c>
      <c r="AC246" s="285">
        <f t="shared" si="123"/>
        <v>0</v>
      </c>
      <c r="AD246" s="285">
        <f t="shared" si="123"/>
        <v>0</v>
      </c>
      <c r="AE246" s="285">
        <f t="shared" si="123"/>
        <v>0</v>
      </c>
      <c r="AF246" s="285">
        <f t="shared" si="123"/>
        <v>21500</v>
      </c>
      <c r="AG246" s="285">
        <f t="shared" si="123"/>
        <v>6340</v>
      </c>
      <c r="AH246" s="285">
        <f t="shared" si="123"/>
        <v>72479</v>
      </c>
      <c r="AI246" s="285">
        <f t="shared" si="123"/>
        <v>72479</v>
      </c>
      <c r="AJ246" s="285">
        <f t="shared" si="123"/>
        <v>0</v>
      </c>
      <c r="AK246" s="285">
        <f t="shared" si="123"/>
        <v>0</v>
      </c>
      <c r="AL246" s="285">
        <f t="shared" si="123"/>
        <v>72479</v>
      </c>
      <c r="AM246" s="285">
        <f t="shared" si="123"/>
        <v>31270</v>
      </c>
      <c r="AN246" s="285">
        <f t="shared" si="123"/>
        <v>15771</v>
      </c>
      <c r="AO246" s="285">
        <f t="shared" si="123"/>
        <v>31270</v>
      </c>
      <c r="AP246" s="285">
        <f t="shared" si="123"/>
        <v>41209</v>
      </c>
      <c r="AQ246" s="285">
        <f t="shared" si="123"/>
        <v>41209</v>
      </c>
      <c r="AR246" s="285">
        <f t="shared" si="123"/>
        <v>31270</v>
      </c>
      <c r="AS246" s="285">
        <f>AS247+AS255</f>
        <v>20800</v>
      </c>
      <c r="AT246" s="315"/>
    </row>
    <row r="247" spans="1:46" s="265" customFormat="1" ht="47.25" customHeight="1">
      <c r="A247" s="279" t="s">
        <v>337</v>
      </c>
      <c r="B247" s="297" t="s">
        <v>661</v>
      </c>
      <c r="C247" s="287"/>
      <c r="D247" s="288"/>
      <c r="E247" s="288"/>
      <c r="F247" s="282"/>
      <c r="G247" s="282"/>
      <c r="H247" s="285">
        <f t="shared" ref="H247:AR247" si="124">SUM(H248:H254)</f>
        <v>64164</v>
      </c>
      <c r="I247" s="285">
        <f t="shared" si="124"/>
        <v>0</v>
      </c>
      <c r="J247" s="285">
        <f t="shared" si="124"/>
        <v>0</v>
      </c>
      <c r="K247" s="285">
        <f t="shared" si="124"/>
        <v>0</v>
      </c>
      <c r="L247" s="285">
        <f t="shared" si="124"/>
        <v>44500</v>
      </c>
      <c r="M247" s="285">
        <f t="shared" si="124"/>
        <v>44500</v>
      </c>
      <c r="N247" s="285">
        <f t="shared" si="124"/>
        <v>0</v>
      </c>
      <c r="O247" s="285">
        <f t="shared" si="124"/>
        <v>0</v>
      </c>
      <c r="P247" s="285">
        <f t="shared" si="124"/>
        <v>0</v>
      </c>
      <c r="Q247" s="285">
        <f t="shared" si="124"/>
        <v>0</v>
      </c>
      <c r="R247" s="285">
        <f t="shared" si="124"/>
        <v>0</v>
      </c>
      <c r="S247" s="285">
        <f t="shared" si="124"/>
        <v>0</v>
      </c>
      <c r="T247" s="285">
        <f t="shared" si="124"/>
        <v>9770</v>
      </c>
      <c r="U247" s="285">
        <f t="shared" si="124"/>
        <v>9431</v>
      </c>
      <c r="V247" s="285">
        <f t="shared" si="124"/>
        <v>9770</v>
      </c>
      <c r="W247" s="285">
        <f t="shared" si="124"/>
        <v>9431</v>
      </c>
      <c r="X247" s="285">
        <f t="shared" si="124"/>
        <v>0</v>
      </c>
      <c r="Y247" s="285">
        <f t="shared" si="124"/>
        <v>0</v>
      </c>
      <c r="Z247" s="285">
        <f t="shared" si="124"/>
        <v>0</v>
      </c>
      <c r="AA247" s="285">
        <f t="shared" si="124"/>
        <v>0</v>
      </c>
      <c r="AB247" s="285">
        <f t="shared" si="124"/>
        <v>0</v>
      </c>
      <c r="AC247" s="285">
        <f t="shared" si="124"/>
        <v>0</v>
      </c>
      <c r="AD247" s="285">
        <f t="shared" si="124"/>
        <v>0</v>
      </c>
      <c r="AE247" s="285">
        <f t="shared" si="124"/>
        <v>0</v>
      </c>
      <c r="AF247" s="285">
        <f t="shared" si="124"/>
        <v>21500</v>
      </c>
      <c r="AG247" s="285">
        <f t="shared" si="124"/>
        <v>6340</v>
      </c>
      <c r="AH247" s="285">
        <f t="shared" si="124"/>
        <v>58300</v>
      </c>
      <c r="AI247" s="285">
        <f t="shared" si="124"/>
        <v>58300</v>
      </c>
      <c r="AJ247" s="285">
        <f t="shared" si="124"/>
        <v>0</v>
      </c>
      <c r="AK247" s="285">
        <f t="shared" si="124"/>
        <v>0</v>
      </c>
      <c r="AL247" s="285">
        <f t="shared" si="124"/>
        <v>58300</v>
      </c>
      <c r="AM247" s="285">
        <f t="shared" si="124"/>
        <v>31270</v>
      </c>
      <c r="AN247" s="285">
        <f t="shared" si="124"/>
        <v>15771</v>
      </c>
      <c r="AO247" s="285">
        <f t="shared" si="124"/>
        <v>31270</v>
      </c>
      <c r="AP247" s="285">
        <f t="shared" si="124"/>
        <v>27030</v>
      </c>
      <c r="AQ247" s="285">
        <f t="shared" si="124"/>
        <v>27030</v>
      </c>
      <c r="AR247" s="285">
        <f t="shared" si="124"/>
        <v>31270</v>
      </c>
      <c r="AS247" s="285">
        <f>SUM(AS248:AS254)</f>
        <v>12300</v>
      </c>
      <c r="AT247" s="315"/>
    </row>
    <row r="248" spans="1:46" s="265" customFormat="1" ht="47.25" customHeight="1">
      <c r="A248" s="298" t="s">
        <v>1125</v>
      </c>
      <c r="B248" s="314" t="s">
        <v>1126</v>
      </c>
      <c r="C248" s="300" t="s">
        <v>679</v>
      </c>
      <c r="D248" s="300" t="s">
        <v>679</v>
      </c>
      <c r="E248" s="300" t="s">
        <v>1127</v>
      </c>
      <c r="F248" s="312" t="s">
        <v>671</v>
      </c>
      <c r="G248" s="300" t="s">
        <v>1128</v>
      </c>
      <c r="H248" s="295">
        <v>35214</v>
      </c>
      <c r="I248" s="295"/>
      <c r="J248" s="295">
        <f>I248*90%</f>
        <v>0</v>
      </c>
      <c r="K248" s="295"/>
      <c r="L248" s="295">
        <v>31500</v>
      </c>
      <c r="M248" s="295">
        <v>31500</v>
      </c>
      <c r="N248" s="295">
        <f>P248+R248</f>
        <v>0</v>
      </c>
      <c r="O248" s="295">
        <f>Q248+S248</f>
        <v>0</v>
      </c>
      <c r="P248" s="295"/>
      <c r="Q248" s="295"/>
      <c r="R248" s="295"/>
      <c r="S248" s="295"/>
      <c r="T248" s="295">
        <f>V248+X248+Z248+AB248+AD248</f>
        <v>4270</v>
      </c>
      <c r="U248" s="295">
        <f t="shared" si="114"/>
        <v>3931</v>
      </c>
      <c r="V248" s="295">
        <v>4270</v>
      </c>
      <c r="W248" s="295">
        <v>3931</v>
      </c>
      <c r="X248" s="295"/>
      <c r="Y248" s="295"/>
      <c r="Z248" s="295"/>
      <c r="AA248" s="295"/>
      <c r="AB248" s="295"/>
      <c r="AC248" s="295"/>
      <c r="AD248" s="295"/>
      <c r="AE248" s="295"/>
      <c r="AF248" s="295">
        <v>10000</v>
      </c>
      <c r="AG248" s="295">
        <v>36</v>
      </c>
      <c r="AH248" s="295">
        <f>AI248+AJ248+AK248</f>
        <v>32000</v>
      </c>
      <c r="AI248" s="295">
        <v>32000</v>
      </c>
      <c r="AJ248" s="295">
        <f>R248+X248+Z248+AB248+AD248</f>
        <v>0</v>
      </c>
      <c r="AK248" s="295"/>
      <c r="AL248" s="285">
        <f t="shared" si="96"/>
        <v>32000</v>
      </c>
      <c r="AM248" s="295">
        <f t="shared" ref="AM248:AN254" si="125">N248+T248+AF248</f>
        <v>14270</v>
      </c>
      <c r="AN248" s="295">
        <f t="shared" si="125"/>
        <v>3967</v>
      </c>
      <c r="AO248" s="295">
        <f t="shared" si="98"/>
        <v>14270</v>
      </c>
      <c r="AP248" s="295">
        <f t="shared" si="108"/>
        <v>17730</v>
      </c>
      <c r="AQ248" s="285">
        <f t="shared" ref="AQ248:AQ254" si="126">AP248-AK248</f>
        <v>17730</v>
      </c>
      <c r="AR248" s="295">
        <v>14270</v>
      </c>
      <c r="AS248" s="295">
        <v>5000</v>
      </c>
      <c r="AT248" s="313"/>
    </row>
    <row r="249" spans="1:46" s="265" customFormat="1" ht="47.25" customHeight="1">
      <c r="A249" s="298" t="s">
        <v>1129</v>
      </c>
      <c r="B249" s="314" t="s">
        <v>1130</v>
      </c>
      <c r="C249" s="300" t="s">
        <v>705</v>
      </c>
      <c r="D249" s="300" t="s">
        <v>705</v>
      </c>
      <c r="E249" s="300"/>
      <c r="F249" s="312" t="s">
        <v>671</v>
      </c>
      <c r="G249" s="300" t="s">
        <v>1131</v>
      </c>
      <c r="H249" s="295">
        <v>13867</v>
      </c>
      <c r="I249" s="295"/>
      <c r="J249" s="295">
        <f>I249*90%</f>
        <v>0</v>
      </c>
      <c r="K249" s="295"/>
      <c r="L249" s="295">
        <v>13000</v>
      </c>
      <c r="M249" s="295">
        <v>13000</v>
      </c>
      <c r="N249" s="295">
        <f>P249+R249</f>
        <v>0</v>
      </c>
      <c r="O249" s="295">
        <f>Q249+S249</f>
        <v>0</v>
      </c>
      <c r="P249" s="295"/>
      <c r="Q249" s="295"/>
      <c r="R249" s="295"/>
      <c r="S249" s="295"/>
      <c r="T249" s="295">
        <f>V249+X249+Z249+AB249+AD249</f>
        <v>5500</v>
      </c>
      <c r="U249" s="295">
        <f t="shared" si="114"/>
        <v>5500</v>
      </c>
      <c r="V249" s="295">
        <v>5500</v>
      </c>
      <c r="W249" s="295">
        <v>5500</v>
      </c>
      <c r="X249" s="295"/>
      <c r="Y249" s="295"/>
      <c r="Z249" s="295"/>
      <c r="AA249" s="295"/>
      <c r="AB249" s="295"/>
      <c r="AC249" s="295"/>
      <c r="AD249" s="295"/>
      <c r="AE249" s="295"/>
      <c r="AF249" s="295">
        <v>6000</v>
      </c>
      <c r="AG249" s="295">
        <v>4713</v>
      </c>
      <c r="AH249" s="295">
        <f>AI249+AJ249+AK249</f>
        <v>12500</v>
      </c>
      <c r="AI249" s="295">
        <v>12500</v>
      </c>
      <c r="AJ249" s="295">
        <f>R249+X249+Z249+AB249+AD249</f>
        <v>0</v>
      </c>
      <c r="AK249" s="295"/>
      <c r="AL249" s="285">
        <f t="shared" si="96"/>
        <v>12500</v>
      </c>
      <c r="AM249" s="295">
        <f t="shared" si="125"/>
        <v>11500</v>
      </c>
      <c r="AN249" s="295">
        <f t="shared" si="125"/>
        <v>10213</v>
      </c>
      <c r="AO249" s="295">
        <f t="shared" si="98"/>
        <v>11500</v>
      </c>
      <c r="AP249" s="295">
        <f t="shared" si="108"/>
        <v>1000</v>
      </c>
      <c r="AQ249" s="285">
        <f t="shared" si="126"/>
        <v>1000</v>
      </c>
      <c r="AR249" s="295">
        <v>11500</v>
      </c>
      <c r="AS249" s="295">
        <v>1000</v>
      </c>
      <c r="AT249" s="313"/>
    </row>
    <row r="250" spans="1:46" s="265" customFormat="1" ht="47.25" customHeight="1">
      <c r="A250" s="298" t="s">
        <v>1132</v>
      </c>
      <c r="B250" s="299" t="s">
        <v>1133</v>
      </c>
      <c r="C250" s="301" t="s">
        <v>730</v>
      </c>
      <c r="D250" s="301" t="s">
        <v>730</v>
      </c>
      <c r="E250" s="283"/>
      <c r="F250" s="298" t="s">
        <v>676</v>
      </c>
      <c r="G250" s="307" t="s">
        <v>1134</v>
      </c>
      <c r="H250" s="345">
        <v>4983</v>
      </c>
      <c r="I250" s="345"/>
      <c r="J250" s="295">
        <f>I250*90%</f>
        <v>0</v>
      </c>
      <c r="K250" s="295"/>
      <c r="L250" s="295"/>
      <c r="M250" s="295"/>
      <c r="N250" s="295"/>
      <c r="O250" s="295"/>
      <c r="P250" s="295"/>
      <c r="Q250" s="295"/>
      <c r="R250" s="295"/>
      <c r="S250" s="295"/>
      <c r="T250" s="295">
        <f>V250+X250+Z250+AB250+AD250</f>
        <v>0</v>
      </c>
      <c r="U250" s="295">
        <f>W250+Y250+AA250+AC250+AE250</f>
        <v>0</v>
      </c>
      <c r="V250" s="295"/>
      <c r="W250" s="295"/>
      <c r="X250" s="295"/>
      <c r="Y250" s="295"/>
      <c r="Z250" s="295"/>
      <c r="AA250" s="295"/>
      <c r="AB250" s="295"/>
      <c r="AC250" s="295"/>
      <c r="AD250" s="295"/>
      <c r="AE250" s="295"/>
      <c r="AF250" s="295">
        <v>1500</v>
      </c>
      <c r="AG250" s="295"/>
      <c r="AH250" s="295">
        <f t="shared" ref="AH250:AH258" si="127">AI250+AJ250+AK250</f>
        <v>4500</v>
      </c>
      <c r="AI250" s="295">
        <v>4500</v>
      </c>
      <c r="AJ250" s="295">
        <f>R250+X250+Z250+AB250+AD250</f>
        <v>0</v>
      </c>
      <c r="AK250" s="295"/>
      <c r="AL250" s="285">
        <f t="shared" si="96"/>
        <v>4500</v>
      </c>
      <c r="AM250" s="295">
        <f t="shared" si="125"/>
        <v>1500</v>
      </c>
      <c r="AN250" s="295">
        <f t="shared" si="125"/>
        <v>0</v>
      </c>
      <c r="AO250" s="295">
        <f t="shared" si="98"/>
        <v>1500</v>
      </c>
      <c r="AP250" s="295">
        <f t="shared" si="108"/>
        <v>3000</v>
      </c>
      <c r="AQ250" s="285">
        <f t="shared" si="126"/>
        <v>3000</v>
      </c>
      <c r="AR250" s="295">
        <v>1500</v>
      </c>
      <c r="AS250" s="295">
        <v>2500</v>
      </c>
      <c r="AT250" s="310"/>
    </row>
    <row r="251" spans="1:46" s="265" customFormat="1" ht="47.25" customHeight="1">
      <c r="A251" s="298" t="s">
        <v>1135</v>
      </c>
      <c r="B251" s="299" t="s">
        <v>1136</v>
      </c>
      <c r="C251" s="301" t="s">
        <v>698</v>
      </c>
      <c r="D251" s="301" t="s">
        <v>698</v>
      </c>
      <c r="E251" s="283"/>
      <c r="F251" s="298" t="s">
        <v>676</v>
      </c>
      <c r="G251" s="307" t="s">
        <v>1137</v>
      </c>
      <c r="H251" s="345">
        <v>2300</v>
      </c>
      <c r="I251" s="345"/>
      <c r="J251" s="295">
        <f>I251*90%</f>
        <v>0</v>
      </c>
      <c r="K251" s="295"/>
      <c r="L251" s="295"/>
      <c r="M251" s="295"/>
      <c r="N251" s="295"/>
      <c r="O251" s="295"/>
      <c r="P251" s="295"/>
      <c r="Q251" s="295"/>
      <c r="R251" s="295"/>
      <c r="S251" s="295"/>
      <c r="T251" s="295">
        <f>V251+X251+Z251+AB251+AD251</f>
        <v>0</v>
      </c>
      <c r="U251" s="295">
        <f>W251+Y251+AA251+AC251+AE251</f>
        <v>0</v>
      </c>
      <c r="V251" s="295"/>
      <c r="W251" s="295"/>
      <c r="X251" s="295"/>
      <c r="Y251" s="295"/>
      <c r="Z251" s="295"/>
      <c r="AA251" s="295"/>
      <c r="AB251" s="295"/>
      <c r="AC251" s="295"/>
      <c r="AD251" s="295"/>
      <c r="AE251" s="295"/>
      <c r="AF251" s="295">
        <v>1000</v>
      </c>
      <c r="AG251" s="295"/>
      <c r="AH251" s="295">
        <f t="shared" si="127"/>
        <v>2100</v>
      </c>
      <c r="AI251" s="295">
        <v>2100</v>
      </c>
      <c r="AJ251" s="295">
        <f>R251+X251+Z251+AB251+AD251</f>
        <v>0</v>
      </c>
      <c r="AK251" s="295"/>
      <c r="AL251" s="285">
        <f t="shared" si="96"/>
        <v>2100</v>
      </c>
      <c r="AM251" s="295">
        <f t="shared" si="125"/>
        <v>1000</v>
      </c>
      <c r="AN251" s="295">
        <f t="shared" si="125"/>
        <v>0</v>
      </c>
      <c r="AO251" s="295">
        <f t="shared" si="98"/>
        <v>1000</v>
      </c>
      <c r="AP251" s="295">
        <f t="shared" si="108"/>
        <v>1100</v>
      </c>
      <c r="AQ251" s="285">
        <f t="shared" si="126"/>
        <v>1100</v>
      </c>
      <c r="AR251" s="295">
        <v>1000</v>
      </c>
      <c r="AS251" s="295">
        <v>700</v>
      </c>
      <c r="AT251" s="310"/>
    </row>
    <row r="252" spans="1:46" s="265" customFormat="1" ht="47.25" customHeight="1">
      <c r="A252" s="298" t="s">
        <v>1138</v>
      </c>
      <c r="B252" s="299" t="s">
        <v>1139</v>
      </c>
      <c r="C252" s="301" t="s">
        <v>705</v>
      </c>
      <c r="D252" s="301" t="s">
        <v>705</v>
      </c>
      <c r="E252" s="283"/>
      <c r="F252" s="298" t="s">
        <v>676</v>
      </c>
      <c r="G252" s="307" t="s">
        <v>1140</v>
      </c>
      <c r="H252" s="345">
        <v>2500</v>
      </c>
      <c r="I252" s="345"/>
      <c r="J252" s="295">
        <f>I252*90%</f>
        <v>0</v>
      </c>
      <c r="K252" s="295"/>
      <c r="L252" s="295"/>
      <c r="M252" s="295"/>
      <c r="N252" s="295"/>
      <c r="O252" s="295"/>
      <c r="P252" s="295"/>
      <c r="Q252" s="295"/>
      <c r="R252" s="295"/>
      <c r="S252" s="295"/>
      <c r="T252" s="295">
        <f>V252+X252+Z252+AB252+AD252</f>
        <v>0</v>
      </c>
      <c r="U252" s="295">
        <f>W252+Y252+AA252+AC252+AE252</f>
        <v>0</v>
      </c>
      <c r="V252" s="295"/>
      <c r="W252" s="295"/>
      <c r="X252" s="295"/>
      <c r="Y252" s="295"/>
      <c r="Z252" s="295"/>
      <c r="AA252" s="295"/>
      <c r="AB252" s="295"/>
      <c r="AC252" s="295"/>
      <c r="AD252" s="295"/>
      <c r="AE252" s="295"/>
      <c r="AF252" s="295">
        <v>1000</v>
      </c>
      <c r="AG252" s="295">
        <v>125</v>
      </c>
      <c r="AH252" s="295">
        <f t="shared" si="127"/>
        <v>2300</v>
      </c>
      <c r="AI252" s="295">
        <v>2300</v>
      </c>
      <c r="AJ252" s="295">
        <f>R252+X252+Z252+AB252+AD252</f>
        <v>0</v>
      </c>
      <c r="AK252" s="295"/>
      <c r="AL252" s="285">
        <f t="shared" si="96"/>
        <v>2300</v>
      </c>
      <c r="AM252" s="295">
        <f t="shared" si="125"/>
        <v>1000</v>
      </c>
      <c r="AN252" s="295">
        <f t="shared" si="125"/>
        <v>125</v>
      </c>
      <c r="AO252" s="295">
        <f t="shared" si="98"/>
        <v>1000</v>
      </c>
      <c r="AP252" s="295">
        <f t="shared" si="108"/>
        <v>1300</v>
      </c>
      <c r="AQ252" s="285">
        <f t="shared" si="126"/>
        <v>1300</v>
      </c>
      <c r="AR252" s="295">
        <v>1000</v>
      </c>
      <c r="AS252" s="295">
        <v>800</v>
      </c>
      <c r="AT252" s="310"/>
    </row>
    <row r="253" spans="1:46" s="265" customFormat="1" ht="47.25" customHeight="1">
      <c r="A253" s="298" t="s">
        <v>1141</v>
      </c>
      <c r="B253" s="299" t="s">
        <v>1142</v>
      </c>
      <c r="C253" s="301" t="s">
        <v>744</v>
      </c>
      <c r="D253" s="301" t="s">
        <v>744</v>
      </c>
      <c r="E253" s="283"/>
      <c r="F253" s="298" t="s">
        <v>676</v>
      </c>
      <c r="G253" s="307" t="s">
        <v>1143</v>
      </c>
      <c r="H253" s="345">
        <v>2500</v>
      </c>
      <c r="I253" s="345"/>
      <c r="J253" s="295"/>
      <c r="K253" s="295"/>
      <c r="L253" s="295"/>
      <c r="M253" s="295"/>
      <c r="N253" s="295"/>
      <c r="O253" s="295"/>
      <c r="P253" s="295"/>
      <c r="Q253" s="295"/>
      <c r="R253" s="295"/>
      <c r="S253" s="295"/>
      <c r="T253" s="295"/>
      <c r="U253" s="295">
        <f>W253+Y253+AA253+AC253+AE253</f>
        <v>0</v>
      </c>
      <c r="V253" s="295"/>
      <c r="W253" s="295"/>
      <c r="X253" s="295"/>
      <c r="Y253" s="295"/>
      <c r="Z253" s="295"/>
      <c r="AA253" s="295"/>
      <c r="AB253" s="295"/>
      <c r="AC253" s="295"/>
      <c r="AD253" s="295"/>
      <c r="AE253" s="295"/>
      <c r="AF253" s="295">
        <v>1000</v>
      </c>
      <c r="AG253" s="295">
        <v>537</v>
      </c>
      <c r="AH253" s="295">
        <f t="shared" si="127"/>
        <v>2300</v>
      </c>
      <c r="AI253" s="295">
        <v>2300</v>
      </c>
      <c r="AJ253" s="295"/>
      <c r="AK253" s="295"/>
      <c r="AL253" s="285">
        <f t="shared" si="96"/>
        <v>2300</v>
      </c>
      <c r="AM253" s="295">
        <f t="shared" si="125"/>
        <v>1000</v>
      </c>
      <c r="AN253" s="295">
        <f t="shared" si="125"/>
        <v>537</v>
      </c>
      <c r="AO253" s="295">
        <f t="shared" si="98"/>
        <v>1000</v>
      </c>
      <c r="AP253" s="295">
        <f>AH253-AM253</f>
        <v>1300</v>
      </c>
      <c r="AQ253" s="285">
        <f t="shared" si="126"/>
        <v>1300</v>
      </c>
      <c r="AR253" s="295">
        <v>1000</v>
      </c>
      <c r="AS253" s="295">
        <v>1300</v>
      </c>
      <c r="AT253" s="310"/>
    </row>
    <row r="254" spans="1:46" s="265" customFormat="1" ht="47.25" customHeight="1">
      <c r="A254" s="298" t="s">
        <v>1144</v>
      </c>
      <c r="B254" s="299" t="s">
        <v>1145</v>
      </c>
      <c r="C254" s="301" t="s">
        <v>669</v>
      </c>
      <c r="D254" s="301" t="s">
        <v>669</v>
      </c>
      <c r="E254" s="283"/>
      <c r="F254" s="298" t="s">
        <v>676</v>
      </c>
      <c r="G254" s="307" t="s">
        <v>1146</v>
      </c>
      <c r="H254" s="345">
        <v>2800</v>
      </c>
      <c r="I254" s="345"/>
      <c r="J254" s="295"/>
      <c r="K254" s="295"/>
      <c r="L254" s="295"/>
      <c r="M254" s="295"/>
      <c r="N254" s="295"/>
      <c r="O254" s="295"/>
      <c r="P254" s="295"/>
      <c r="Q254" s="295"/>
      <c r="R254" s="295"/>
      <c r="S254" s="295"/>
      <c r="T254" s="295"/>
      <c r="U254" s="295">
        <f>W254+Y254+AA254+AC254+AE254</f>
        <v>0</v>
      </c>
      <c r="V254" s="295"/>
      <c r="W254" s="295"/>
      <c r="X254" s="295"/>
      <c r="Y254" s="295"/>
      <c r="Z254" s="295"/>
      <c r="AA254" s="295"/>
      <c r="AB254" s="295"/>
      <c r="AC254" s="295"/>
      <c r="AD254" s="295"/>
      <c r="AE254" s="295"/>
      <c r="AF254" s="295">
        <v>1000</v>
      </c>
      <c r="AG254" s="295">
        <v>929</v>
      </c>
      <c r="AH254" s="295">
        <f t="shared" si="127"/>
        <v>2600</v>
      </c>
      <c r="AI254" s="295">
        <v>2600</v>
      </c>
      <c r="AJ254" s="295"/>
      <c r="AK254" s="295"/>
      <c r="AL254" s="285">
        <f t="shared" si="96"/>
        <v>2600</v>
      </c>
      <c r="AM254" s="295">
        <f t="shared" si="125"/>
        <v>1000</v>
      </c>
      <c r="AN254" s="295">
        <f t="shared" si="125"/>
        <v>929</v>
      </c>
      <c r="AO254" s="295">
        <f t="shared" si="98"/>
        <v>1000</v>
      </c>
      <c r="AP254" s="295">
        <f>AH254-AM254</f>
        <v>1600</v>
      </c>
      <c r="AQ254" s="285">
        <f t="shared" si="126"/>
        <v>1600</v>
      </c>
      <c r="AR254" s="295">
        <v>1000</v>
      </c>
      <c r="AS254" s="295">
        <v>1000</v>
      </c>
      <c r="AT254" s="310"/>
    </row>
    <row r="255" spans="1:46" s="265" customFormat="1" ht="47.25" customHeight="1">
      <c r="A255" s="290" t="s">
        <v>340</v>
      </c>
      <c r="B255" s="297" t="s">
        <v>682</v>
      </c>
      <c r="C255" s="292"/>
      <c r="D255" s="279"/>
      <c r="E255" s="293"/>
      <c r="F255" s="279"/>
      <c r="G255" s="294"/>
      <c r="H255" s="285">
        <f t="shared" ref="H255:AR255" si="128">SUM(H256:H258)</f>
        <v>6583</v>
      </c>
      <c r="I255" s="285">
        <f t="shared" si="128"/>
        <v>0</v>
      </c>
      <c r="J255" s="285">
        <f t="shared" si="128"/>
        <v>0</v>
      </c>
      <c r="K255" s="285">
        <f t="shared" si="128"/>
        <v>0</v>
      </c>
      <c r="L255" s="285">
        <f t="shared" si="128"/>
        <v>2500</v>
      </c>
      <c r="M255" s="285">
        <f t="shared" si="128"/>
        <v>2500</v>
      </c>
      <c r="N255" s="285">
        <f t="shared" si="128"/>
        <v>0</v>
      </c>
      <c r="O255" s="285">
        <f t="shared" si="128"/>
        <v>0</v>
      </c>
      <c r="P255" s="285">
        <f t="shared" si="128"/>
        <v>0</v>
      </c>
      <c r="Q255" s="285">
        <f t="shared" si="128"/>
        <v>0</v>
      </c>
      <c r="R255" s="285">
        <f t="shared" si="128"/>
        <v>0</v>
      </c>
      <c r="S255" s="285">
        <f t="shared" si="128"/>
        <v>0</v>
      </c>
      <c r="T255" s="285">
        <f t="shared" si="128"/>
        <v>0</v>
      </c>
      <c r="U255" s="285">
        <f t="shared" si="128"/>
        <v>0</v>
      </c>
      <c r="V255" s="285">
        <f t="shared" si="128"/>
        <v>0</v>
      </c>
      <c r="W255" s="285">
        <f t="shared" si="128"/>
        <v>0</v>
      </c>
      <c r="X255" s="285">
        <f t="shared" si="128"/>
        <v>0</v>
      </c>
      <c r="Y255" s="285">
        <f t="shared" si="128"/>
        <v>0</v>
      </c>
      <c r="Z255" s="285">
        <f t="shared" si="128"/>
        <v>0</v>
      </c>
      <c r="AA255" s="285">
        <f t="shared" si="128"/>
        <v>0</v>
      </c>
      <c r="AB255" s="285">
        <f t="shared" si="128"/>
        <v>0</v>
      </c>
      <c r="AC255" s="285">
        <f t="shared" si="128"/>
        <v>0</v>
      </c>
      <c r="AD255" s="285">
        <f t="shared" si="128"/>
        <v>0</v>
      </c>
      <c r="AE255" s="285">
        <f t="shared" si="128"/>
        <v>0</v>
      </c>
      <c r="AF255" s="285">
        <f t="shared" si="128"/>
        <v>0</v>
      </c>
      <c r="AG255" s="285">
        <f t="shared" si="128"/>
        <v>0</v>
      </c>
      <c r="AH255" s="285">
        <f t="shared" si="128"/>
        <v>14179</v>
      </c>
      <c r="AI255" s="285">
        <f t="shared" si="128"/>
        <v>14179</v>
      </c>
      <c r="AJ255" s="285">
        <f t="shared" si="128"/>
        <v>0</v>
      </c>
      <c r="AK255" s="285">
        <f t="shared" si="128"/>
        <v>0</v>
      </c>
      <c r="AL255" s="285">
        <f t="shared" si="128"/>
        <v>14179</v>
      </c>
      <c r="AM255" s="285">
        <f t="shared" si="128"/>
        <v>0</v>
      </c>
      <c r="AN255" s="285">
        <f t="shared" si="128"/>
        <v>0</v>
      </c>
      <c r="AO255" s="285">
        <f t="shared" si="128"/>
        <v>0</v>
      </c>
      <c r="AP255" s="285">
        <f t="shared" si="128"/>
        <v>14179</v>
      </c>
      <c r="AQ255" s="285">
        <f t="shared" si="128"/>
        <v>14179</v>
      </c>
      <c r="AR255" s="285">
        <f t="shared" si="128"/>
        <v>0</v>
      </c>
      <c r="AS255" s="285">
        <f>SUM(AS256:AS258)</f>
        <v>8500</v>
      </c>
      <c r="AT255" s="296"/>
    </row>
    <row r="256" spans="1:46" s="265" customFormat="1" ht="22.5" customHeight="1">
      <c r="A256" s="298">
        <v>1</v>
      </c>
      <c r="B256" s="314" t="s">
        <v>1147</v>
      </c>
      <c r="C256" s="300" t="s">
        <v>730</v>
      </c>
      <c r="D256" s="300" t="s">
        <v>730</v>
      </c>
      <c r="E256" s="300"/>
      <c r="F256" s="312" t="s">
        <v>727</v>
      </c>
      <c r="G256" s="300" t="s">
        <v>1148</v>
      </c>
      <c r="H256" s="295">
        <v>3000</v>
      </c>
      <c r="I256" s="295"/>
      <c r="J256" s="295">
        <f>I256*90%</f>
        <v>0</v>
      </c>
      <c r="K256" s="295"/>
      <c r="L256" s="295">
        <v>2500</v>
      </c>
      <c r="M256" s="295">
        <v>2500</v>
      </c>
      <c r="N256" s="295">
        <f>P256+R256</f>
        <v>0</v>
      </c>
      <c r="O256" s="295">
        <f>Q256+S256</f>
        <v>0</v>
      </c>
      <c r="P256" s="295"/>
      <c r="Q256" s="295"/>
      <c r="R256" s="295"/>
      <c r="S256" s="295"/>
      <c r="T256" s="295">
        <f>V256+X256+Z256+AB256+AD256</f>
        <v>0</v>
      </c>
      <c r="U256" s="295">
        <f>W256+Y256+AA256+AC256+AE256</f>
        <v>0</v>
      </c>
      <c r="V256" s="295"/>
      <c r="W256" s="295"/>
      <c r="X256" s="295"/>
      <c r="Y256" s="295"/>
      <c r="Z256" s="295"/>
      <c r="AA256" s="295"/>
      <c r="AB256" s="295"/>
      <c r="AC256" s="295"/>
      <c r="AD256" s="295"/>
      <c r="AE256" s="295"/>
      <c r="AF256" s="295"/>
      <c r="AG256" s="295"/>
      <c r="AH256" s="295">
        <f>AI256+AJ256+AK256</f>
        <v>2500</v>
      </c>
      <c r="AI256" s="295">
        <v>2500</v>
      </c>
      <c r="AJ256" s="295">
        <f>R256+X256+Z256+AB256+AD256</f>
        <v>0</v>
      </c>
      <c r="AK256" s="295"/>
      <c r="AL256" s="285">
        <f t="shared" si="96"/>
        <v>2500</v>
      </c>
      <c r="AM256" s="295">
        <f t="shared" ref="AM256:AN259" si="129">N256+T256+AF256</f>
        <v>0</v>
      </c>
      <c r="AN256" s="295">
        <f t="shared" si="129"/>
        <v>0</v>
      </c>
      <c r="AO256" s="285">
        <f t="shared" si="98"/>
        <v>0</v>
      </c>
      <c r="AP256" s="295">
        <f>AH256-AM256</f>
        <v>2500</v>
      </c>
      <c r="AQ256" s="285">
        <f>AP256-AK256</f>
        <v>2500</v>
      </c>
      <c r="AR256" s="295">
        <v>0</v>
      </c>
      <c r="AS256" s="295">
        <v>1500</v>
      </c>
      <c r="AT256" s="313"/>
    </row>
    <row r="257" spans="1:46" s="265" customFormat="1" ht="22.5" customHeight="1">
      <c r="A257" s="298">
        <v>2</v>
      </c>
      <c r="B257" s="305" t="s">
        <v>1149</v>
      </c>
      <c r="C257" s="300" t="s">
        <v>726</v>
      </c>
      <c r="D257" s="300" t="s">
        <v>726</v>
      </c>
      <c r="E257" s="300"/>
      <c r="F257" s="312" t="s">
        <v>684</v>
      </c>
      <c r="G257" s="300" t="s">
        <v>1150</v>
      </c>
      <c r="H257" s="295">
        <v>3583</v>
      </c>
      <c r="I257" s="295"/>
      <c r="J257" s="295"/>
      <c r="K257" s="295"/>
      <c r="L257" s="295"/>
      <c r="M257" s="295"/>
      <c r="N257" s="295"/>
      <c r="O257" s="295"/>
      <c r="P257" s="295"/>
      <c r="Q257" s="295"/>
      <c r="R257" s="295"/>
      <c r="S257" s="295"/>
      <c r="T257" s="295"/>
      <c r="U257" s="295"/>
      <c r="V257" s="295"/>
      <c r="W257" s="295"/>
      <c r="X257" s="295"/>
      <c r="Y257" s="295"/>
      <c r="Z257" s="295"/>
      <c r="AA257" s="295"/>
      <c r="AB257" s="295"/>
      <c r="AC257" s="295"/>
      <c r="AD257" s="295"/>
      <c r="AE257" s="295"/>
      <c r="AF257" s="295"/>
      <c r="AG257" s="295"/>
      <c r="AH257" s="295"/>
      <c r="AI257" s="295"/>
      <c r="AJ257" s="295"/>
      <c r="AK257" s="295"/>
      <c r="AL257" s="285">
        <f t="shared" si="96"/>
        <v>0</v>
      </c>
      <c r="AM257" s="295"/>
      <c r="AN257" s="295"/>
      <c r="AO257" s="285">
        <f t="shared" si="98"/>
        <v>0</v>
      </c>
      <c r="AP257" s="295"/>
      <c r="AQ257" s="285"/>
      <c r="AR257" s="295">
        <v>0</v>
      </c>
      <c r="AS257" s="295">
        <v>2000</v>
      </c>
      <c r="AT257" s="313"/>
    </row>
    <row r="258" spans="1:46" s="265" customFormat="1" ht="27.75" customHeight="1">
      <c r="A258" s="298">
        <v>3</v>
      </c>
      <c r="B258" s="309" t="s">
        <v>1151</v>
      </c>
      <c r="C258" s="301" t="s">
        <v>659</v>
      </c>
      <c r="D258" s="301" t="s">
        <v>659</v>
      </c>
      <c r="E258" s="302"/>
      <c r="F258" s="298"/>
      <c r="G258" s="307"/>
      <c r="H258" s="295">
        <v>0</v>
      </c>
      <c r="I258" s="295"/>
      <c r="J258" s="295"/>
      <c r="K258" s="295"/>
      <c r="L258" s="295"/>
      <c r="M258" s="295"/>
      <c r="N258" s="295"/>
      <c r="O258" s="295"/>
      <c r="P258" s="295"/>
      <c r="Q258" s="295"/>
      <c r="R258" s="295"/>
      <c r="S258" s="295"/>
      <c r="T258" s="295"/>
      <c r="U258" s="295">
        <f>W258+Y258+AA258+AC258+AE258</f>
        <v>0</v>
      </c>
      <c r="V258" s="295"/>
      <c r="W258" s="295"/>
      <c r="X258" s="295"/>
      <c r="Y258" s="295"/>
      <c r="Z258" s="295"/>
      <c r="AA258" s="295"/>
      <c r="AB258" s="295"/>
      <c r="AC258" s="295"/>
      <c r="AD258" s="295"/>
      <c r="AE258" s="295"/>
      <c r="AF258" s="295"/>
      <c r="AG258" s="295"/>
      <c r="AH258" s="295">
        <f t="shared" si="127"/>
        <v>11679</v>
      </c>
      <c r="AI258" s="295">
        <v>11679</v>
      </c>
      <c r="AJ258" s="295"/>
      <c r="AK258" s="295"/>
      <c r="AL258" s="285">
        <f t="shared" si="96"/>
        <v>11679</v>
      </c>
      <c r="AM258" s="295">
        <f t="shared" si="129"/>
        <v>0</v>
      </c>
      <c r="AN258" s="295">
        <f t="shared" si="129"/>
        <v>0</v>
      </c>
      <c r="AO258" s="285">
        <f t="shared" si="98"/>
        <v>0</v>
      </c>
      <c r="AP258" s="295">
        <f>AH258-AM258</f>
        <v>11679</v>
      </c>
      <c r="AQ258" s="285">
        <f>AP258-AK258</f>
        <v>11679</v>
      </c>
      <c r="AR258" s="295">
        <v>0</v>
      </c>
      <c r="AS258" s="295">
        <v>5000</v>
      </c>
      <c r="AT258" s="310"/>
    </row>
    <row r="259" spans="1:46" s="265" customFormat="1" ht="47.25" hidden="1" customHeight="1">
      <c r="A259" s="298"/>
      <c r="B259" s="299"/>
      <c r="C259" s="301"/>
      <c r="D259" s="301"/>
      <c r="E259" s="302"/>
      <c r="F259" s="298"/>
      <c r="G259" s="307"/>
      <c r="H259" s="295"/>
      <c r="I259" s="295"/>
      <c r="J259" s="295"/>
      <c r="K259" s="295"/>
      <c r="L259" s="295"/>
      <c r="M259" s="295"/>
      <c r="N259" s="295"/>
      <c r="O259" s="295"/>
      <c r="P259" s="295"/>
      <c r="Q259" s="295"/>
      <c r="R259" s="295"/>
      <c r="S259" s="295"/>
      <c r="T259" s="295"/>
      <c r="U259" s="295">
        <f>W259+Y259+AA259+AC259+AE259</f>
        <v>0</v>
      </c>
      <c r="V259" s="295"/>
      <c r="W259" s="295"/>
      <c r="X259" s="295"/>
      <c r="Y259" s="295"/>
      <c r="Z259" s="295"/>
      <c r="AA259" s="295"/>
      <c r="AB259" s="295"/>
      <c r="AC259" s="295"/>
      <c r="AD259" s="295"/>
      <c r="AE259" s="295"/>
      <c r="AF259" s="295"/>
      <c r="AG259" s="295"/>
      <c r="AH259" s="295"/>
      <c r="AI259" s="295"/>
      <c r="AJ259" s="295"/>
      <c r="AK259" s="295"/>
      <c r="AL259" s="285">
        <f t="shared" si="96"/>
        <v>0</v>
      </c>
      <c r="AM259" s="295">
        <f t="shared" si="129"/>
        <v>0</v>
      </c>
      <c r="AN259" s="295">
        <f t="shared" si="129"/>
        <v>0</v>
      </c>
      <c r="AO259" s="285">
        <f t="shared" si="98"/>
        <v>0</v>
      </c>
      <c r="AP259" s="295">
        <f>AH259-AM259</f>
        <v>0</v>
      </c>
      <c r="AQ259" s="285">
        <f>AP259-AK259</f>
        <v>0</v>
      </c>
      <c r="AR259" s="295"/>
      <c r="AS259" s="295"/>
      <c r="AT259" s="310"/>
    </row>
    <row r="260" spans="1:46" s="265" customFormat="1" ht="47.25" customHeight="1">
      <c r="A260" s="290" t="s">
        <v>266</v>
      </c>
      <c r="B260" s="297" t="s">
        <v>1152</v>
      </c>
      <c r="C260" s="292"/>
      <c r="D260" s="279"/>
      <c r="E260" s="293"/>
      <c r="F260" s="279"/>
      <c r="G260" s="294"/>
      <c r="H260" s="285">
        <f t="shared" ref="H260:AR260" si="130">H261+H265</f>
        <v>294986</v>
      </c>
      <c r="I260" s="285">
        <f t="shared" si="130"/>
        <v>0</v>
      </c>
      <c r="J260" s="285">
        <f t="shared" si="130"/>
        <v>0</v>
      </c>
      <c r="K260" s="285">
        <f t="shared" si="130"/>
        <v>0</v>
      </c>
      <c r="L260" s="285">
        <f t="shared" si="130"/>
        <v>39500</v>
      </c>
      <c r="M260" s="285">
        <f t="shared" si="130"/>
        <v>39500</v>
      </c>
      <c r="N260" s="285">
        <f t="shared" si="130"/>
        <v>0</v>
      </c>
      <c r="O260" s="285">
        <f t="shared" si="130"/>
        <v>0</v>
      </c>
      <c r="P260" s="285">
        <f t="shared" si="130"/>
        <v>0</v>
      </c>
      <c r="Q260" s="285">
        <f t="shared" si="130"/>
        <v>0</v>
      </c>
      <c r="R260" s="285">
        <f t="shared" si="130"/>
        <v>0</v>
      </c>
      <c r="S260" s="285">
        <f t="shared" si="130"/>
        <v>0</v>
      </c>
      <c r="T260" s="285">
        <f t="shared" si="130"/>
        <v>0</v>
      </c>
      <c r="U260" s="285">
        <f t="shared" si="130"/>
        <v>0</v>
      </c>
      <c r="V260" s="285">
        <f t="shared" si="130"/>
        <v>0</v>
      </c>
      <c r="W260" s="285">
        <f t="shared" si="130"/>
        <v>0</v>
      </c>
      <c r="X260" s="285">
        <f t="shared" si="130"/>
        <v>0</v>
      </c>
      <c r="Y260" s="285">
        <f t="shared" si="130"/>
        <v>0</v>
      </c>
      <c r="Z260" s="285">
        <f t="shared" si="130"/>
        <v>0</v>
      </c>
      <c r="AA260" s="285">
        <f t="shared" si="130"/>
        <v>0</v>
      </c>
      <c r="AB260" s="285">
        <f t="shared" si="130"/>
        <v>0</v>
      </c>
      <c r="AC260" s="285">
        <f t="shared" si="130"/>
        <v>0</v>
      </c>
      <c r="AD260" s="285">
        <f t="shared" si="130"/>
        <v>0</v>
      </c>
      <c r="AE260" s="285">
        <f t="shared" si="130"/>
        <v>0</v>
      </c>
      <c r="AF260" s="285">
        <f t="shared" si="130"/>
        <v>38200</v>
      </c>
      <c r="AG260" s="285">
        <f t="shared" si="130"/>
        <v>2845</v>
      </c>
      <c r="AH260" s="285">
        <f t="shared" si="130"/>
        <v>154200</v>
      </c>
      <c r="AI260" s="285">
        <f t="shared" si="130"/>
        <v>94200</v>
      </c>
      <c r="AJ260" s="285">
        <f t="shared" si="130"/>
        <v>0</v>
      </c>
      <c r="AK260" s="285">
        <f t="shared" si="130"/>
        <v>60000</v>
      </c>
      <c r="AL260" s="285">
        <f t="shared" si="130"/>
        <v>94200</v>
      </c>
      <c r="AM260" s="285">
        <f t="shared" si="130"/>
        <v>38200</v>
      </c>
      <c r="AN260" s="285">
        <f t="shared" si="130"/>
        <v>2845</v>
      </c>
      <c r="AO260" s="285">
        <f t="shared" si="130"/>
        <v>38200</v>
      </c>
      <c r="AP260" s="285">
        <f t="shared" si="130"/>
        <v>116000</v>
      </c>
      <c r="AQ260" s="285">
        <f t="shared" si="130"/>
        <v>56000</v>
      </c>
      <c r="AR260" s="285">
        <f t="shared" si="130"/>
        <v>38200</v>
      </c>
      <c r="AS260" s="285">
        <f>AS261+AS265</f>
        <v>69000</v>
      </c>
      <c r="AT260" s="296"/>
    </row>
    <row r="261" spans="1:46" s="265" customFormat="1" ht="47.25" customHeight="1">
      <c r="A261" s="290" t="s">
        <v>337</v>
      </c>
      <c r="B261" s="297" t="s">
        <v>661</v>
      </c>
      <c r="C261" s="292"/>
      <c r="D261" s="279"/>
      <c r="E261" s="293"/>
      <c r="F261" s="279"/>
      <c r="G261" s="294"/>
      <c r="H261" s="285">
        <f t="shared" ref="H261:AR261" si="131">SUM(H262:H264)</f>
        <v>157410</v>
      </c>
      <c r="I261" s="285">
        <f t="shared" si="131"/>
        <v>0</v>
      </c>
      <c r="J261" s="285">
        <f t="shared" si="131"/>
        <v>0</v>
      </c>
      <c r="K261" s="285">
        <f t="shared" si="131"/>
        <v>0</v>
      </c>
      <c r="L261" s="285">
        <f t="shared" si="131"/>
        <v>30500</v>
      </c>
      <c r="M261" s="285">
        <f t="shared" si="131"/>
        <v>30500</v>
      </c>
      <c r="N261" s="285">
        <f t="shared" si="131"/>
        <v>0</v>
      </c>
      <c r="O261" s="285">
        <f t="shared" si="131"/>
        <v>0</v>
      </c>
      <c r="P261" s="285">
        <f t="shared" si="131"/>
        <v>0</v>
      </c>
      <c r="Q261" s="285">
        <f t="shared" si="131"/>
        <v>0</v>
      </c>
      <c r="R261" s="285">
        <f t="shared" si="131"/>
        <v>0</v>
      </c>
      <c r="S261" s="285">
        <f t="shared" si="131"/>
        <v>0</v>
      </c>
      <c r="T261" s="285">
        <f t="shared" si="131"/>
        <v>0</v>
      </c>
      <c r="U261" s="285">
        <f t="shared" si="131"/>
        <v>0</v>
      </c>
      <c r="V261" s="285">
        <f t="shared" si="131"/>
        <v>0</v>
      </c>
      <c r="W261" s="285">
        <f t="shared" si="131"/>
        <v>0</v>
      </c>
      <c r="X261" s="285">
        <f t="shared" si="131"/>
        <v>0</v>
      </c>
      <c r="Y261" s="285">
        <f t="shared" si="131"/>
        <v>0</v>
      </c>
      <c r="Z261" s="285">
        <f t="shared" si="131"/>
        <v>0</v>
      </c>
      <c r="AA261" s="285">
        <f t="shared" si="131"/>
        <v>0</v>
      </c>
      <c r="AB261" s="285">
        <f t="shared" si="131"/>
        <v>0</v>
      </c>
      <c r="AC261" s="285">
        <f t="shared" si="131"/>
        <v>0</v>
      </c>
      <c r="AD261" s="285">
        <f t="shared" si="131"/>
        <v>0</v>
      </c>
      <c r="AE261" s="285">
        <f t="shared" si="131"/>
        <v>0</v>
      </c>
      <c r="AF261" s="285">
        <f t="shared" si="131"/>
        <v>38200</v>
      </c>
      <c r="AG261" s="285">
        <f t="shared" si="131"/>
        <v>2845</v>
      </c>
      <c r="AH261" s="285">
        <f t="shared" si="131"/>
        <v>145200</v>
      </c>
      <c r="AI261" s="285">
        <f t="shared" si="131"/>
        <v>85200</v>
      </c>
      <c r="AJ261" s="285">
        <f t="shared" si="131"/>
        <v>0</v>
      </c>
      <c r="AK261" s="285">
        <f t="shared" si="131"/>
        <v>60000</v>
      </c>
      <c r="AL261" s="285">
        <f t="shared" si="131"/>
        <v>85200</v>
      </c>
      <c r="AM261" s="285">
        <f t="shared" si="131"/>
        <v>38200</v>
      </c>
      <c r="AN261" s="285">
        <f t="shared" si="131"/>
        <v>2845</v>
      </c>
      <c r="AO261" s="285">
        <f t="shared" si="131"/>
        <v>38200</v>
      </c>
      <c r="AP261" s="285">
        <f t="shared" si="131"/>
        <v>107000</v>
      </c>
      <c r="AQ261" s="285">
        <f t="shared" si="131"/>
        <v>47000</v>
      </c>
      <c r="AR261" s="285">
        <f t="shared" si="131"/>
        <v>38200</v>
      </c>
      <c r="AS261" s="285">
        <f>SUM(AS262:AS264)</f>
        <v>27000</v>
      </c>
      <c r="AT261" s="296"/>
    </row>
    <row r="262" spans="1:46" s="265" customFormat="1" ht="47.25" customHeight="1">
      <c r="A262" s="298">
        <v>1</v>
      </c>
      <c r="B262" s="314" t="s">
        <v>1153</v>
      </c>
      <c r="C262" s="300" t="s">
        <v>797</v>
      </c>
      <c r="D262" s="300" t="s">
        <v>675</v>
      </c>
      <c r="E262" s="300"/>
      <c r="F262" s="312" t="s">
        <v>745</v>
      </c>
      <c r="G262" s="300" t="s">
        <v>958</v>
      </c>
      <c r="H262" s="295">
        <v>125840</v>
      </c>
      <c r="I262" s="295"/>
      <c r="J262" s="295">
        <f>I262*90%</f>
        <v>0</v>
      </c>
      <c r="K262" s="295"/>
      <c r="L262" s="295">
        <v>25000</v>
      </c>
      <c r="M262" s="295">
        <v>25000</v>
      </c>
      <c r="N262" s="295">
        <f>P262+R262</f>
        <v>0</v>
      </c>
      <c r="O262" s="295">
        <f>Q262+S262</f>
        <v>0</v>
      </c>
      <c r="P262" s="295"/>
      <c r="Q262" s="295"/>
      <c r="R262" s="295"/>
      <c r="S262" s="295"/>
      <c r="T262" s="295">
        <f t="shared" ref="T262:U264" si="132">V262+X262+Z262+AB262+AD262</f>
        <v>0</v>
      </c>
      <c r="U262" s="295">
        <f t="shared" si="132"/>
        <v>0</v>
      </c>
      <c r="V262" s="295"/>
      <c r="W262" s="295"/>
      <c r="X262" s="295"/>
      <c r="Y262" s="295"/>
      <c r="Z262" s="295"/>
      <c r="AA262" s="295"/>
      <c r="AB262" s="295"/>
      <c r="AC262" s="295"/>
      <c r="AD262" s="295"/>
      <c r="AE262" s="295"/>
      <c r="AF262" s="295">
        <v>27200</v>
      </c>
      <c r="AG262" s="295">
        <v>2845</v>
      </c>
      <c r="AH262" s="295">
        <f>AI262+AJ262+AK262</f>
        <v>120000</v>
      </c>
      <c r="AI262" s="295">
        <v>60000</v>
      </c>
      <c r="AJ262" s="295">
        <f>R262+X262+Z262+AB262+AD262</f>
        <v>0</v>
      </c>
      <c r="AK262" s="295">
        <v>60000</v>
      </c>
      <c r="AL262" s="285">
        <f t="shared" si="96"/>
        <v>60000</v>
      </c>
      <c r="AM262" s="295">
        <f t="shared" ref="AM262:AN264" si="133">N262+T262+AF262</f>
        <v>27200</v>
      </c>
      <c r="AN262" s="295">
        <f t="shared" si="133"/>
        <v>2845</v>
      </c>
      <c r="AO262" s="295">
        <f t="shared" si="98"/>
        <v>27200</v>
      </c>
      <c r="AP262" s="295">
        <f>AH262-AM262</f>
        <v>92800</v>
      </c>
      <c r="AQ262" s="285">
        <f>AP262-AK262</f>
        <v>32800</v>
      </c>
      <c r="AR262" s="295">
        <v>27200</v>
      </c>
      <c r="AS262" s="295">
        <v>18000</v>
      </c>
      <c r="AT262" s="313"/>
    </row>
    <row r="263" spans="1:46" s="265" customFormat="1" ht="27" customHeight="1">
      <c r="A263" s="298">
        <v>2</v>
      </c>
      <c r="B263" s="299" t="s">
        <v>1154</v>
      </c>
      <c r="C263" s="301" t="s">
        <v>730</v>
      </c>
      <c r="D263" s="301" t="s">
        <v>730</v>
      </c>
      <c r="E263" s="302"/>
      <c r="F263" s="298" t="s">
        <v>727</v>
      </c>
      <c r="G263" s="307" t="s">
        <v>1155</v>
      </c>
      <c r="H263" s="345">
        <v>25170</v>
      </c>
      <c r="I263" s="345"/>
      <c r="J263" s="295">
        <f>I263*90%</f>
        <v>0</v>
      </c>
      <c r="K263" s="295"/>
      <c r="L263" s="295"/>
      <c r="M263" s="295"/>
      <c r="N263" s="295"/>
      <c r="O263" s="295">
        <f>Q263+S263</f>
        <v>0</v>
      </c>
      <c r="P263" s="295"/>
      <c r="Q263" s="295"/>
      <c r="R263" s="295"/>
      <c r="S263" s="295"/>
      <c r="T263" s="295">
        <f t="shared" si="132"/>
        <v>0</v>
      </c>
      <c r="U263" s="295">
        <f t="shared" si="132"/>
        <v>0</v>
      </c>
      <c r="V263" s="295"/>
      <c r="W263" s="295"/>
      <c r="X263" s="295"/>
      <c r="Y263" s="295"/>
      <c r="Z263" s="295"/>
      <c r="AA263" s="295"/>
      <c r="AB263" s="295"/>
      <c r="AC263" s="295"/>
      <c r="AD263" s="295"/>
      <c r="AE263" s="295"/>
      <c r="AF263" s="295">
        <v>8000</v>
      </c>
      <c r="AG263" s="295"/>
      <c r="AH263" s="295">
        <f>AI263+AJ263+AK263</f>
        <v>19500</v>
      </c>
      <c r="AI263" s="295">
        <v>19500</v>
      </c>
      <c r="AJ263" s="295">
        <f>R263+X263+Z263+AB263+AD263</f>
        <v>0</v>
      </c>
      <c r="AK263" s="295"/>
      <c r="AL263" s="285">
        <f t="shared" si="96"/>
        <v>19500</v>
      </c>
      <c r="AM263" s="295">
        <f t="shared" si="133"/>
        <v>8000</v>
      </c>
      <c r="AN263" s="295">
        <f t="shared" si="133"/>
        <v>0</v>
      </c>
      <c r="AO263" s="295">
        <f t="shared" si="98"/>
        <v>8000</v>
      </c>
      <c r="AP263" s="295">
        <f>AH263-AM263</f>
        <v>11500</v>
      </c>
      <c r="AQ263" s="285">
        <f>AP263-AK263</f>
        <v>11500</v>
      </c>
      <c r="AR263" s="295">
        <v>8000</v>
      </c>
      <c r="AS263" s="295">
        <v>7000</v>
      </c>
      <c r="AT263" s="310"/>
    </row>
    <row r="264" spans="1:46" ht="47.25" customHeight="1">
      <c r="A264" s="298">
        <v>3</v>
      </c>
      <c r="B264" s="309" t="s">
        <v>1156</v>
      </c>
      <c r="C264" s="301" t="s">
        <v>1157</v>
      </c>
      <c r="D264" s="301" t="s">
        <v>675</v>
      </c>
      <c r="E264" s="302"/>
      <c r="F264" s="298" t="s">
        <v>727</v>
      </c>
      <c r="G264" s="307"/>
      <c r="H264" s="295">
        <v>6400</v>
      </c>
      <c r="I264" s="295"/>
      <c r="J264" s="295">
        <f>I264*90%</f>
        <v>0</v>
      </c>
      <c r="K264" s="295"/>
      <c r="L264" s="295">
        <v>5500</v>
      </c>
      <c r="M264" s="295">
        <v>5500</v>
      </c>
      <c r="N264" s="295">
        <f>P264+R264</f>
        <v>0</v>
      </c>
      <c r="O264" s="295">
        <f>Q264+S264</f>
        <v>0</v>
      </c>
      <c r="P264" s="295"/>
      <c r="Q264" s="295"/>
      <c r="R264" s="295"/>
      <c r="S264" s="295"/>
      <c r="T264" s="295">
        <f t="shared" si="132"/>
        <v>0</v>
      </c>
      <c r="U264" s="295">
        <f t="shared" si="132"/>
        <v>0</v>
      </c>
      <c r="V264" s="295">
        <v>0</v>
      </c>
      <c r="W264" s="295"/>
      <c r="X264" s="295"/>
      <c r="Y264" s="295"/>
      <c r="Z264" s="295"/>
      <c r="AA264" s="295"/>
      <c r="AB264" s="295"/>
      <c r="AC264" s="295"/>
      <c r="AD264" s="295"/>
      <c r="AE264" s="295"/>
      <c r="AF264" s="295">
        <v>3000</v>
      </c>
      <c r="AG264" s="295"/>
      <c r="AH264" s="295">
        <f>AI264+AJ264+AK264</f>
        <v>5700</v>
      </c>
      <c r="AI264" s="295">
        <v>5700</v>
      </c>
      <c r="AJ264" s="295">
        <f>R264+X264+Z264+AB264+AD264</f>
        <v>0</v>
      </c>
      <c r="AK264" s="295"/>
      <c r="AL264" s="285">
        <f t="shared" si="96"/>
        <v>5700</v>
      </c>
      <c r="AM264" s="295">
        <f t="shared" si="133"/>
        <v>3000</v>
      </c>
      <c r="AN264" s="295">
        <f t="shared" si="133"/>
        <v>0</v>
      </c>
      <c r="AO264" s="295">
        <f t="shared" si="98"/>
        <v>3000</v>
      </c>
      <c r="AP264" s="295">
        <f>AH264-AM264</f>
        <v>2700</v>
      </c>
      <c r="AQ264" s="285">
        <f>AP264-AK264</f>
        <v>2700</v>
      </c>
      <c r="AR264" s="295">
        <v>3000</v>
      </c>
      <c r="AS264" s="295">
        <v>2000</v>
      </c>
      <c r="AT264" s="310"/>
    </row>
    <row r="265" spans="1:46" s="265" customFormat="1" ht="47.25" customHeight="1">
      <c r="A265" s="290" t="s">
        <v>340</v>
      </c>
      <c r="B265" s="297" t="s">
        <v>682</v>
      </c>
      <c r="C265" s="292"/>
      <c r="D265" s="279"/>
      <c r="E265" s="293"/>
      <c r="F265" s="279"/>
      <c r="G265" s="294"/>
      <c r="H265" s="285">
        <f t="shared" ref="H265:AR265" si="134">SUM(H266:H275)</f>
        <v>137576</v>
      </c>
      <c r="I265" s="285">
        <f t="shared" si="134"/>
        <v>0</v>
      </c>
      <c r="J265" s="285">
        <f t="shared" si="134"/>
        <v>0</v>
      </c>
      <c r="K265" s="285">
        <f t="shared" si="134"/>
        <v>0</v>
      </c>
      <c r="L265" s="285">
        <f t="shared" si="134"/>
        <v>9000</v>
      </c>
      <c r="M265" s="285">
        <f t="shared" si="134"/>
        <v>9000</v>
      </c>
      <c r="N265" s="285">
        <f t="shared" si="134"/>
        <v>0</v>
      </c>
      <c r="O265" s="285">
        <f t="shared" si="134"/>
        <v>0</v>
      </c>
      <c r="P265" s="285">
        <f t="shared" si="134"/>
        <v>0</v>
      </c>
      <c r="Q265" s="285">
        <f t="shared" si="134"/>
        <v>0</v>
      </c>
      <c r="R265" s="285">
        <f t="shared" si="134"/>
        <v>0</v>
      </c>
      <c r="S265" s="285">
        <f t="shared" si="134"/>
        <v>0</v>
      </c>
      <c r="T265" s="285">
        <f t="shared" si="134"/>
        <v>0</v>
      </c>
      <c r="U265" s="285">
        <f t="shared" si="134"/>
        <v>0</v>
      </c>
      <c r="V265" s="285">
        <f t="shared" si="134"/>
        <v>0</v>
      </c>
      <c r="W265" s="285">
        <f t="shared" si="134"/>
        <v>0</v>
      </c>
      <c r="X265" s="285">
        <f t="shared" si="134"/>
        <v>0</v>
      </c>
      <c r="Y265" s="285">
        <f t="shared" si="134"/>
        <v>0</v>
      </c>
      <c r="Z265" s="285">
        <f t="shared" si="134"/>
        <v>0</v>
      </c>
      <c r="AA265" s="285">
        <f t="shared" si="134"/>
        <v>0</v>
      </c>
      <c r="AB265" s="285">
        <f t="shared" si="134"/>
        <v>0</v>
      </c>
      <c r="AC265" s="285">
        <f t="shared" si="134"/>
        <v>0</v>
      </c>
      <c r="AD265" s="285">
        <f t="shared" si="134"/>
        <v>0</v>
      </c>
      <c r="AE265" s="285">
        <f t="shared" si="134"/>
        <v>0</v>
      </c>
      <c r="AF265" s="285">
        <f t="shared" si="134"/>
        <v>0</v>
      </c>
      <c r="AG265" s="285">
        <f t="shared" si="134"/>
        <v>0</v>
      </c>
      <c r="AH265" s="285">
        <f t="shared" si="134"/>
        <v>9000</v>
      </c>
      <c r="AI265" s="285">
        <f t="shared" si="134"/>
        <v>9000</v>
      </c>
      <c r="AJ265" s="285">
        <f t="shared" si="134"/>
        <v>0</v>
      </c>
      <c r="AK265" s="285">
        <f t="shared" si="134"/>
        <v>0</v>
      </c>
      <c r="AL265" s="285">
        <f t="shared" si="134"/>
        <v>9000</v>
      </c>
      <c r="AM265" s="285">
        <f t="shared" si="134"/>
        <v>0</v>
      </c>
      <c r="AN265" s="285">
        <f t="shared" si="134"/>
        <v>0</v>
      </c>
      <c r="AO265" s="285">
        <f t="shared" si="134"/>
        <v>0</v>
      </c>
      <c r="AP265" s="285">
        <f t="shared" si="134"/>
        <v>9000</v>
      </c>
      <c r="AQ265" s="285">
        <f t="shared" si="134"/>
        <v>9000</v>
      </c>
      <c r="AR265" s="285">
        <f t="shared" si="134"/>
        <v>0</v>
      </c>
      <c r="AS265" s="285">
        <f>SUM(AS266:AS275)</f>
        <v>42000</v>
      </c>
      <c r="AT265" s="296"/>
    </row>
    <row r="266" spans="1:46" s="265" customFormat="1" ht="47.25" customHeight="1">
      <c r="A266" s="298">
        <v>1</v>
      </c>
      <c r="B266" s="384" t="s">
        <v>1158</v>
      </c>
      <c r="C266" s="300" t="s">
        <v>1159</v>
      </c>
      <c r="D266" s="300" t="s">
        <v>705</v>
      </c>
      <c r="E266" s="300"/>
      <c r="F266" s="312" t="s">
        <v>684</v>
      </c>
      <c r="G266" s="300" t="s">
        <v>1160</v>
      </c>
      <c r="H266" s="295">
        <v>4988</v>
      </c>
      <c r="I266" s="295"/>
      <c r="J266" s="295"/>
      <c r="K266" s="295"/>
      <c r="L266" s="295"/>
      <c r="M266" s="295"/>
      <c r="N266" s="295"/>
      <c r="O266" s="295"/>
      <c r="P266" s="295"/>
      <c r="Q266" s="295"/>
      <c r="R266" s="295"/>
      <c r="S266" s="295"/>
      <c r="T266" s="295"/>
      <c r="U266" s="295"/>
      <c r="V266" s="295"/>
      <c r="W266" s="295"/>
      <c r="X266" s="295"/>
      <c r="Y266" s="295"/>
      <c r="Z266" s="295"/>
      <c r="AA266" s="295"/>
      <c r="AB266" s="295"/>
      <c r="AC266" s="295"/>
      <c r="AD266" s="295"/>
      <c r="AE266" s="295"/>
      <c r="AF266" s="295"/>
      <c r="AG266" s="295"/>
      <c r="AH266" s="295"/>
      <c r="AI266" s="295"/>
      <c r="AJ266" s="295"/>
      <c r="AK266" s="295"/>
      <c r="AL266" s="285">
        <f t="shared" si="96"/>
        <v>0</v>
      </c>
      <c r="AM266" s="295"/>
      <c r="AN266" s="295"/>
      <c r="AO266" s="285">
        <f t="shared" si="98"/>
        <v>0</v>
      </c>
      <c r="AP266" s="295"/>
      <c r="AQ266" s="285"/>
      <c r="AR266" s="295">
        <v>0</v>
      </c>
      <c r="AS266" s="295">
        <v>3000</v>
      </c>
      <c r="AT266" s="313" t="s">
        <v>1161</v>
      </c>
    </row>
    <row r="267" spans="1:46" s="265" customFormat="1" ht="47.25" customHeight="1">
      <c r="A267" s="298">
        <v>2</v>
      </c>
      <c r="B267" s="305" t="s">
        <v>1162</v>
      </c>
      <c r="C267" s="300" t="s">
        <v>669</v>
      </c>
      <c r="D267" s="300" t="s">
        <v>669</v>
      </c>
      <c r="E267" s="300"/>
      <c r="F267" s="312" t="s">
        <v>684</v>
      </c>
      <c r="G267" s="300" t="s">
        <v>1163</v>
      </c>
      <c r="H267" s="295">
        <v>7893</v>
      </c>
      <c r="I267" s="295"/>
      <c r="J267" s="295"/>
      <c r="K267" s="295"/>
      <c r="L267" s="295"/>
      <c r="M267" s="295"/>
      <c r="N267" s="295"/>
      <c r="O267" s="295"/>
      <c r="P267" s="295"/>
      <c r="Q267" s="295"/>
      <c r="R267" s="295"/>
      <c r="S267" s="295"/>
      <c r="T267" s="295"/>
      <c r="U267" s="295"/>
      <c r="V267" s="295"/>
      <c r="W267" s="295"/>
      <c r="X267" s="295"/>
      <c r="Y267" s="295"/>
      <c r="Z267" s="295"/>
      <c r="AA267" s="295"/>
      <c r="AB267" s="295"/>
      <c r="AC267" s="295"/>
      <c r="AD267" s="295"/>
      <c r="AE267" s="295"/>
      <c r="AF267" s="295"/>
      <c r="AG267" s="295"/>
      <c r="AH267" s="295"/>
      <c r="AI267" s="295"/>
      <c r="AJ267" s="295"/>
      <c r="AK267" s="295"/>
      <c r="AL267" s="285">
        <f t="shared" si="96"/>
        <v>0</v>
      </c>
      <c r="AM267" s="295"/>
      <c r="AN267" s="295"/>
      <c r="AO267" s="285">
        <f t="shared" si="98"/>
        <v>0</v>
      </c>
      <c r="AP267" s="295"/>
      <c r="AQ267" s="285"/>
      <c r="AR267" s="295">
        <v>0</v>
      </c>
      <c r="AS267" s="295">
        <v>3500</v>
      </c>
      <c r="AT267" s="313"/>
    </row>
    <row r="268" spans="1:46" s="265" customFormat="1" ht="47.25" customHeight="1">
      <c r="A268" s="298">
        <v>3</v>
      </c>
      <c r="B268" s="314" t="s">
        <v>1164</v>
      </c>
      <c r="C268" s="300" t="s">
        <v>698</v>
      </c>
      <c r="D268" s="300" t="s">
        <v>698</v>
      </c>
      <c r="E268" s="300"/>
      <c r="F268" s="312" t="s">
        <v>684</v>
      </c>
      <c r="G268" s="300" t="s">
        <v>1165</v>
      </c>
      <c r="H268" s="295">
        <v>9836</v>
      </c>
      <c r="I268" s="295"/>
      <c r="J268" s="295">
        <f t="shared" ref="J268:J287" si="135">I268*90%</f>
        <v>0</v>
      </c>
      <c r="K268" s="295"/>
      <c r="L268" s="295">
        <v>9000</v>
      </c>
      <c r="M268" s="295">
        <v>9000</v>
      </c>
      <c r="N268" s="295">
        <f>P268+R268</f>
        <v>0</v>
      </c>
      <c r="O268" s="295">
        <f>Q268+S268</f>
        <v>0</v>
      </c>
      <c r="P268" s="295"/>
      <c r="Q268" s="295"/>
      <c r="R268" s="295"/>
      <c r="S268" s="295"/>
      <c r="T268" s="295">
        <f>V268+X268+Z268+AB268+AD268</f>
        <v>0</v>
      </c>
      <c r="U268" s="295">
        <f>W268+Y268+AA268+AC268+AE268</f>
        <v>0</v>
      </c>
      <c r="V268" s="295"/>
      <c r="W268" s="295"/>
      <c r="X268" s="295"/>
      <c r="Y268" s="295"/>
      <c r="Z268" s="295"/>
      <c r="AA268" s="295"/>
      <c r="AB268" s="295"/>
      <c r="AC268" s="295"/>
      <c r="AD268" s="295"/>
      <c r="AE268" s="295"/>
      <c r="AF268" s="295"/>
      <c r="AG268" s="295"/>
      <c r="AH268" s="295">
        <f>AI268+AJ268+AK268</f>
        <v>9000</v>
      </c>
      <c r="AI268" s="295">
        <v>9000</v>
      </c>
      <c r="AJ268" s="295">
        <f>R268+X268+Z268+AB268+AD268</f>
        <v>0</v>
      </c>
      <c r="AK268" s="295"/>
      <c r="AL268" s="285">
        <f t="shared" si="96"/>
        <v>9000</v>
      </c>
      <c r="AM268" s="295">
        <f>N268+T268+AF268</f>
        <v>0</v>
      </c>
      <c r="AN268" s="295">
        <f>O268+U268+AG268</f>
        <v>0</v>
      </c>
      <c r="AO268" s="285">
        <f t="shared" si="98"/>
        <v>0</v>
      </c>
      <c r="AP268" s="295">
        <f>AH268-AM268</f>
        <v>9000</v>
      </c>
      <c r="AQ268" s="285">
        <f>AP268-AK268</f>
        <v>9000</v>
      </c>
      <c r="AR268" s="295">
        <v>0</v>
      </c>
      <c r="AS268" s="295">
        <v>3500</v>
      </c>
      <c r="AT268" s="310"/>
    </row>
    <row r="269" spans="1:46" ht="47.25" customHeight="1">
      <c r="A269" s="298">
        <v>4</v>
      </c>
      <c r="B269" s="317" t="s">
        <v>1166</v>
      </c>
      <c r="C269" s="301" t="s">
        <v>679</v>
      </c>
      <c r="D269" s="301" t="s">
        <v>679</v>
      </c>
      <c r="E269" s="302"/>
      <c r="F269" s="312" t="s">
        <v>684</v>
      </c>
      <c r="G269" s="300" t="s">
        <v>1167</v>
      </c>
      <c r="H269" s="295">
        <v>13023</v>
      </c>
      <c r="I269" s="295"/>
      <c r="J269" s="295"/>
      <c r="K269" s="295"/>
      <c r="L269" s="295"/>
      <c r="M269" s="295"/>
      <c r="N269" s="295"/>
      <c r="O269" s="295"/>
      <c r="P269" s="295"/>
      <c r="Q269" s="295"/>
      <c r="R269" s="295"/>
      <c r="S269" s="295"/>
      <c r="T269" s="295"/>
      <c r="U269" s="295"/>
      <c r="V269" s="295"/>
      <c r="W269" s="295"/>
      <c r="X269" s="295"/>
      <c r="Y269" s="295"/>
      <c r="Z269" s="295"/>
      <c r="AA269" s="295"/>
      <c r="AB269" s="295"/>
      <c r="AC269" s="295"/>
      <c r="AD269" s="295"/>
      <c r="AE269" s="295"/>
      <c r="AF269" s="295"/>
      <c r="AG269" s="295"/>
      <c r="AH269" s="295"/>
      <c r="AI269" s="295"/>
      <c r="AJ269" s="295"/>
      <c r="AK269" s="295"/>
      <c r="AL269" s="285">
        <f t="shared" si="96"/>
        <v>0</v>
      </c>
      <c r="AM269" s="295"/>
      <c r="AN269" s="295"/>
      <c r="AO269" s="285">
        <f t="shared" si="98"/>
        <v>0</v>
      </c>
      <c r="AP269" s="295"/>
      <c r="AQ269" s="285"/>
      <c r="AR269" s="295">
        <v>0</v>
      </c>
      <c r="AS269" s="295">
        <v>4000</v>
      </c>
      <c r="AT269" s="313"/>
    </row>
    <row r="270" spans="1:46" ht="27.75" customHeight="1">
      <c r="A270" s="298">
        <v>5</v>
      </c>
      <c r="B270" s="317" t="s">
        <v>1168</v>
      </c>
      <c r="C270" s="301" t="s">
        <v>679</v>
      </c>
      <c r="D270" s="301" t="s">
        <v>679</v>
      </c>
      <c r="E270" s="302"/>
      <c r="F270" s="312" t="s">
        <v>684</v>
      </c>
      <c r="G270" s="300" t="s">
        <v>1169</v>
      </c>
      <c r="H270" s="295">
        <v>10486</v>
      </c>
      <c r="I270" s="295"/>
      <c r="J270" s="295"/>
      <c r="K270" s="295"/>
      <c r="L270" s="295"/>
      <c r="M270" s="295"/>
      <c r="N270" s="295"/>
      <c r="O270" s="295"/>
      <c r="P270" s="295"/>
      <c r="Q270" s="295"/>
      <c r="R270" s="295"/>
      <c r="S270" s="295"/>
      <c r="T270" s="295"/>
      <c r="U270" s="295"/>
      <c r="V270" s="295"/>
      <c r="W270" s="295"/>
      <c r="X270" s="295"/>
      <c r="Y270" s="295"/>
      <c r="Z270" s="295"/>
      <c r="AA270" s="295"/>
      <c r="AB270" s="295"/>
      <c r="AC270" s="295"/>
      <c r="AD270" s="295"/>
      <c r="AE270" s="295"/>
      <c r="AF270" s="295"/>
      <c r="AG270" s="295"/>
      <c r="AH270" s="295"/>
      <c r="AI270" s="295"/>
      <c r="AJ270" s="295"/>
      <c r="AK270" s="295"/>
      <c r="AL270" s="285">
        <f t="shared" si="96"/>
        <v>0</v>
      </c>
      <c r="AM270" s="295"/>
      <c r="AN270" s="295"/>
      <c r="AO270" s="285">
        <f t="shared" si="98"/>
        <v>0</v>
      </c>
      <c r="AP270" s="295"/>
      <c r="AQ270" s="285"/>
      <c r="AR270" s="295">
        <v>0</v>
      </c>
      <c r="AS270" s="295">
        <v>4000</v>
      </c>
      <c r="AT270" s="313"/>
    </row>
    <row r="271" spans="1:46" ht="47.25" customHeight="1">
      <c r="A271" s="298">
        <v>6</v>
      </c>
      <c r="B271" s="351" t="s">
        <v>1170</v>
      </c>
      <c r="C271" s="301" t="s">
        <v>669</v>
      </c>
      <c r="D271" s="301" t="s">
        <v>669</v>
      </c>
      <c r="E271" s="302"/>
      <c r="F271" s="312" t="s">
        <v>684</v>
      </c>
      <c r="G271" s="300" t="s">
        <v>1171</v>
      </c>
      <c r="H271" s="295">
        <v>14468</v>
      </c>
      <c r="I271" s="295"/>
      <c r="J271" s="295"/>
      <c r="K271" s="295"/>
      <c r="L271" s="295"/>
      <c r="M271" s="295"/>
      <c r="N271" s="295"/>
      <c r="O271" s="295"/>
      <c r="P271" s="295"/>
      <c r="Q271" s="295"/>
      <c r="R271" s="295"/>
      <c r="S271" s="295"/>
      <c r="T271" s="295"/>
      <c r="U271" s="295"/>
      <c r="V271" s="295"/>
      <c r="W271" s="295"/>
      <c r="X271" s="295"/>
      <c r="Y271" s="295"/>
      <c r="Z271" s="295"/>
      <c r="AA271" s="295"/>
      <c r="AB271" s="295"/>
      <c r="AC271" s="295"/>
      <c r="AD271" s="295"/>
      <c r="AE271" s="295"/>
      <c r="AF271" s="295"/>
      <c r="AG271" s="295"/>
      <c r="AH271" s="295"/>
      <c r="AI271" s="295"/>
      <c r="AJ271" s="295"/>
      <c r="AK271" s="295"/>
      <c r="AL271" s="285"/>
      <c r="AM271" s="295"/>
      <c r="AN271" s="295"/>
      <c r="AO271" s="285"/>
      <c r="AP271" s="295"/>
      <c r="AQ271" s="285"/>
      <c r="AR271" s="295">
        <v>0</v>
      </c>
      <c r="AS271" s="295">
        <v>4500</v>
      </c>
      <c r="AT271" s="313"/>
    </row>
    <row r="272" spans="1:46" ht="47.25" customHeight="1">
      <c r="A272" s="298">
        <v>7</v>
      </c>
      <c r="B272" s="351" t="s">
        <v>1172</v>
      </c>
      <c r="C272" s="301" t="s">
        <v>669</v>
      </c>
      <c r="D272" s="301" t="s">
        <v>669</v>
      </c>
      <c r="E272" s="302"/>
      <c r="F272" s="312" t="s">
        <v>684</v>
      </c>
      <c r="G272" s="307"/>
      <c r="H272" s="295">
        <v>21300</v>
      </c>
      <c r="I272" s="295"/>
      <c r="J272" s="295"/>
      <c r="K272" s="295"/>
      <c r="L272" s="295"/>
      <c r="M272" s="295"/>
      <c r="N272" s="295"/>
      <c r="O272" s="295"/>
      <c r="P272" s="295"/>
      <c r="Q272" s="295"/>
      <c r="R272" s="295"/>
      <c r="S272" s="295"/>
      <c r="T272" s="295"/>
      <c r="U272" s="295"/>
      <c r="V272" s="295"/>
      <c r="W272" s="295"/>
      <c r="X272" s="295"/>
      <c r="Y272" s="295"/>
      <c r="Z272" s="295"/>
      <c r="AA272" s="295"/>
      <c r="AB272" s="295"/>
      <c r="AC272" s="295"/>
      <c r="AD272" s="295"/>
      <c r="AE272" s="295"/>
      <c r="AF272" s="295"/>
      <c r="AG272" s="295"/>
      <c r="AH272" s="295"/>
      <c r="AI272" s="295"/>
      <c r="AJ272" s="295"/>
      <c r="AK272" s="295"/>
      <c r="AL272" s="285"/>
      <c r="AM272" s="295"/>
      <c r="AN272" s="295"/>
      <c r="AO272" s="285"/>
      <c r="AP272" s="295"/>
      <c r="AQ272" s="285"/>
      <c r="AR272" s="295">
        <v>0</v>
      </c>
      <c r="AS272" s="295">
        <v>7000</v>
      </c>
      <c r="AT272" s="313"/>
    </row>
    <row r="273" spans="1:46" ht="47.25" customHeight="1">
      <c r="A273" s="298">
        <v>8</v>
      </c>
      <c r="B273" s="354" t="s">
        <v>1173</v>
      </c>
      <c r="C273" s="301" t="s">
        <v>669</v>
      </c>
      <c r="D273" s="301" t="s">
        <v>669</v>
      </c>
      <c r="E273" s="302"/>
      <c r="F273" s="312" t="s">
        <v>684</v>
      </c>
      <c r="G273" s="307"/>
      <c r="H273" s="295">
        <v>19363</v>
      </c>
      <c r="I273" s="295"/>
      <c r="J273" s="295"/>
      <c r="K273" s="295"/>
      <c r="L273" s="295"/>
      <c r="M273" s="295"/>
      <c r="N273" s="295"/>
      <c r="O273" s="295"/>
      <c r="P273" s="295"/>
      <c r="Q273" s="295"/>
      <c r="R273" s="295"/>
      <c r="S273" s="295"/>
      <c r="T273" s="295"/>
      <c r="U273" s="295"/>
      <c r="V273" s="295"/>
      <c r="W273" s="295"/>
      <c r="X273" s="295"/>
      <c r="Y273" s="295"/>
      <c r="Z273" s="295"/>
      <c r="AA273" s="295"/>
      <c r="AB273" s="295"/>
      <c r="AC273" s="295"/>
      <c r="AD273" s="295"/>
      <c r="AE273" s="295"/>
      <c r="AF273" s="295"/>
      <c r="AG273" s="295"/>
      <c r="AH273" s="295"/>
      <c r="AI273" s="295"/>
      <c r="AJ273" s="295"/>
      <c r="AK273" s="295"/>
      <c r="AL273" s="285"/>
      <c r="AM273" s="295"/>
      <c r="AN273" s="295"/>
      <c r="AO273" s="285"/>
      <c r="AP273" s="295"/>
      <c r="AQ273" s="285"/>
      <c r="AR273" s="295">
        <v>0</v>
      </c>
      <c r="AS273" s="295">
        <v>7000</v>
      </c>
      <c r="AT273" s="313"/>
    </row>
    <row r="274" spans="1:46" ht="47.25" customHeight="1">
      <c r="A274" s="298">
        <v>9</v>
      </c>
      <c r="B274" s="317" t="s">
        <v>1174</v>
      </c>
      <c r="C274" s="301" t="s">
        <v>1159</v>
      </c>
      <c r="D274" s="301" t="s">
        <v>675</v>
      </c>
      <c r="E274" s="302"/>
      <c r="F274" s="312" t="s">
        <v>684</v>
      </c>
      <c r="G274" s="307" t="s">
        <v>1175</v>
      </c>
      <c r="H274" s="295">
        <v>10785</v>
      </c>
      <c r="I274" s="295"/>
      <c r="J274" s="295"/>
      <c r="K274" s="295"/>
      <c r="L274" s="295"/>
      <c r="M274" s="295"/>
      <c r="N274" s="295"/>
      <c r="O274" s="295"/>
      <c r="P274" s="295"/>
      <c r="Q274" s="295"/>
      <c r="R274" s="295"/>
      <c r="S274" s="295"/>
      <c r="T274" s="295"/>
      <c r="U274" s="295"/>
      <c r="V274" s="295"/>
      <c r="W274" s="295"/>
      <c r="X274" s="295"/>
      <c r="Y274" s="295"/>
      <c r="Z274" s="295"/>
      <c r="AA274" s="295"/>
      <c r="AB274" s="295"/>
      <c r="AC274" s="295"/>
      <c r="AD274" s="295"/>
      <c r="AE274" s="295"/>
      <c r="AF274" s="295"/>
      <c r="AG274" s="295"/>
      <c r="AH274" s="295"/>
      <c r="AI274" s="295"/>
      <c r="AJ274" s="295"/>
      <c r="AK274" s="295"/>
      <c r="AL274" s="285"/>
      <c r="AM274" s="295"/>
      <c r="AN274" s="295"/>
      <c r="AO274" s="285"/>
      <c r="AP274" s="295"/>
      <c r="AQ274" s="285"/>
      <c r="AR274" s="295">
        <v>0</v>
      </c>
      <c r="AS274" s="295">
        <v>3500</v>
      </c>
      <c r="AT274" s="313"/>
    </row>
    <row r="275" spans="1:46" ht="47.25" customHeight="1">
      <c r="A275" s="298">
        <v>10</v>
      </c>
      <c r="B275" s="317" t="s">
        <v>1176</v>
      </c>
      <c r="C275" s="301" t="s">
        <v>946</v>
      </c>
      <c r="D275" s="301" t="s">
        <v>946</v>
      </c>
      <c r="E275" s="302"/>
      <c r="F275" s="312" t="s">
        <v>684</v>
      </c>
      <c r="G275" s="307"/>
      <c r="H275" s="295">
        <v>25434</v>
      </c>
      <c r="I275" s="295"/>
      <c r="J275" s="295"/>
      <c r="K275" s="295"/>
      <c r="L275" s="295"/>
      <c r="M275" s="295"/>
      <c r="N275" s="295"/>
      <c r="O275" s="295"/>
      <c r="P275" s="295"/>
      <c r="Q275" s="295"/>
      <c r="R275" s="295"/>
      <c r="S275" s="295"/>
      <c r="T275" s="295"/>
      <c r="U275" s="295"/>
      <c r="V275" s="295"/>
      <c r="W275" s="295"/>
      <c r="X275" s="295"/>
      <c r="Y275" s="295"/>
      <c r="Z275" s="295"/>
      <c r="AA275" s="295"/>
      <c r="AB275" s="295"/>
      <c r="AC275" s="295"/>
      <c r="AD275" s="295"/>
      <c r="AE275" s="295"/>
      <c r="AF275" s="295"/>
      <c r="AG275" s="295"/>
      <c r="AH275" s="295"/>
      <c r="AI275" s="295"/>
      <c r="AJ275" s="295"/>
      <c r="AK275" s="295"/>
      <c r="AL275" s="285"/>
      <c r="AM275" s="295"/>
      <c r="AN275" s="295"/>
      <c r="AO275" s="285"/>
      <c r="AP275" s="295"/>
      <c r="AQ275" s="285"/>
      <c r="AR275" s="295">
        <v>0</v>
      </c>
      <c r="AS275" s="295">
        <v>2000</v>
      </c>
      <c r="AT275" s="313"/>
    </row>
    <row r="276" spans="1:46" s="265" customFormat="1" ht="47.25" hidden="1" customHeight="1">
      <c r="A276" s="298"/>
      <c r="B276" s="299"/>
      <c r="C276" s="301"/>
      <c r="D276" s="301"/>
      <c r="E276" s="302"/>
      <c r="F276" s="298"/>
      <c r="G276" s="307"/>
      <c r="H276" s="295"/>
      <c r="I276" s="295"/>
      <c r="J276" s="295"/>
      <c r="K276" s="295"/>
      <c r="L276" s="295"/>
      <c r="M276" s="295"/>
      <c r="N276" s="295"/>
      <c r="O276" s="295"/>
      <c r="P276" s="295"/>
      <c r="Q276" s="295"/>
      <c r="R276" s="295"/>
      <c r="S276" s="295"/>
      <c r="T276" s="295"/>
      <c r="U276" s="295">
        <f>W276+Y276+AA276+AC276+AE276</f>
        <v>0</v>
      </c>
      <c r="V276" s="295"/>
      <c r="W276" s="295"/>
      <c r="X276" s="295"/>
      <c r="Y276" s="295"/>
      <c r="Z276" s="295"/>
      <c r="AA276" s="295"/>
      <c r="AB276" s="295"/>
      <c r="AC276" s="295"/>
      <c r="AD276" s="295"/>
      <c r="AE276" s="295"/>
      <c r="AF276" s="295"/>
      <c r="AG276" s="295"/>
      <c r="AH276" s="295"/>
      <c r="AI276" s="295"/>
      <c r="AJ276" s="295"/>
      <c r="AK276" s="295"/>
      <c r="AL276" s="285">
        <f>AI276+AJ276</f>
        <v>0</v>
      </c>
      <c r="AM276" s="295">
        <f>N276+T276+AF276</f>
        <v>0</v>
      </c>
      <c r="AN276" s="295">
        <f>O276+U276+AG276</f>
        <v>0</v>
      </c>
      <c r="AO276" s="285">
        <f>K276+AM276</f>
        <v>0</v>
      </c>
      <c r="AP276" s="295">
        <f>AH276-AM276</f>
        <v>0</v>
      </c>
      <c r="AQ276" s="285">
        <f>AP276-AK276</f>
        <v>0</v>
      </c>
      <c r="AR276" s="295">
        <v>0</v>
      </c>
      <c r="AS276" s="295"/>
      <c r="AT276" s="310"/>
    </row>
    <row r="277" spans="1:46" s="265" customFormat="1" ht="15.75">
      <c r="A277" s="290" t="s">
        <v>477</v>
      </c>
      <c r="B277" s="297" t="s">
        <v>712</v>
      </c>
      <c r="C277" s="292"/>
      <c r="D277" s="279"/>
      <c r="E277" s="293"/>
      <c r="F277" s="279"/>
      <c r="G277" s="294"/>
      <c r="H277" s="285">
        <f t="shared" ref="H277:AR277" si="136">H278+H307</f>
        <v>1260945.051398</v>
      </c>
      <c r="I277" s="285">
        <f t="shared" si="136"/>
        <v>0</v>
      </c>
      <c r="J277" s="285">
        <f t="shared" si="136"/>
        <v>0</v>
      </c>
      <c r="K277" s="285">
        <f t="shared" si="136"/>
        <v>5500</v>
      </c>
      <c r="L277" s="285">
        <f t="shared" si="136"/>
        <v>368000</v>
      </c>
      <c r="M277" s="285">
        <f t="shared" si="136"/>
        <v>368000</v>
      </c>
      <c r="N277" s="285">
        <f t="shared" si="136"/>
        <v>20000</v>
      </c>
      <c r="O277" s="285">
        <f t="shared" si="136"/>
        <v>16112</v>
      </c>
      <c r="P277" s="285">
        <f t="shared" si="136"/>
        <v>13500</v>
      </c>
      <c r="Q277" s="285">
        <f t="shared" si="136"/>
        <v>9612</v>
      </c>
      <c r="R277" s="285">
        <f t="shared" si="136"/>
        <v>6500</v>
      </c>
      <c r="S277" s="285">
        <f t="shared" si="136"/>
        <v>6500</v>
      </c>
      <c r="T277" s="285">
        <f t="shared" si="136"/>
        <v>120896</v>
      </c>
      <c r="U277" s="285">
        <f t="shared" si="136"/>
        <v>118043</v>
      </c>
      <c r="V277" s="285">
        <f t="shared" si="136"/>
        <v>105338</v>
      </c>
      <c r="W277" s="285">
        <f t="shared" si="136"/>
        <v>102486</v>
      </c>
      <c r="X277" s="285">
        <f t="shared" si="136"/>
        <v>15558</v>
      </c>
      <c r="Y277" s="285">
        <f t="shared" si="136"/>
        <v>15557</v>
      </c>
      <c r="Z277" s="285">
        <f t="shared" si="136"/>
        <v>0</v>
      </c>
      <c r="AA277" s="285">
        <f t="shared" si="136"/>
        <v>0</v>
      </c>
      <c r="AB277" s="285">
        <f t="shared" si="136"/>
        <v>0</v>
      </c>
      <c r="AC277" s="285">
        <f t="shared" si="136"/>
        <v>0</v>
      </c>
      <c r="AD277" s="285">
        <f t="shared" si="136"/>
        <v>0</v>
      </c>
      <c r="AE277" s="285">
        <f t="shared" si="136"/>
        <v>0</v>
      </c>
      <c r="AF277" s="285">
        <f t="shared" si="136"/>
        <v>226000</v>
      </c>
      <c r="AG277" s="285">
        <f t="shared" si="136"/>
        <v>70528</v>
      </c>
      <c r="AH277" s="285">
        <f t="shared" si="136"/>
        <v>722058</v>
      </c>
      <c r="AI277" s="285">
        <f t="shared" si="136"/>
        <v>625000</v>
      </c>
      <c r="AJ277" s="285">
        <f t="shared" si="136"/>
        <v>22058</v>
      </c>
      <c r="AK277" s="285">
        <f t="shared" si="136"/>
        <v>75000</v>
      </c>
      <c r="AL277" s="285">
        <f t="shared" si="136"/>
        <v>647058</v>
      </c>
      <c r="AM277" s="285">
        <f t="shared" si="136"/>
        <v>366896</v>
      </c>
      <c r="AN277" s="285">
        <f t="shared" si="136"/>
        <v>204683</v>
      </c>
      <c r="AO277" s="285">
        <f t="shared" si="136"/>
        <v>372396</v>
      </c>
      <c r="AP277" s="285">
        <f t="shared" si="136"/>
        <v>355162</v>
      </c>
      <c r="AQ277" s="285">
        <f t="shared" si="136"/>
        <v>284592</v>
      </c>
      <c r="AR277" s="285">
        <f t="shared" si="136"/>
        <v>308408</v>
      </c>
      <c r="AS277" s="285">
        <f>AS278+AS307</f>
        <v>270500</v>
      </c>
      <c r="AT277" s="296"/>
    </row>
    <row r="278" spans="1:46" s="265" customFormat="1" ht="15.75">
      <c r="A278" s="290" t="s">
        <v>337</v>
      </c>
      <c r="B278" s="297" t="s">
        <v>661</v>
      </c>
      <c r="C278" s="292"/>
      <c r="D278" s="279"/>
      <c r="E278" s="293"/>
      <c r="F278" s="279"/>
      <c r="G278" s="294"/>
      <c r="H278" s="285">
        <f t="shared" ref="H278:AR278" si="137">SUM(H279:H306)</f>
        <v>853851.05139799998</v>
      </c>
      <c r="I278" s="285">
        <f t="shared" si="137"/>
        <v>0</v>
      </c>
      <c r="J278" s="285">
        <f t="shared" si="137"/>
        <v>0</v>
      </c>
      <c r="K278" s="285">
        <f t="shared" si="137"/>
        <v>5500</v>
      </c>
      <c r="L278" s="285">
        <f t="shared" si="137"/>
        <v>271000</v>
      </c>
      <c r="M278" s="285">
        <f t="shared" si="137"/>
        <v>271000</v>
      </c>
      <c r="N278" s="285">
        <f t="shared" si="137"/>
        <v>10500</v>
      </c>
      <c r="O278" s="285">
        <f t="shared" si="137"/>
        <v>10500</v>
      </c>
      <c r="P278" s="285">
        <f t="shared" si="137"/>
        <v>4000</v>
      </c>
      <c r="Q278" s="285">
        <f t="shared" si="137"/>
        <v>4000</v>
      </c>
      <c r="R278" s="285">
        <f t="shared" si="137"/>
        <v>6500</v>
      </c>
      <c r="S278" s="285">
        <f t="shared" si="137"/>
        <v>6500</v>
      </c>
      <c r="T278" s="285">
        <f t="shared" si="137"/>
        <v>86408</v>
      </c>
      <c r="U278" s="285">
        <f t="shared" si="137"/>
        <v>84912</v>
      </c>
      <c r="V278" s="285">
        <f t="shared" si="137"/>
        <v>78408</v>
      </c>
      <c r="W278" s="285">
        <f t="shared" si="137"/>
        <v>76912</v>
      </c>
      <c r="X278" s="285">
        <f t="shared" si="137"/>
        <v>8000</v>
      </c>
      <c r="Y278" s="285">
        <f t="shared" si="137"/>
        <v>8000</v>
      </c>
      <c r="Z278" s="285">
        <f t="shared" si="137"/>
        <v>0</v>
      </c>
      <c r="AA278" s="285">
        <f t="shared" si="137"/>
        <v>0</v>
      </c>
      <c r="AB278" s="285">
        <f t="shared" si="137"/>
        <v>0</v>
      </c>
      <c r="AC278" s="285">
        <f t="shared" si="137"/>
        <v>0</v>
      </c>
      <c r="AD278" s="285">
        <f t="shared" si="137"/>
        <v>0</v>
      </c>
      <c r="AE278" s="285">
        <f t="shared" si="137"/>
        <v>0</v>
      </c>
      <c r="AF278" s="285">
        <f t="shared" si="137"/>
        <v>206000</v>
      </c>
      <c r="AG278" s="285">
        <f t="shared" si="137"/>
        <v>59160</v>
      </c>
      <c r="AH278" s="285">
        <f t="shared" si="137"/>
        <v>574000</v>
      </c>
      <c r="AI278" s="285">
        <f t="shared" si="137"/>
        <v>521500</v>
      </c>
      <c r="AJ278" s="285">
        <f t="shared" si="137"/>
        <v>14500</v>
      </c>
      <c r="AK278" s="285">
        <f t="shared" si="137"/>
        <v>38000</v>
      </c>
      <c r="AL278" s="285">
        <f t="shared" si="137"/>
        <v>536000</v>
      </c>
      <c r="AM278" s="285">
        <f t="shared" si="137"/>
        <v>302908</v>
      </c>
      <c r="AN278" s="285">
        <f t="shared" si="137"/>
        <v>154572</v>
      </c>
      <c r="AO278" s="285">
        <f t="shared" si="137"/>
        <v>308408</v>
      </c>
      <c r="AP278" s="285">
        <f t="shared" si="137"/>
        <v>271092</v>
      </c>
      <c r="AQ278" s="285">
        <f t="shared" si="137"/>
        <v>233092</v>
      </c>
      <c r="AR278" s="285">
        <f t="shared" si="137"/>
        <v>308408</v>
      </c>
      <c r="AS278" s="285">
        <f>SUM(AS279:AS306)</f>
        <v>121500</v>
      </c>
      <c r="AT278" s="296"/>
    </row>
    <row r="279" spans="1:46" s="265" customFormat="1" ht="47.25" customHeight="1">
      <c r="A279" s="298">
        <v>1</v>
      </c>
      <c r="B279" s="314" t="s">
        <v>1177</v>
      </c>
      <c r="C279" s="300" t="s">
        <v>669</v>
      </c>
      <c r="D279" s="300" t="s">
        <v>669</v>
      </c>
      <c r="E279" s="300" t="s">
        <v>1178</v>
      </c>
      <c r="F279" s="312" t="s">
        <v>1179</v>
      </c>
      <c r="G279" s="300" t="s">
        <v>1180</v>
      </c>
      <c r="H279" s="295">
        <v>49873</v>
      </c>
      <c r="I279" s="295"/>
      <c r="J279" s="295">
        <f t="shared" si="135"/>
        <v>0</v>
      </c>
      <c r="K279" s="295">
        <v>5500</v>
      </c>
      <c r="L279" s="295">
        <v>35000</v>
      </c>
      <c r="M279" s="295">
        <v>35000</v>
      </c>
      <c r="N279" s="295">
        <f t="shared" ref="N279:O294" si="138">P279+R279</f>
        <v>10500</v>
      </c>
      <c r="O279" s="295">
        <f t="shared" si="138"/>
        <v>10500</v>
      </c>
      <c r="P279" s="295">
        <v>4000</v>
      </c>
      <c r="Q279" s="295">
        <v>4000</v>
      </c>
      <c r="R279" s="295">
        <v>6500</v>
      </c>
      <c r="S279" s="295">
        <v>6500</v>
      </c>
      <c r="T279" s="295">
        <f>V279+X279+Z279+AB279+AD279</f>
        <v>12500</v>
      </c>
      <c r="U279" s="295">
        <f>W279+Y279+AA279+AC279+AE279</f>
        <v>12500</v>
      </c>
      <c r="V279" s="295">
        <v>12500</v>
      </c>
      <c r="W279" s="295">
        <v>12500</v>
      </c>
      <c r="X279" s="295"/>
      <c r="Y279" s="295"/>
      <c r="Z279" s="295"/>
      <c r="AA279" s="295"/>
      <c r="AB279" s="295"/>
      <c r="AC279" s="295"/>
      <c r="AD279" s="295"/>
      <c r="AE279" s="295"/>
      <c r="AF279" s="295">
        <v>5000</v>
      </c>
      <c r="AG279" s="295">
        <v>3405</v>
      </c>
      <c r="AH279" s="295">
        <f>AI279+AJ279+AK279</f>
        <v>41500</v>
      </c>
      <c r="AI279" s="295">
        <v>35000</v>
      </c>
      <c r="AJ279" s="295">
        <f>R279+X279+Z279+AB279+AD279</f>
        <v>6500</v>
      </c>
      <c r="AK279" s="295"/>
      <c r="AL279" s="285">
        <f t="shared" ref="AL279:AL306" si="139">AI279+AJ279</f>
        <v>41500</v>
      </c>
      <c r="AM279" s="295">
        <f t="shared" ref="AM279:AN305" si="140">N279+T279+AF279</f>
        <v>28000</v>
      </c>
      <c r="AN279" s="295">
        <f t="shared" si="140"/>
        <v>26405</v>
      </c>
      <c r="AO279" s="295">
        <f t="shared" ref="AO279:AO306" si="141">K279+AM279</f>
        <v>33500</v>
      </c>
      <c r="AP279" s="295">
        <f t="shared" ref="AP279:AP305" si="142">AH279-AM279</f>
        <v>13500</v>
      </c>
      <c r="AQ279" s="285">
        <f t="shared" ref="AQ279:AQ305" si="143">AP279-AK279</f>
        <v>13500</v>
      </c>
      <c r="AR279" s="295">
        <v>33500</v>
      </c>
      <c r="AS279" s="295">
        <v>5000</v>
      </c>
      <c r="AT279" s="313"/>
    </row>
    <row r="280" spans="1:46" ht="47.25" customHeight="1">
      <c r="A280" s="298">
        <v>2</v>
      </c>
      <c r="B280" s="299" t="s">
        <v>1181</v>
      </c>
      <c r="C280" s="301" t="s">
        <v>705</v>
      </c>
      <c r="D280" s="301" t="s">
        <v>705</v>
      </c>
      <c r="E280" s="302"/>
      <c r="F280" s="298" t="s">
        <v>720</v>
      </c>
      <c r="G280" s="307" t="s">
        <v>1182</v>
      </c>
      <c r="H280" s="295">
        <v>14220</v>
      </c>
      <c r="I280" s="295"/>
      <c r="J280" s="295">
        <f t="shared" si="135"/>
        <v>0</v>
      </c>
      <c r="K280" s="295"/>
      <c r="L280" s="295">
        <v>13000</v>
      </c>
      <c r="M280" s="295">
        <v>13000</v>
      </c>
      <c r="N280" s="295">
        <f t="shared" si="138"/>
        <v>0</v>
      </c>
      <c r="O280" s="295">
        <f t="shared" si="138"/>
        <v>0</v>
      </c>
      <c r="P280" s="295"/>
      <c r="Q280" s="295"/>
      <c r="R280" s="295"/>
      <c r="S280" s="295"/>
      <c r="T280" s="295">
        <f t="shared" ref="T280:U295" si="144">V280+X280+Z280+AB280+AD280</f>
        <v>5858</v>
      </c>
      <c r="U280" s="295">
        <f>W280+Y280+AA280+AC280+AE280</f>
        <v>5828</v>
      </c>
      <c r="V280" s="295">
        <v>5858</v>
      </c>
      <c r="W280" s="295">
        <v>5828</v>
      </c>
      <c r="X280" s="295"/>
      <c r="Y280" s="295"/>
      <c r="Z280" s="295"/>
      <c r="AA280" s="295"/>
      <c r="AB280" s="295"/>
      <c r="AC280" s="295"/>
      <c r="AD280" s="295"/>
      <c r="AE280" s="295"/>
      <c r="AF280" s="295">
        <v>6000</v>
      </c>
      <c r="AG280" s="295">
        <v>1889</v>
      </c>
      <c r="AH280" s="295">
        <f t="shared" ref="AH280:AH305" si="145">AI280+AJ280+AK280</f>
        <v>13000</v>
      </c>
      <c r="AI280" s="295">
        <v>13000</v>
      </c>
      <c r="AJ280" s="295">
        <f t="shared" ref="AJ280:AJ290" si="146">R280+X280+Z280+AB280+AD280</f>
        <v>0</v>
      </c>
      <c r="AK280" s="295"/>
      <c r="AL280" s="285">
        <f t="shared" si="139"/>
        <v>13000</v>
      </c>
      <c r="AM280" s="295">
        <f t="shared" si="140"/>
        <v>11858</v>
      </c>
      <c r="AN280" s="295">
        <f t="shared" si="140"/>
        <v>7717</v>
      </c>
      <c r="AO280" s="295">
        <f t="shared" si="141"/>
        <v>11858</v>
      </c>
      <c r="AP280" s="295">
        <f t="shared" si="142"/>
        <v>1142</v>
      </c>
      <c r="AQ280" s="285">
        <f t="shared" si="143"/>
        <v>1142</v>
      </c>
      <c r="AR280" s="295">
        <v>11858</v>
      </c>
      <c r="AS280" s="295">
        <v>1500</v>
      </c>
      <c r="AT280" s="313"/>
    </row>
    <row r="281" spans="1:46" s="265" customFormat="1" ht="47.25" customHeight="1">
      <c r="A281" s="298">
        <v>3</v>
      </c>
      <c r="B281" s="314" t="s">
        <v>1183</v>
      </c>
      <c r="C281" s="300" t="s">
        <v>698</v>
      </c>
      <c r="D281" s="300" t="s">
        <v>698</v>
      </c>
      <c r="E281" s="300"/>
      <c r="F281" s="312" t="s">
        <v>758</v>
      </c>
      <c r="G281" s="300" t="s">
        <v>1184</v>
      </c>
      <c r="H281" s="295">
        <v>33200</v>
      </c>
      <c r="I281" s="295"/>
      <c r="J281" s="295">
        <f t="shared" si="135"/>
        <v>0</v>
      </c>
      <c r="K281" s="295"/>
      <c r="L281" s="295">
        <v>29000</v>
      </c>
      <c r="M281" s="295">
        <v>29000</v>
      </c>
      <c r="N281" s="295">
        <f t="shared" si="138"/>
        <v>0</v>
      </c>
      <c r="O281" s="295">
        <f t="shared" si="138"/>
        <v>0</v>
      </c>
      <c r="P281" s="295"/>
      <c r="Q281" s="295"/>
      <c r="R281" s="295"/>
      <c r="S281" s="295"/>
      <c r="T281" s="295">
        <f t="shared" si="144"/>
        <v>9500</v>
      </c>
      <c r="U281" s="295">
        <f>W281+Y281+AA281+AC281+AE281</f>
        <v>8822</v>
      </c>
      <c r="V281" s="295">
        <v>9500</v>
      </c>
      <c r="W281" s="295">
        <v>8822</v>
      </c>
      <c r="X281" s="295"/>
      <c r="Y281" s="295"/>
      <c r="Z281" s="295"/>
      <c r="AA281" s="295"/>
      <c r="AB281" s="295"/>
      <c r="AC281" s="295"/>
      <c r="AD281" s="295"/>
      <c r="AE281" s="295"/>
      <c r="AF281" s="295">
        <v>8000</v>
      </c>
      <c r="AG281" s="295">
        <v>3917</v>
      </c>
      <c r="AH281" s="295">
        <f t="shared" si="145"/>
        <v>29000</v>
      </c>
      <c r="AI281" s="295">
        <v>29000</v>
      </c>
      <c r="AJ281" s="295">
        <f t="shared" si="146"/>
        <v>0</v>
      </c>
      <c r="AK281" s="295"/>
      <c r="AL281" s="285">
        <f t="shared" si="139"/>
        <v>29000</v>
      </c>
      <c r="AM281" s="295">
        <f t="shared" si="140"/>
        <v>17500</v>
      </c>
      <c r="AN281" s="295">
        <f t="shared" si="140"/>
        <v>12739</v>
      </c>
      <c r="AO281" s="295">
        <f t="shared" si="141"/>
        <v>17500</v>
      </c>
      <c r="AP281" s="295">
        <f t="shared" si="142"/>
        <v>11500</v>
      </c>
      <c r="AQ281" s="285">
        <f t="shared" si="143"/>
        <v>11500</v>
      </c>
      <c r="AR281" s="295">
        <v>17500</v>
      </c>
      <c r="AS281" s="295">
        <v>4000</v>
      </c>
      <c r="AT281" s="310"/>
    </row>
    <row r="282" spans="1:46" s="265" customFormat="1" ht="47.25" customHeight="1">
      <c r="A282" s="298">
        <v>4</v>
      </c>
      <c r="B282" s="314" t="s">
        <v>1185</v>
      </c>
      <c r="C282" s="300" t="s">
        <v>679</v>
      </c>
      <c r="D282" s="300" t="s">
        <v>679</v>
      </c>
      <c r="E282" s="300"/>
      <c r="F282" s="312" t="s">
        <v>671</v>
      </c>
      <c r="G282" s="300" t="s">
        <v>1186</v>
      </c>
      <c r="H282" s="295">
        <v>35196</v>
      </c>
      <c r="I282" s="295"/>
      <c r="J282" s="295">
        <f t="shared" si="135"/>
        <v>0</v>
      </c>
      <c r="K282" s="295"/>
      <c r="L282" s="295">
        <v>31000</v>
      </c>
      <c r="M282" s="295">
        <v>31000</v>
      </c>
      <c r="N282" s="295">
        <f t="shared" si="138"/>
        <v>0</v>
      </c>
      <c r="O282" s="295">
        <f t="shared" si="138"/>
        <v>0</v>
      </c>
      <c r="P282" s="295"/>
      <c r="Q282" s="295"/>
      <c r="R282" s="295"/>
      <c r="S282" s="295"/>
      <c r="T282" s="295">
        <f t="shared" si="144"/>
        <v>16000</v>
      </c>
      <c r="U282" s="295">
        <f t="shared" si="144"/>
        <v>16000</v>
      </c>
      <c r="V282" s="295">
        <v>16000</v>
      </c>
      <c r="W282" s="295">
        <v>16000</v>
      </c>
      <c r="X282" s="295"/>
      <c r="Y282" s="295"/>
      <c r="Z282" s="295"/>
      <c r="AA282" s="295"/>
      <c r="AB282" s="295"/>
      <c r="AC282" s="295"/>
      <c r="AD282" s="295"/>
      <c r="AE282" s="295"/>
      <c r="AF282" s="295">
        <v>9000</v>
      </c>
      <c r="AG282" s="295">
        <v>6185</v>
      </c>
      <c r="AH282" s="295">
        <f t="shared" si="145"/>
        <v>31000</v>
      </c>
      <c r="AI282" s="295">
        <v>31000</v>
      </c>
      <c r="AJ282" s="295">
        <f t="shared" si="146"/>
        <v>0</v>
      </c>
      <c r="AK282" s="295"/>
      <c r="AL282" s="285">
        <f t="shared" si="139"/>
        <v>31000</v>
      </c>
      <c r="AM282" s="295">
        <f t="shared" si="140"/>
        <v>25000</v>
      </c>
      <c r="AN282" s="295">
        <f t="shared" si="140"/>
        <v>22185</v>
      </c>
      <c r="AO282" s="295">
        <f t="shared" si="141"/>
        <v>25000</v>
      </c>
      <c r="AP282" s="295">
        <f t="shared" si="142"/>
        <v>6000</v>
      </c>
      <c r="AQ282" s="285">
        <f t="shared" si="143"/>
        <v>6000</v>
      </c>
      <c r="AR282" s="295">
        <v>25000</v>
      </c>
      <c r="AS282" s="295">
        <v>3000</v>
      </c>
      <c r="AT282" s="313"/>
    </row>
    <row r="283" spans="1:46" s="265" customFormat="1" ht="47.25" customHeight="1">
      <c r="A283" s="298">
        <v>5</v>
      </c>
      <c r="B283" s="314" t="s">
        <v>1187</v>
      </c>
      <c r="C283" s="300" t="s">
        <v>700</v>
      </c>
      <c r="D283" s="300" t="s">
        <v>700</v>
      </c>
      <c r="E283" s="300"/>
      <c r="F283" s="312" t="s">
        <v>671</v>
      </c>
      <c r="G283" s="300" t="s">
        <v>1188</v>
      </c>
      <c r="H283" s="295">
        <v>48013</v>
      </c>
      <c r="I283" s="295"/>
      <c r="J283" s="295">
        <f t="shared" si="135"/>
        <v>0</v>
      </c>
      <c r="K283" s="295"/>
      <c r="L283" s="295">
        <v>35000</v>
      </c>
      <c r="M283" s="295">
        <v>35000</v>
      </c>
      <c r="N283" s="295">
        <f t="shared" si="138"/>
        <v>0</v>
      </c>
      <c r="O283" s="295">
        <f t="shared" si="138"/>
        <v>0</v>
      </c>
      <c r="P283" s="295"/>
      <c r="Q283" s="295"/>
      <c r="R283" s="295"/>
      <c r="S283" s="295"/>
      <c r="T283" s="295">
        <f t="shared" si="144"/>
        <v>18000</v>
      </c>
      <c r="U283" s="295">
        <f t="shared" si="144"/>
        <v>18000</v>
      </c>
      <c r="V283" s="295">
        <v>10000</v>
      </c>
      <c r="W283" s="295">
        <v>10000</v>
      </c>
      <c r="X283" s="295">
        <v>8000</v>
      </c>
      <c r="Y283" s="295">
        <v>8000</v>
      </c>
      <c r="Z283" s="295"/>
      <c r="AA283" s="295"/>
      <c r="AB283" s="295"/>
      <c r="AC283" s="295"/>
      <c r="AD283" s="295"/>
      <c r="AE283" s="295"/>
      <c r="AF283" s="295">
        <v>8000</v>
      </c>
      <c r="AG283" s="295">
        <v>6280</v>
      </c>
      <c r="AH283" s="295">
        <f t="shared" si="145"/>
        <v>43000</v>
      </c>
      <c r="AI283" s="295">
        <v>35000</v>
      </c>
      <c r="AJ283" s="295">
        <f t="shared" si="146"/>
        <v>8000</v>
      </c>
      <c r="AK283" s="295"/>
      <c r="AL283" s="285">
        <f t="shared" si="139"/>
        <v>43000</v>
      </c>
      <c r="AM283" s="295">
        <f t="shared" si="140"/>
        <v>26000</v>
      </c>
      <c r="AN283" s="295">
        <f t="shared" si="140"/>
        <v>24280</v>
      </c>
      <c r="AO283" s="295">
        <f t="shared" si="141"/>
        <v>26000</v>
      </c>
      <c r="AP283" s="295">
        <f t="shared" si="142"/>
        <v>17000</v>
      </c>
      <c r="AQ283" s="285">
        <f t="shared" si="143"/>
        <v>17000</v>
      </c>
      <c r="AR283" s="295">
        <v>26000</v>
      </c>
      <c r="AS283" s="295">
        <v>5000</v>
      </c>
      <c r="AT283" s="310"/>
    </row>
    <row r="284" spans="1:46" s="265" customFormat="1" ht="47.25" customHeight="1">
      <c r="A284" s="298">
        <v>6</v>
      </c>
      <c r="B284" s="314" t="s">
        <v>1189</v>
      </c>
      <c r="C284" s="300" t="s">
        <v>946</v>
      </c>
      <c r="D284" s="300" t="s">
        <v>946</v>
      </c>
      <c r="E284" s="300" t="s">
        <v>1190</v>
      </c>
      <c r="F284" s="312" t="s">
        <v>758</v>
      </c>
      <c r="G284" s="300" t="s">
        <v>1191</v>
      </c>
      <c r="H284" s="295">
        <v>24765</v>
      </c>
      <c r="I284" s="295"/>
      <c r="J284" s="295">
        <f t="shared" si="135"/>
        <v>0</v>
      </c>
      <c r="K284" s="295"/>
      <c r="L284" s="295">
        <v>22000</v>
      </c>
      <c r="M284" s="295">
        <v>22000</v>
      </c>
      <c r="N284" s="295">
        <f t="shared" si="138"/>
        <v>0</v>
      </c>
      <c r="O284" s="295">
        <f t="shared" si="138"/>
        <v>0</v>
      </c>
      <c r="P284" s="295"/>
      <c r="Q284" s="295"/>
      <c r="R284" s="295"/>
      <c r="S284" s="295"/>
      <c r="T284" s="295">
        <f t="shared" si="144"/>
        <v>11000</v>
      </c>
      <c r="U284" s="295">
        <f t="shared" si="144"/>
        <v>11000</v>
      </c>
      <c r="V284" s="295">
        <v>11000</v>
      </c>
      <c r="W284" s="295">
        <v>11000</v>
      </c>
      <c r="X284" s="295"/>
      <c r="Y284" s="295"/>
      <c r="Z284" s="295"/>
      <c r="AA284" s="295"/>
      <c r="AB284" s="295"/>
      <c r="AC284" s="295"/>
      <c r="AD284" s="295"/>
      <c r="AE284" s="295"/>
      <c r="AF284" s="295">
        <v>7000</v>
      </c>
      <c r="AG284" s="295">
        <v>847</v>
      </c>
      <c r="AH284" s="295">
        <f t="shared" si="145"/>
        <v>22000</v>
      </c>
      <c r="AI284" s="295">
        <v>22000</v>
      </c>
      <c r="AJ284" s="295">
        <f t="shared" si="146"/>
        <v>0</v>
      </c>
      <c r="AK284" s="295"/>
      <c r="AL284" s="285">
        <f t="shared" si="139"/>
        <v>22000</v>
      </c>
      <c r="AM284" s="295">
        <f t="shared" si="140"/>
        <v>18000</v>
      </c>
      <c r="AN284" s="295">
        <f t="shared" si="140"/>
        <v>11847</v>
      </c>
      <c r="AO284" s="295">
        <f t="shared" si="141"/>
        <v>18000</v>
      </c>
      <c r="AP284" s="295">
        <f t="shared" si="142"/>
        <v>4000</v>
      </c>
      <c r="AQ284" s="285">
        <f t="shared" si="143"/>
        <v>4000</v>
      </c>
      <c r="AR284" s="295">
        <v>18000</v>
      </c>
      <c r="AS284" s="295">
        <v>2000</v>
      </c>
      <c r="AT284" s="310"/>
    </row>
    <row r="285" spans="1:46" s="265" customFormat="1" ht="47.25" customHeight="1">
      <c r="A285" s="298">
        <v>7</v>
      </c>
      <c r="B285" s="314" t="s">
        <v>1192</v>
      </c>
      <c r="C285" s="300" t="s">
        <v>675</v>
      </c>
      <c r="D285" s="300" t="s">
        <v>675</v>
      </c>
      <c r="E285" s="300"/>
      <c r="F285" s="312" t="s">
        <v>1193</v>
      </c>
      <c r="G285" s="300" t="s">
        <v>1194</v>
      </c>
      <c r="H285" s="295">
        <v>20413</v>
      </c>
      <c r="I285" s="295"/>
      <c r="J285" s="295">
        <f t="shared" si="135"/>
        <v>0</v>
      </c>
      <c r="K285" s="295"/>
      <c r="L285" s="295">
        <v>24000</v>
      </c>
      <c r="M285" s="295">
        <v>24000</v>
      </c>
      <c r="N285" s="295">
        <f t="shared" si="138"/>
        <v>0</v>
      </c>
      <c r="O285" s="295">
        <f t="shared" si="138"/>
        <v>0</v>
      </c>
      <c r="P285" s="295"/>
      <c r="Q285" s="295"/>
      <c r="R285" s="295"/>
      <c r="S285" s="295"/>
      <c r="T285" s="295">
        <f t="shared" si="144"/>
        <v>7550</v>
      </c>
      <c r="U285" s="295">
        <f t="shared" si="144"/>
        <v>6762</v>
      </c>
      <c r="V285" s="295">
        <v>7550</v>
      </c>
      <c r="W285" s="295">
        <v>6762</v>
      </c>
      <c r="X285" s="295"/>
      <c r="Y285" s="295"/>
      <c r="Z285" s="295"/>
      <c r="AA285" s="295"/>
      <c r="AB285" s="295"/>
      <c r="AC285" s="295"/>
      <c r="AD285" s="295"/>
      <c r="AE285" s="295"/>
      <c r="AF285" s="295">
        <v>7000</v>
      </c>
      <c r="AG285" s="295">
        <v>3040</v>
      </c>
      <c r="AH285" s="295">
        <f t="shared" si="145"/>
        <v>20000</v>
      </c>
      <c r="AI285" s="295">
        <v>20000</v>
      </c>
      <c r="AJ285" s="295">
        <f t="shared" si="146"/>
        <v>0</v>
      </c>
      <c r="AK285" s="295"/>
      <c r="AL285" s="285">
        <f t="shared" si="139"/>
        <v>20000</v>
      </c>
      <c r="AM285" s="295">
        <f t="shared" si="140"/>
        <v>14550</v>
      </c>
      <c r="AN285" s="295">
        <f t="shared" si="140"/>
        <v>9802</v>
      </c>
      <c r="AO285" s="295">
        <f t="shared" si="141"/>
        <v>14550</v>
      </c>
      <c r="AP285" s="295">
        <f t="shared" si="142"/>
        <v>5450</v>
      </c>
      <c r="AQ285" s="285">
        <f t="shared" si="143"/>
        <v>5450</v>
      </c>
      <c r="AR285" s="295">
        <v>14550</v>
      </c>
      <c r="AS285" s="295">
        <v>3000</v>
      </c>
      <c r="AT285" s="318"/>
    </row>
    <row r="286" spans="1:46" s="265" customFormat="1" ht="47.25" customHeight="1">
      <c r="A286" s="298">
        <v>8</v>
      </c>
      <c r="B286" s="314" t="s">
        <v>1195</v>
      </c>
      <c r="C286" s="300" t="s">
        <v>700</v>
      </c>
      <c r="D286" s="300" t="s">
        <v>700</v>
      </c>
      <c r="E286" s="300"/>
      <c r="F286" s="312" t="s">
        <v>758</v>
      </c>
      <c r="G286" s="300" t="s">
        <v>1196</v>
      </c>
      <c r="H286" s="295">
        <v>17553</v>
      </c>
      <c r="I286" s="295"/>
      <c r="J286" s="295">
        <f t="shared" si="135"/>
        <v>0</v>
      </c>
      <c r="K286" s="295"/>
      <c r="L286" s="295">
        <v>14000</v>
      </c>
      <c r="M286" s="295">
        <v>14000</v>
      </c>
      <c r="N286" s="295">
        <f t="shared" si="138"/>
        <v>0</v>
      </c>
      <c r="O286" s="295">
        <f t="shared" si="138"/>
        <v>0</v>
      </c>
      <c r="P286" s="295"/>
      <c r="Q286" s="295"/>
      <c r="R286" s="295"/>
      <c r="S286" s="295"/>
      <c r="T286" s="295">
        <f t="shared" si="144"/>
        <v>6000</v>
      </c>
      <c r="U286" s="295">
        <f t="shared" si="144"/>
        <v>6000</v>
      </c>
      <c r="V286" s="295">
        <v>6000</v>
      </c>
      <c r="W286" s="295">
        <v>6000</v>
      </c>
      <c r="X286" s="295"/>
      <c r="Y286" s="295"/>
      <c r="Z286" s="295"/>
      <c r="AA286" s="295"/>
      <c r="AB286" s="295"/>
      <c r="AC286" s="295"/>
      <c r="AD286" s="295"/>
      <c r="AE286" s="295"/>
      <c r="AF286" s="295">
        <v>6000</v>
      </c>
      <c r="AG286" s="295">
        <v>2232</v>
      </c>
      <c r="AH286" s="295">
        <f t="shared" si="145"/>
        <v>14000</v>
      </c>
      <c r="AI286" s="295">
        <v>14000</v>
      </c>
      <c r="AJ286" s="295">
        <f t="shared" si="146"/>
        <v>0</v>
      </c>
      <c r="AK286" s="295"/>
      <c r="AL286" s="285">
        <f t="shared" si="139"/>
        <v>14000</v>
      </c>
      <c r="AM286" s="295">
        <f t="shared" si="140"/>
        <v>12000</v>
      </c>
      <c r="AN286" s="295">
        <f t="shared" si="140"/>
        <v>8232</v>
      </c>
      <c r="AO286" s="295">
        <f t="shared" si="141"/>
        <v>12000</v>
      </c>
      <c r="AP286" s="295">
        <f t="shared" si="142"/>
        <v>2000</v>
      </c>
      <c r="AQ286" s="285">
        <f t="shared" si="143"/>
        <v>2000</v>
      </c>
      <c r="AR286" s="295">
        <v>12000</v>
      </c>
      <c r="AS286" s="295">
        <v>1000</v>
      </c>
      <c r="AT286" s="316"/>
    </row>
    <row r="287" spans="1:46" s="265" customFormat="1" ht="47.25" customHeight="1">
      <c r="A287" s="298">
        <v>9</v>
      </c>
      <c r="B287" s="314" t="s">
        <v>1197</v>
      </c>
      <c r="C287" s="300" t="s">
        <v>689</v>
      </c>
      <c r="D287" s="300" t="s">
        <v>689</v>
      </c>
      <c r="E287" s="300"/>
      <c r="F287" s="312" t="s">
        <v>727</v>
      </c>
      <c r="G287" s="300" t="s">
        <v>1198</v>
      </c>
      <c r="H287" s="295">
        <v>26258</v>
      </c>
      <c r="I287" s="295"/>
      <c r="J287" s="295">
        <f t="shared" si="135"/>
        <v>0</v>
      </c>
      <c r="K287" s="295"/>
      <c r="L287" s="295">
        <v>18500</v>
      </c>
      <c r="M287" s="295">
        <v>18500</v>
      </c>
      <c r="N287" s="295">
        <f t="shared" si="138"/>
        <v>0</v>
      </c>
      <c r="O287" s="295">
        <f t="shared" si="138"/>
        <v>0</v>
      </c>
      <c r="P287" s="295"/>
      <c r="Q287" s="295"/>
      <c r="R287" s="295"/>
      <c r="S287" s="295"/>
      <c r="T287" s="295">
        <f t="shared" si="144"/>
        <v>0</v>
      </c>
      <c r="U287" s="295">
        <f t="shared" si="144"/>
        <v>0</v>
      </c>
      <c r="V287" s="295"/>
      <c r="W287" s="295"/>
      <c r="X287" s="295"/>
      <c r="Y287" s="295"/>
      <c r="Z287" s="295"/>
      <c r="AA287" s="295"/>
      <c r="AB287" s="295"/>
      <c r="AC287" s="295"/>
      <c r="AD287" s="295"/>
      <c r="AE287" s="295"/>
      <c r="AF287" s="295">
        <v>8000</v>
      </c>
      <c r="AG287" s="295">
        <v>1700</v>
      </c>
      <c r="AH287" s="295">
        <f t="shared" si="145"/>
        <v>18500</v>
      </c>
      <c r="AI287" s="295">
        <v>18500</v>
      </c>
      <c r="AJ287" s="295">
        <f t="shared" si="146"/>
        <v>0</v>
      </c>
      <c r="AK287" s="295"/>
      <c r="AL287" s="285">
        <f t="shared" si="139"/>
        <v>18500</v>
      </c>
      <c r="AM287" s="295">
        <f t="shared" si="140"/>
        <v>8000</v>
      </c>
      <c r="AN287" s="295">
        <f t="shared" si="140"/>
        <v>1700</v>
      </c>
      <c r="AO287" s="295">
        <f t="shared" si="141"/>
        <v>8000</v>
      </c>
      <c r="AP287" s="295">
        <f t="shared" si="142"/>
        <v>10500</v>
      </c>
      <c r="AQ287" s="285">
        <f t="shared" si="143"/>
        <v>10500</v>
      </c>
      <c r="AR287" s="295">
        <v>8000</v>
      </c>
      <c r="AS287" s="295">
        <v>5000</v>
      </c>
      <c r="AT287" s="313"/>
    </row>
    <row r="288" spans="1:46" s="265" customFormat="1" ht="47.25" customHeight="1">
      <c r="A288" s="298">
        <v>10</v>
      </c>
      <c r="B288" s="314" t="s">
        <v>1199</v>
      </c>
      <c r="C288" s="300" t="s">
        <v>730</v>
      </c>
      <c r="D288" s="300" t="s">
        <v>730</v>
      </c>
      <c r="E288" s="300"/>
      <c r="F288" s="312" t="s">
        <v>727</v>
      </c>
      <c r="G288" s="307" t="s">
        <v>1200</v>
      </c>
      <c r="H288" s="295">
        <v>11468</v>
      </c>
      <c r="I288" s="295"/>
      <c r="J288" s="295">
        <f>I288*90%</f>
        <v>0</v>
      </c>
      <c r="K288" s="295"/>
      <c r="L288" s="295">
        <v>10000</v>
      </c>
      <c r="M288" s="295">
        <v>10000</v>
      </c>
      <c r="N288" s="295">
        <f t="shared" si="138"/>
        <v>0</v>
      </c>
      <c r="O288" s="295">
        <f t="shared" si="138"/>
        <v>0</v>
      </c>
      <c r="P288" s="295"/>
      <c r="Q288" s="295"/>
      <c r="R288" s="295"/>
      <c r="S288" s="295"/>
      <c r="T288" s="295">
        <f t="shared" si="144"/>
        <v>0</v>
      </c>
      <c r="U288" s="295">
        <f t="shared" si="144"/>
        <v>0</v>
      </c>
      <c r="V288" s="295"/>
      <c r="W288" s="295"/>
      <c r="X288" s="295"/>
      <c r="Y288" s="295"/>
      <c r="Z288" s="295"/>
      <c r="AA288" s="295"/>
      <c r="AB288" s="295"/>
      <c r="AC288" s="295"/>
      <c r="AD288" s="295"/>
      <c r="AE288" s="295"/>
      <c r="AF288" s="295">
        <v>5500</v>
      </c>
      <c r="AG288" s="295">
        <v>3883</v>
      </c>
      <c r="AH288" s="295">
        <f t="shared" si="145"/>
        <v>10000</v>
      </c>
      <c r="AI288" s="295">
        <v>10000</v>
      </c>
      <c r="AJ288" s="295">
        <f t="shared" si="146"/>
        <v>0</v>
      </c>
      <c r="AK288" s="295"/>
      <c r="AL288" s="285">
        <f t="shared" si="139"/>
        <v>10000</v>
      </c>
      <c r="AM288" s="295">
        <f t="shared" si="140"/>
        <v>5500</v>
      </c>
      <c r="AN288" s="295">
        <f t="shared" si="140"/>
        <v>3883</v>
      </c>
      <c r="AO288" s="295">
        <f t="shared" si="141"/>
        <v>5500</v>
      </c>
      <c r="AP288" s="295">
        <f t="shared" si="142"/>
        <v>4500</v>
      </c>
      <c r="AQ288" s="285">
        <f t="shared" si="143"/>
        <v>4500</v>
      </c>
      <c r="AR288" s="295">
        <v>5500</v>
      </c>
      <c r="AS288" s="295">
        <v>3500</v>
      </c>
      <c r="AT288" s="313"/>
    </row>
    <row r="289" spans="1:46" s="265" customFormat="1" ht="47.25" customHeight="1">
      <c r="A289" s="298">
        <v>11</v>
      </c>
      <c r="B289" s="314" t="s">
        <v>1201</v>
      </c>
      <c r="C289" s="300" t="s">
        <v>946</v>
      </c>
      <c r="D289" s="300" t="s">
        <v>946</v>
      </c>
      <c r="E289" s="300"/>
      <c r="F289" s="312" t="s">
        <v>727</v>
      </c>
      <c r="G289" s="300" t="s">
        <v>1202</v>
      </c>
      <c r="H289" s="345">
        <v>27982</v>
      </c>
      <c r="I289" s="345"/>
      <c r="J289" s="295">
        <f>I289*90%</f>
        <v>0</v>
      </c>
      <c r="K289" s="295"/>
      <c r="L289" s="295">
        <v>10000</v>
      </c>
      <c r="M289" s="295">
        <v>10000</v>
      </c>
      <c r="N289" s="295">
        <f t="shared" si="138"/>
        <v>0</v>
      </c>
      <c r="O289" s="295">
        <f t="shared" si="138"/>
        <v>0</v>
      </c>
      <c r="P289" s="295"/>
      <c r="Q289" s="295"/>
      <c r="R289" s="295"/>
      <c r="S289" s="295"/>
      <c r="T289" s="295">
        <f t="shared" si="144"/>
        <v>0</v>
      </c>
      <c r="U289" s="295">
        <f t="shared" si="144"/>
        <v>0</v>
      </c>
      <c r="V289" s="295"/>
      <c r="W289" s="295"/>
      <c r="X289" s="295"/>
      <c r="Y289" s="295"/>
      <c r="Z289" s="295"/>
      <c r="AA289" s="295"/>
      <c r="AB289" s="295"/>
      <c r="AC289" s="295"/>
      <c r="AD289" s="295"/>
      <c r="AE289" s="295"/>
      <c r="AF289" s="295">
        <v>8000</v>
      </c>
      <c r="AG289" s="295">
        <v>3908</v>
      </c>
      <c r="AH289" s="295">
        <f t="shared" si="145"/>
        <v>10000</v>
      </c>
      <c r="AI289" s="295">
        <v>10000</v>
      </c>
      <c r="AJ289" s="295">
        <f t="shared" si="146"/>
        <v>0</v>
      </c>
      <c r="AK289" s="295"/>
      <c r="AL289" s="285">
        <f t="shared" si="139"/>
        <v>10000</v>
      </c>
      <c r="AM289" s="295">
        <f t="shared" si="140"/>
        <v>8000</v>
      </c>
      <c r="AN289" s="295">
        <f t="shared" si="140"/>
        <v>3908</v>
      </c>
      <c r="AO289" s="295">
        <f t="shared" si="141"/>
        <v>8000</v>
      </c>
      <c r="AP289" s="295">
        <f t="shared" si="142"/>
        <v>2000</v>
      </c>
      <c r="AQ289" s="285">
        <f t="shared" si="143"/>
        <v>2000</v>
      </c>
      <c r="AR289" s="295">
        <v>8000</v>
      </c>
      <c r="AS289" s="295">
        <v>1500</v>
      </c>
      <c r="AT289" s="310"/>
    </row>
    <row r="290" spans="1:46" s="265" customFormat="1" ht="47.25" customHeight="1">
      <c r="A290" s="298">
        <v>12</v>
      </c>
      <c r="B290" s="314" t="s">
        <v>1203</v>
      </c>
      <c r="C290" s="300" t="s">
        <v>679</v>
      </c>
      <c r="D290" s="300" t="s">
        <v>679</v>
      </c>
      <c r="E290" s="300" t="s">
        <v>1204</v>
      </c>
      <c r="F290" s="312" t="s">
        <v>727</v>
      </c>
      <c r="G290" s="300" t="s">
        <v>1205</v>
      </c>
      <c r="H290" s="345">
        <v>14640</v>
      </c>
      <c r="I290" s="345"/>
      <c r="J290" s="295">
        <f>I290*90%</f>
        <v>0</v>
      </c>
      <c r="K290" s="295"/>
      <c r="L290" s="295">
        <v>9500</v>
      </c>
      <c r="M290" s="295">
        <v>9500</v>
      </c>
      <c r="N290" s="295">
        <f t="shared" si="138"/>
        <v>0</v>
      </c>
      <c r="O290" s="295">
        <f t="shared" si="138"/>
        <v>0</v>
      </c>
      <c r="P290" s="295"/>
      <c r="Q290" s="295"/>
      <c r="R290" s="295"/>
      <c r="S290" s="295"/>
      <c r="T290" s="295">
        <f t="shared" si="144"/>
        <v>0</v>
      </c>
      <c r="U290" s="295">
        <f t="shared" si="144"/>
        <v>0</v>
      </c>
      <c r="V290" s="295"/>
      <c r="W290" s="295"/>
      <c r="X290" s="295"/>
      <c r="Y290" s="295"/>
      <c r="Z290" s="295"/>
      <c r="AA290" s="295"/>
      <c r="AB290" s="295"/>
      <c r="AC290" s="295"/>
      <c r="AD290" s="295"/>
      <c r="AE290" s="295"/>
      <c r="AF290" s="295">
        <v>6000</v>
      </c>
      <c r="AG290" s="295">
        <v>4967</v>
      </c>
      <c r="AH290" s="295">
        <f t="shared" si="145"/>
        <v>9500</v>
      </c>
      <c r="AI290" s="295">
        <v>9500</v>
      </c>
      <c r="AJ290" s="295">
        <f t="shared" si="146"/>
        <v>0</v>
      </c>
      <c r="AK290" s="295"/>
      <c r="AL290" s="285">
        <f t="shared" si="139"/>
        <v>9500</v>
      </c>
      <c r="AM290" s="295">
        <f t="shared" si="140"/>
        <v>6000</v>
      </c>
      <c r="AN290" s="295">
        <f t="shared" si="140"/>
        <v>4967</v>
      </c>
      <c r="AO290" s="295">
        <f t="shared" si="141"/>
        <v>6000</v>
      </c>
      <c r="AP290" s="295">
        <f t="shared" si="142"/>
        <v>3500</v>
      </c>
      <c r="AQ290" s="285">
        <f t="shared" si="143"/>
        <v>3500</v>
      </c>
      <c r="AR290" s="295">
        <v>6000</v>
      </c>
      <c r="AS290" s="295">
        <v>1500</v>
      </c>
      <c r="AT290" s="313"/>
    </row>
    <row r="291" spans="1:46" s="265" customFormat="1" ht="47.25" customHeight="1">
      <c r="A291" s="298">
        <v>13</v>
      </c>
      <c r="B291" s="305" t="s">
        <v>1206</v>
      </c>
      <c r="C291" s="300" t="s">
        <v>714</v>
      </c>
      <c r="D291" s="300" t="s">
        <v>1207</v>
      </c>
      <c r="E291" s="300"/>
      <c r="F291" s="312" t="s">
        <v>899</v>
      </c>
      <c r="G291" s="300" t="s">
        <v>1208</v>
      </c>
      <c r="H291" s="295">
        <v>92423</v>
      </c>
      <c r="I291" s="295"/>
      <c r="J291" s="295"/>
      <c r="K291" s="295"/>
      <c r="L291" s="295"/>
      <c r="M291" s="295"/>
      <c r="N291" s="295"/>
      <c r="O291" s="295">
        <f t="shared" si="138"/>
        <v>0</v>
      </c>
      <c r="P291" s="295"/>
      <c r="Q291" s="295"/>
      <c r="R291" s="295"/>
      <c r="S291" s="295"/>
      <c r="T291" s="295"/>
      <c r="U291" s="295">
        <f t="shared" si="144"/>
        <v>0</v>
      </c>
      <c r="V291" s="295"/>
      <c r="W291" s="295"/>
      <c r="X291" s="295"/>
      <c r="Y291" s="295"/>
      <c r="Z291" s="295"/>
      <c r="AA291" s="295"/>
      <c r="AB291" s="295"/>
      <c r="AC291" s="295"/>
      <c r="AD291" s="295"/>
      <c r="AE291" s="295"/>
      <c r="AF291" s="295">
        <v>14000</v>
      </c>
      <c r="AG291" s="295">
        <v>530</v>
      </c>
      <c r="AH291" s="295">
        <f t="shared" si="145"/>
        <v>20000</v>
      </c>
      <c r="AI291" s="295">
        <v>15000</v>
      </c>
      <c r="AJ291" s="295">
        <v>0</v>
      </c>
      <c r="AK291" s="295">
        <v>5000</v>
      </c>
      <c r="AL291" s="285">
        <f t="shared" si="139"/>
        <v>15000</v>
      </c>
      <c r="AM291" s="295">
        <f t="shared" si="140"/>
        <v>14000</v>
      </c>
      <c r="AN291" s="295">
        <f t="shared" si="140"/>
        <v>530</v>
      </c>
      <c r="AO291" s="295">
        <f t="shared" si="141"/>
        <v>14000</v>
      </c>
      <c r="AP291" s="295">
        <f t="shared" si="142"/>
        <v>6000</v>
      </c>
      <c r="AQ291" s="285">
        <f t="shared" si="143"/>
        <v>1000</v>
      </c>
      <c r="AR291" s="295">
        <v>14000</v>
      </c>
      <c r="AS291" s="295">
        <v>3000</v>
      </c>
      <c r="AT291" s="316"/>
    </row>
    <row r="292" spans="1:46" s="265" customFormat="1" ht="47.25" customHeight="1">
      <c r="A292" s="298">
        <v>14</v>
      </c>
      <c r="B292" s="314" t="s">
        <v>1209</v>
      </c>
      <c r="C292" s="300" t="s">
        <v>669</v>
      </c>
      <c r="D292" s="300" t="s">
        <v>669</v>
      </c>
      <c r="E292" s="300"/>
      <c r="F292" s="312" t="s">
        <v>727</v>
      </c>
      <c r="G292" s="300" t="s">
        <v>1210</v>
      </c>
      <c r="H292" s="345">
        <v>13960</v>
      </c>
      <c r="I292" s="345"/>
      <c r="J292" s="295"/>
      <c r="K292" s="295"/>
      <c r="L292" s="295"/>
      <c r="M292" s="295"/>
      <c r="N292" s="295"/>
      <c r="O292" s="295">
        <f t="shared" si="138"/>
        <v>0</v>
      </c>
      <c r="P292" s="295"/>
      <c r="Q292" s="295"/>
      <c r="R292" s="295"/>
      <c r="S292" s="295"/>
      <c r="T292" s="295"/>
      <c r="U292" s="295">
        <f t="shared" si="144"/>
        <v>0</v>
      </c>
      <c r="V292" s="295"/>
      <c r="W292" s="295"/>
      <c r="X292" s="295"/>
      <c r="Y292" s="295"/>
      <c r="Z292" s="295"/>
      <c r="AA292" s="295"/>
      <c r="AB292" s="295"/>
      <c r="AC292" s="295"/>
      <c r="AD292" s="295"/>
      <c r="AE292" s="295"/>
      <c r="AF292" s="295">
        <v>5500</v>
      </c>
      <c r="AG292" s="295">
        <v>210</v>
      </c>
      <c r="AH292" s="295">
        <f t="shared" si="145"/>
        <v>12000</v>
      </c>
      <c r="AI292" s="295">
        <v>12000</v>
      </c>
      <c r="AJ292" s="295">
        <v>0</v>
      </c>
      <c r="AK292" s="295">
        <v>0</v>
      </c>
      <c r="AL292" s="285">
        <f t="shared" si="139"/>
        <v>12000</v>
      </c>
      <c r="AM292" s="295">
        <f t="shared" si="140"/>
        <v>5500</v>
      </c>
      <c r="AN292" s="295">
        <f t="shared" si="140"/>
        <v>210</v>
      </c>
      <c r="AO292" s="295">
        <f t="shared" si="141"/>
        <v>5500</v>
      </c>
      <c r="AP292" s="295">
        <f t="shared" si="142"/>
        <v>6500</v>
      </c>
      <c r="AQ292" s="285">
        <f t="shared" si="143"/>
        <v>6500</v>
      </c>
      <c r="AR292" s="295">
        <v>5500</v>
      </c>
      <c r="AS292" s="295">
        <v>4000</v>
      </c>
      <c r="AT292" s="313"/>
    </row>
    <row r="293" spans="1:46" s="265" customFormat="1" ht="47.25" customHeight="1">
      <c r="A293" s="298">
        <v>15</v>
      </c>
      <c r="B293" s="314" t="s">
        <v>725</v>
      </c>
      <c r="C293" s="300" t="s">
        <v>714</v>
      </c>
      <c r="D293" s="300" t="s">
        <v>726</v>
      </c>
      <c r="E293" s="300"/>
      <c r="F293" s="312" t="s">
        <v>727</v>
      </c>
      <c r="G293" s="300" t="s">
        <v>728</v>
      </c>
      <c r="H293" s="295">
        <v>53142</v>
      </c>
      <c r="I293" s="295"/>
      <c r="J293" s="295">
        <f>I293*90%</f>
        <v>0</v>
      </c>
      <c r="K293" s="295"/>
      <c r="L293" s="295"/>
      <c r="M293" s="295"/>
      <c r="N293" s="295"/>
      <c r="O293" s="295">
        <f t="shared" si="138"/>
        <v>0</v>
      </c>
      <c r="P293" s="295"/>
      <c r="Q293" s="295"/>
      <c r="R293" s="295"/>
      <c r="S293" s="295"/>
      <c r="T293" s="295">
        <f>V293+X293+Z293+AB293+AD293</f>
        <v>0</v>
      </c>
      <c r="U293" s="295">
        <f t="shared" si="144"/>
        <v>0</v>
      </c>
      <c r="V293" s="295"/>
      <c r="W293" s="295"/>
      <c r="X293" s="295"/>
      <c r="Y293" s="295"/>
      <c r="Z293" s="295"/>
      <c r="AA293" s="295"/>
      <c r="AB293" s="295"/>
      <c r="AC293" s="295"/>
      <c r="AD293" s="295"/>
      <c r="AE293" s="295"/>
      <c r="AF293" s="295">
        <v>10000</v>
      </c>
      <c r="AG293" s="295">
        <v>441</v>
      </c>
      <c r="AH293" s="295">
        <f t="shared" si="145"/>
        <v>20000</v>
      </c>
      <c r="AI293" s="295">
        <v>20000</v>
      </c>
      <c r="AJ293" s="295">
        <f>R293+X293+Z293+AB293+AD293</f>
        <v>0</v>
      </c>
      <c r="AK293" s="295"/>
      <c r="AL293" s="285">
        <f t="shared" si="139"/>
        <v>20000</v>
      </c>
      <c r="AM293" s="295">
        <f t="shared" si="140"/>
        <v>10000</v>
      </c>
      <c r="AN293" s="295">
        <f t="shared" si="140"/>
        <v>441</v>
      </c>
      <c r="AO293" s="295">
        <f t="shared" si="141"/>
        <v>10000</v>
      </c>
      <c r="AP293" s="295">
        <f t="shared" si="142"/>
        <v>10000</v>
      </c>
      <c r="AQ293" s="285">
        <f t="shared" si="143"/>
        <v>10000</v>
      </c>
      <c r="AR293" s="295">
        <v>10000</v>
      </c>
      <c r="AS293" s="295">
        <v>6000</v>
      </c>
      <c r="AT293" s="316"/>
    </row>
    <row r="294" spans="1:46" s="265" customFormat="1" ht="47.25" customHeight="1">
      <c r="A294" s="298">
        <v>16</v>
      </c>
      <c r="B294" s="317" t="s">
        <v>734</v>
      </c>
      <c r="C294" s="300" t="s">
        <v>714</v>
      </c>
      <c r="D294" s="300" t="s">
        <v>735</v>
      </c>
      <c r="E294" s="300"/>
      <c r="F294" s="312" t="s">
        <v>899</v>
      </c>
      <c r="G294" s="300" t="s">
        <v>736</v>
      </c>
      <c r="H294" s="295">
        <v>54500</v>
      </c>
      <c r="I294" s="295"/>
      <c r="J294" s="295"/>
      <c r="K294" s="295"/>
      <c r="L294" s="295"/>
      <c r="M294" s="295"/>
      <c r="N294" s="295"/>
      <c r="O294" s="295">
        <f t="shared" si="138"/>
        <v>0</v>
      </c>
      <c r="P294" s="295"/>
      <c r="Q294" s="295"/>
      <c r="R294" s="295"/>
      <c r="S294" s="295"/>
      <c r="T294" s="295"/>
      <c r="U294" s="295">
        <f t="shared" si="144"/>
        <v>0</v>
      </c>
      <c r="V294" s="295"/>
      <c r="W294" s="295"/>
      <c r="X294" s="295"/>
      <c r="Y294" s="295"/>
      <c r="Z294" s="295"/>
      <c r="AA294" s="295"/>
      <c r="AB294" s="295"/>
      <c r="AC294" s="295"/>
      <c r="AD294" s="295"/>
      <c r="AE294" s="295"/>
      <c r="AF294" s="295">
        <v>10000</v>
      </c>
      <c r="AG294" s="295">
        <v>426</v>
      </c>
      <c r="AH294" s="295">
        <f t="shared" si="145"/>
        <v>20000</v>
      </c>
      <c r="AI294" s="295">
        <v>15000</v>
      </c>
      <c r="AJ294" s="295">
        <v>0</v>
      </c>
      <c r="AK294" s="295">
        <v>5000</v>
      </c>
      <c r="AL294" s="285">
        <f t="shared" si="139"/>
        <v>15000</v>
      </c>
      <c r="AM294" s="295">
        <f t="shared" si="140"/>
        <v>10000</v>
      </c>
      <c r="AN294" s="295">
        <f t="shared" si="140"/>
        <v>426</v>
      </c>
      <c r="AO294" s="295">
        <f t="shared" si="141"/>
        <v>10000</v>
      </c>
      <c r="AP294" s="295">
        <f t="shared" si="142"/>
        <v>10000</v>
      </c>
      <c r="AQ294" s="285">
        <f t="shared" si="143"/>
        <v>5000</v>
      </c>
      <c r="AR294" s="295">
        <v>10000</v>
      </c>
      <c r="AS294" s="295">
        <v>5000</v>
      </c>
      <c r="AT294" s="316"/>
    </row>
    <row r="295" spans="1:46" s="265" customFormat="1" ht="47.25" customHeight="1">
      <c r="A295" s="298">
        <v>17</v>
      </c>
      <c r="B295" s="314" t="s">
        <v>729</v>
      </c>
      <c r="C295" s="300" t="s">
        <v>714</v>
      </c>
      <c r="D295" s="300" t="s">
        <v>730</v>
      </c>
      <c r="E295" s="300"/>
      <c r="F295" s="312" t="s">
        <v>899</v>
      </c>
      <c r="G295" s="300" t="s">
        <v>731</v>
      </c>
      <c r="H295" s="295">
        <v>52186</v>
      </c>
      <c r="I295" s="295"/>
      <c r="J295" s="295">
        <f t="shared" ref="J295:J302" si="147">I295*90%</f>
        <v>0</v>
      </c>
      <c r="K295" s="295"/>
      <c r="L295" s="295"/>
      <c r="M295" s="295"/>
      <c r="N295" s="295"/>
      <c r="O295" s="295">
        <f t="shared" ref="O295:O305" si="148">Q295+S295</f>
        <v>0</v>
      </c>
      <c r="P295" s="295"/>
      <c r="Q295" s="295"/>
      <c r="R295" s="295"/>
      <c r="S295" s="295"/>
      <c r="T295" s="295">
        <f t="shared" ref="T295:U305" si="149">V295+X295+Z295+AB295+AD295</f>
        <v>0</v>
      </c>
      <c r="U295" s="295">
        <f t="shared" si="144"/>
        <v>0</v>
      </c>
      <c r="V295" s="295"/>
      <c r="W295" s="295"/>
      <c r="X295" s="295"/>
      <c r="Y295" s="295"/>
      <c r="Z295" s="295"/>
      <c r="AA295" s="295"/>
      <c r="AB295" s="295"/>
      <c r="AC295" s="295"/>
      <c r="AD295" s="295"/>
      <c r="AE295" s="295"/>
      <c r="AF295" s="295">
        <v>10000</v>
      </c>
      <c r="AG295" s="295">
        <v>396</v>
      </c>
      <c r="AH295" s="295">
        <f t="shared" si="145"/>
        <v>15000</v>
      </c>
      <c r="AI295" s="295">
        <v>15000</v>
      </c>
      <c r="AJ295" s="295">
        <f t="shared" ref="AJ295:AJ302" si="150">R295+X295+Z295+AB295+AD295</f>
        <v>0</v>
      </c>
      <c r="AK295" s="295"/>
      <c r="AL295" s="285">
        <f t="shared" si="139"/>
        <v>15000</v>
      </c>
      <c r="AM295" s="295">
        <f t="shared" si="140"/>
        <v>10000</v>
      </c>
      <c r="AN295" s="295">
        <f t="shared" si="140"/>
        <v>396</v>
      </c>
      <c r="AO295" s="295">
        <f t="shared" si="141"/>
        <v>10000</v>
      </c>
      <c r="AP295" s="295">
        <f t="shared" si="142"/>
        <v>5000</v>
      </c>
      <c r="AQ295" s="285">
        <f t="shared" si="143"/>
        <v>5000</v>
      </c>
      <c r="AR295" s="295">
        <v>10000</v>
      </c>
      <c r="AS295" s="295">
        <v>5000</v>
      </c>
      <c r="AT295" s="316"/>
    </row>
    <row r="296" spans="1:46" s="265" customFormat="1" ht="47.25" customHeight="1">
      <c r="A296" s="298">
        <v>18</v>
      </c>
      <c r="B296" s="314" t="s">
        <v>1211</v>
      </c>
      <c r="C296" s="300" t="s">
        <v>714</v>
      </c>
      <c r="D296" s="300" t="s">
        <v>675</v>
      </c>
      <c r="E296" s="300"/>
      <c r="F296" s="312" t="s">
        <v>904</v>
      </c>
      <c r="G296" s="300" t="s">
        <v>1212</v>
      </c>
      <c r="H296" s="295">
        <v>45866</v>
      </c>
      <c r="I296" s="295"/>
      <c r="J296" s="295">
        <f t="shared" si="147"/>
        <v>0</v>
      </c>
      <c r="K296" s="295"/>
      <c r="L296" s="295"/>
      <c r="M296" s="295"/>
      <c r="N296" s="295"/>
      <c r="O296" s="295">
        <f t="shared" si="148"/>
        <v>0</v>
      </c>
      <c r="P296" s="295"/>
      <c r="Q296" s="295"/>
      <c r="R296" s="295"/>
      <c r="S296" s="295"/>
      <c r="T296" s="295">
        <f t="shared" si="149"/>
        <v>0</v>
      </c>
      <c r="U296" s="295">
        <f t="shared" si="149"/>
        <v>0</v>
      </c>
      <c r="V296" s="295"/>
      <c r="W296" s="295"/>
      <c r="X296" s="295"/>
      <c r="Y296" s="295"/>
      <c r="Z296" s="295"/>
      <c r="AA296" s="295"/>
      <c r="AB296" s="295"/>
      <c r="AC296" s="295"/>
      <c r="AD296" s="295"/>
      <c r="AE296" s="295"/>
      <c r="AF296" s="295">
        <v>10000</v>
      </c>
      <c r="AG296" s="295">
        <v>347</v>
      </c>
      <c r="AH296" s="295">
        <f t="shared" si="145"/>
        <v>45000</v>
      </c>
      <c r="AI296" s="295">
        <v>35000</v>
      </c>
      <c r="AJ296" s="295">
        <f t="shared" si="150"/>
        <v>0</v>
      </c>
      <c r="AK296" s="295">
        <v>10000</v>
      </c>
      <c r="AL296" s="285">
        <f t="shared" si="139"/>
        <v>35000</v>
      </c>
      <c r="AM296" s="295">
        <f t="shared" si="140"/>
        <v>10000</v>
      </c>
      <c r="AN296" s="295">
        <f t="shared" si="140"/>
        <v>347</v>
      </c>
      <c r="AO296" s="295">
        <f t="shared" si="141"/>
        <v>10000</v>
      </c>
      <c r="AP296" s="295">
        <f t="shared" si="142"/>
        <v>35000</v>
      </c>
      <c r="AQ296" s="285">
        <f t="shared" si="143"/>
        <v>25000</v>
      </c>
      <c r="AR296" s="295">
        <v>10000</v>
      </c>
      <c r="AS296" s="295">
        <v>9000</v>
      </c>
      <c r="AT296" s="316"/>
    </row>
    <row r="297" spans="1:46" s="265" customFormat="1" ht="47.25" customHeight="1">
      <c r="A297" s="298">
        <v>19</v>
      </c>
      <c r="B297" s="314" t="s">
        <v>732</v>
      </c>
      <c r="C297" s="300" t="s">
        <v>714</v>
      </c>
      <c r="D297" s="300" t="s">
        <v>679</v>
      </c>
      <c r="E297" s="300"/>
      <c r="F297" s="312" t="s">
        <v>727</v>
      </c>
      <c r="G297" s="300" t="s">
        <v>733</v>
      </c>
      <c r="H297" s="295">
        <v>29565</v>
      </c>
      <c r="I297" s="295"/>
      <c r="J297" s="295">
        <f t="shared" si="147"/>
        <v>0</v>
      </c>
      <c r="K297" s="295"/>
      <c r="L297" s="295"/>
      <c r="M297" s="295"/>
      <c r="N297" s="295"/>
      <c r="O297" s="295">
        <f t="shared" si="148"/>
        <v>0</v>
      </c>
      <c r="P297" s="295"/>
      <c r="Q297" s="295"/>
      <c r="R297" s="295"/>
      <c r="S297" s="295"/>
      <c r="T297" s="295">
        <f t="shared" si="149"/>
        <v>0</v>
      </c>
      <c r="U297" s="295">
        <f t="shared" si="149"/>
        <v>0</v>
      </c>
      <c r="V297" s="295"/>
      <c r="W297" s="295"/>
      <c r="X297" s="295"/>
      <c r="Y297" s="295"/>
      <c r="Z297" s="295"/>
      <c r="AA297" s="295"/>
      <c r="AB297" s="295"/>
      <c r="AC297" s="295"/>
      <c r="AD297" s="295"/>
      <c r="AE297" s="295"/>
      <c r="AF297" s="295">
        <v>8000</v>
      </c>
      <c r="AG297" s="295">
        <v>202</v>
      </c>
      <c r="AH297" s="295">
        <f t="shared" si="145"/>
        <v>12000</v>
      </c>
      <c r="AI297" s="295">
        <v>12000</v>
      </c>
      <c r="AJ297" s="295">
        <f t="shared" si="150"/>
        <v>0</v>
      </c>
      <c r="AK297" s="295"/>
      <c r="AL297" s="285">
        <f t="shared" si="139"/>
        <v>12000</v>
      </c>
      <c r="AM297" s="295">
        <f t="shared" si="140"/>
        <v>8000</v>
      </c>
      <c r="AN297" s="295">
        <f t="shared" si="140"/>
        <v>202</v>
      </c>
      <c r="AO297" s="295">
        <f t="shared" si="141"/>
        <v>8000</v>
      </c>
      <c r="AP297" s="295">
        <f t="shared" si="142"/>
        <v>4000</v>
      </c>
      <c r="AQ297" s="285">
        <f t="shared" si="143"/>
        <v>4000</v>
      </c>
      <c r="AR297" s="295">
        <v>8000</v>
      </c>
      <c r="AS297" s="295">
        <v>3000</v>
      </c>
      <c r="AT297" s="316"/>
    </row>
    <row r="298" spans="1:46" s="265" customFormat="1" ht="47.25" customHeight="1">
      <c r="A298" s="298">
        <v>20</v>
      </c>
      <c r="B298" s="314" t="s">
        <v>1213</v>
      </c>
      <c r="C298" s="300" t="s">
        <v>663</v>
      </c>
      <c r="D298" s="300" t="s">
        <v>700</v>
      </c>
      <c r="E298" s="300"/>
      <c r="F298" s="312" t="s">
        <v>727</v>
      </c>
      <c r="G298" s="303" t="s">
        <v>1202</v>
      </c>
      <c r="H298" s="295">
        <v>37958</v>
      </c>
      <c r="I298" s="295"/>
      <c r="J298" s="295">
        <f t="shared" si="147"/>
        <v>0</v>
      </c>
      <c r="K298" s="295"/>
      <c r="L298" s="295"/>
      <c r="M298" s="295"/>
      <c r="N298" s="295"/>
      <c r="O298" s="295">
        <f t="shared" si="148"/>
        <v>0</v>
      </c>
      <c r="P298" s="295"/>
      <c r="Q298" s="295"/>
      <c r="R298" s="295"/>
      <c r="S298" s="295"/>
      <c r="T298" s="295">
        <f t="shared" si="149"/>
        <v>0</v>
      </c>
      <c r="U298" s="295">
        <f t="shared" si="149"/>
        <v>0</v>
      </c>
      <c r="V298" s="295"/>
      <c r="W298" s="295"/>
      <c r="X298" s="295"/>
      <c r="Y298" s="295"/>
      <c r="Z298" s="295"/>
      <c r="AA298" s="295"/>
      <c r="AB298" s="295"/>
      <c r="AC298" s="295"/>
      <c r="AD298" s="295"/>
      <c r="AE298" s="295"/>
      <c r="AF298" s="295">
        <v>10000</v>
      </c>
      <c r="AG298" s="295">
        <v>10000</v>
      </c>
      <c r="AH298" s="295">
        <f t="shared" si="145"/>
        <v>35000</v>
      </c>
      <c r="AI298" s="295">
        <v>25000</v>
      </c>
      <c r="AJ298" s="295">
        <f t="shared" si="150"/>
        <v>0</v>
      </c>
      <c r="AK298" s="295">
        <v>10000</v>
      </c>
      <c r="AL298" s="285">
        <f t="shared" si="139"/>
        <v>25000</v>
      </c>
      <c r="AM298" s="295">
        <f t="shared" si="140"/>
        <v>10000</v>
      </c>
      <c r="AN298" s="295">
        <f t="shared" si="140"/>
        <v>10000</v>
      </c>
      <c r="AO298" s="295">
        <f t="shared" si="141"/>
        <v>10000</v>
      </c>
      <c r="AP298" s="295">
        <f t="shared" si="142"/>
        <v>25000</v>
      </c>
      <c r="AQ298" s="285">
        <f t="shared" si="143"/>
        <v>15000</v>
      </c>
      <c r="AR298" s="295">
        <v>10000</v>
      </c>
      <c r="AS298" s="295">
        <v>12000</v>
      </c>
      <c r="AT298" s="385"/>
    </row>
    <row r="299" spans="1:46" s="265" customFormat="1" ht="47.25" customHeight="1">
      <c r="A299" s="298">
        <v>21</v>
      </c>
      <c r="B299" s="314" t="s">
        <v>1214</v>
      </c>
      <c r="C299" s="300" t="s">
        <v>726</v>
      </c>
      <c r="D299" s="300" t="s">
        <v>726</v>
      </c>
      <c r="E299" s="300"/>
      <c r="F299" s="312" t="s">
        <v>727</v>
      </c>
      <c r="G299" s="300" t="s">
        <v>1215</v>
      </c>
      <c r="H299" s="295">
        <v>18509</v>
      </c>
      <c r="I299" s="295"/>
      <c r="J299" s="295">
        <f t="shared" si="147"/>
        <v>0</v>
      </c>
      <c r="K299" s="295"/>
      <c r="L299" s="295"/>
      <c r="M299" s="295"/>
      <c r="N299" s="295"/>
      <c r="O299" s="295">
        <f t="shared" si="148"/>
        <v>0</v>
      </c>
      <c r="P299" s="295"/>
      <c r="Q299" s="295"/>
      <c r="R299" s="295"/>
      <c r="S299" s="295"/>
      <c r="T299" s="295">
        <f t="shared" si="149"/>
        <v>0</v>
      </c>
      <c r="U299" s="295">
        <f t="shared" si="149"/>
        <v>0</v>
      </c>
      <c r="V299" s="295"/>
      <c r="W299" s="295"/>
      <c r="X299" s="295"/>
      <c r="Y299" s="295"/>
      <c r="Z299" s="295"/>
      <c r="AA299" s="295"/>
      <c r="AB299" s="295"/>
      <c r="AC299" s="295"/>
      <c r="AD299" s="295"/>
      <c r="AE299" s="295"/>
      <c r="AF299" s="295">
        <v>8000</v>
      </c>
      <c r="AG299" s="295"/>
      <c r="AH299" s="295">
        <f t="shared" si="145"/>
        <v>18000</v>
      </c>
      <c r="AI299" s="295">
        <v>15000</v>
      </c>
      <c r="AJ299" s="295">
        <f t="shared" si="150"/>
        <v>0</v>
      </c>
      <c r="AK299" s="295">
        <v>3000</v>
      </c>
      <c r="AL299" s="285">
        <f t="shared" si="139"/>
        <v>15000</v>
      </c>
      <c r="AM299" s="295">
        <f t="shared" si="140"/>
        <v>8000</v>
      </c>
      <c r="AN299" s="295">
        <f t="shared" si="140"/>
        <v>0</v>
      </c>
      <c r="AO299" s="295">
        <f t="shared" si="141"/>
        <v>8000</v>
      </c>
      <c r="AP299" s="295">
        <f t="shared" si="142"/>
        <v>10000</v>
      </c>
      <c r="AQ299" s="285">
        <f t="shared" si="143"/>
        <v>7000</v>
      </c>
      <c r="AR299" s="295">
        <v>8000</v>
      </c>
      <c r="AS299" s="295">
        <v>4000</v>
      </c>
      <c r="AT299" s="316"/>
    </row>
    <row r="300" spans="1:46" s="265" customFormat="1" ht="47.25" customHeight="1">
      <c r="A300" s="298">
        <v>22</v>
      </c>
      <c r="B300" s="314" t="s">
        <v>1216</v>
      </c>
      <c r="C300" s="300" t="s">
        <v>1217</v>
      </c>
      <c r="D300" s="300" t="s">
        <v>675</v>
      </c>
      <c r="E300" s="300"/>
      <c r="F300" s="312" t="s">
        <v>727</v>
      </c>
      <c r="G300" s="300"/>
      <c r="H300" s="345">
        <v>15000</v>
      </c>
      <c r="I300" s="345"/>
      <c r="J300" s="295">
        <f t="shared" si="147"/>
        <v>0</v>
      </c>
      <c r="K300" s="295"/>
      <c r="L300" s="295"/>
      <c r="M300" s="295"/>
      <c r="N300" s="295"/>
      <c r="O300" s="295">
        <f t="shared" si="148"/>
        <v>0</v>
      </c>
      <c r="P300" s="295"/>
      <c r="Q300" s="295"/>
      <c r="R300" s="295"/>
      <c r="S300" s="295"/>
      <c r="T300" s="295">
        <f t="shared" si="149"/>
        <v>0</v>
      </c>
      <c r="U300" s="295">
        <f t="shared" si="149"/>
        <v>0</v>
      </c>
      <c r="V300" s="295"/>
      <c r="W300" s="295"/>
      <c r="X300" s="295"/>
      <c r="Y300" s="295"/>
      <c r="Z300" s="295"/>
      <c r="AA300" s="295"/>
      <c r="AB300" s="295"/>
      <c r="AC300" s="295"/>
      <c r="AD300" s="295"/>
      <c r="AE300" s="295"/>
      <c r="AF300" s="295">
        <v>6500</v>
      </c>
      <c r="AG300" s="295"/>
      <c r="AH300" s="295">
        <f t="shared" si="145"/>
        <v>13500</v>
      </c>
      <c r="AI300" s="295">
        <v>13500</v>
      </c>
      <c r="AJ300" s="295">
        <f t="shared" si="150"/>
        <v>0</v>
      </c>
      <c r="AK300" s="295"/>
      <c r="AL300" s="285">
        <f t="shared" si="139"/>
        <v>13500</v>
      </c>
      <c r="AM300" s="295">
        <f t="shared" si="140"/>
        <v>6500</v>
      </c>
      <c r="AN300" s="295">
        <f t="shared" si="140"/>
        <v>0</v>
      </c>
      <c r="AO300" s="295">
        <f t="shared" si="141"/>
        <v>6500</v>
      </c>
      <c r="AP300" s="295">
        <f t="shared" si="142"/>
        <v>7000</v>
      </c>
      <c r="AQ300" s="285">
        <f t="shared" si="143"/>
        <v>7000</v>
      </c>
      <c r="AR300" s="295">
        <v>6500</v>
      </c>
      <c r="AS300" s="295">
        <v>4000</v>
      </c>
      <c r="AT300" s="316"/>
    </row>
    <row r="301" spans="1:46" s="265" customFormat="1" ht="47.25" customHeight="1">
      <c r="A301" s="298">
        <v>23</v>
      </c>
      <c r="B301" s="314" t="s">
        <v>1218</v>
      </c>
      <c r="C301" s="300" t="s">
        <v>675</v>
      </c>
      <c r="D301" s="300" t="s">
        <v>675</v>
      </c>
      <c r="E301" s="300"/>
      <c r="F301" s="312" t="s">
        <v>727</v>
      </c>
      <c r="G301" s="300"/>
      <c r="H301" s="345">
        <v>25484</v>
      </c>
      <c r="I301" s="345"/>
      <c r="J301" s="295">
        <f t="shared" si="147"/>
        <v>0</v>
      </c>
      <c r="K301" s="295"/>
      <c r="L301" s="295"/>
      <c r="M301" s="295"/>
      <c r="N301" s="295"/>
      <c r="O301" s="295">
        <f t="shared" si="148"/>
        <v>0</v>
      </c>
      <c r="P301" s="295"/>
      <c r="Q301" s="295"/>
      <c r="R301" s="295"/>
      <c r="S301" s="295"/>
      <c r="T301" s="295">
        <f t="shared" si="149"/>
        <v>0</v>
      </c>
      <c r="U301" s="295">
        <f t="shared" si="149"/>
        <v>0</v>
      </c>
      <c r="V301" s="295"/>
      <c r="W301" s="295"/>
      <c r="X301" s="295"/>
      <c r="Y301" s="295"/>
      <c r="Z301" s="295"/>
      <c r="AA301" s="295"/>
      <c r="AB301" s="295"/>
      <c r="AC301" s="295"/>
      <c r="AD301" s="295"/>
      <c r="AE301" s="295"/>
      <c r="AF301" s="295">
        <v>10000</v>
      </c>
      <c r="AG301" s="295"/>
      <c r="AH301" s="295">
        <f t="shared" si="145"/>
        <v>24000</v>
      </c>
      <c r="AI301" s="295">
        <v>24000</v>
      </c>
      <c r="AJ301" s="295">
        <f t="shared" si="150"/>
        <v>0</v>
      </c>
      <c r="AK301" s="295"/>
      <c r="AL301" s="285">
        <f t="shared" si="139"/>
        <v>24000</v>
      </c>
      <c r="AM301" s="295">
        <f t="shared" si="140"/>
        <v>10000</v>
      </c>
      <c r="AN301" s="295">
        <f t="shared" si="140"/>
        <v>0</v>
      </c>
      <c r="AO301" s="295">
        <f t="shared" si="141"/>
        <v>10000</v>
      </c>
      <c r="AP301" s="295">
        <f t="shared" si="142"/>
        <v>14000</v>
      </c>
      <c r="AQ301" s="285">
        <f t="shared" si="143"/>
        <v>14000</v>
      </c>
      <c r="AR301" s="295">
        <v>10000</v>
      </c>
      <c r="AS301" s="295">
        <v>6500</v>
      </c>
      <c r="AT301" s="318"/>
    </row>
    <row r="302" spans="1:46" s="265" customFormat="1" ht="47.25" customHeight="1">
      <c r="A302" s="298">
        <v>24</v>
      </c>
      <c r="B302" s="314" t="s">
        <v>1219</v>
      </c>
      <c r="C302" s="300" t="s">
        <v>705</v>
      </c>
      <c r="D302" s="300" t="s">
        <v>705</v>
      </c>
      <c r="E302" s="300"/>
      <c r="F302" s="312" t="s">
        <v>727</v>
      </c>
      <c r="G302" s="307" t="s">
        <v>1220</v>
      </c>
      <c r="H302" s="345">
        <v>13491</v>
      </c>
      <c r="I302" s="295"/>
      <c r="J302" s="295">
        <f t="shared" si="147"/>
        <v>0</v>
      </c>
      <c r="K302" s="295"/>
      <c r="L302" s="295"/>
      <c r="M302" s="295"/>
      <c r="N302" s="295"/>
      <c r="O302" s="295">
        <f t="shared" si="148"/>
        <v>0</v>
      </c>
      <c r="P302" s="295"/>
      <c r="Q302" s="295"/>
      <c r="R302" s="295"/>
      <c r="S302" s="295"/>
      <c r="T302" s="295">
        <f t="shared" si="149"/>
        <v>0</v>
      </c>
      <c r="U302" s="295">
        <f t="shared" si="149"/>
        <v>0</v>
      </c>
      <c r="V302" s="295"/>
      <c r="W302" s="295"/>
      <c r="X302" s="295"/>
      <c r="Y302" s="295"/>
      <c r="Z302" s="295"/>
      <c r="AA302" s="295"/>
      <c r="AB302" s="295"/>
      <c r="AC302" s="295"/>
      <c r="AD302" s="295"/>
      <c r="AE302" s="295"/>
      <c r="AF302" s="295">
        <v>5000</v>
      </c>
      <c r="AG302" s="295">
        <v>476</v>
      </c>
      <c r="AH302" s="295">
        <f t="shared" si="145"/>
        <v>12500</v>
      </c>
      <c r="AI302" s="295">
        <v>12500</v>
      </c>
      <c r="AJ302" s="295">
        <f t="shared" si="150"/>
        <v>0</v>
      </c>
      <c r="AK302" s="295"/>
      <c r="AL302" s="285">
        <f t="shared" si="139"/>
        <v>12500</v>
      </c>
      <c r="AM302" s="295">
        <f t="shared" si="140"/>
        <v>5000</v>
      </c>
      <c r="AN302" s="295">
        <f t="shared" si="140"/>
        <v>476</v>
      </c>
      <c r="AO302" s="295">
        <f t="shared" si="141"/>
        <v>5000</v>
      </c>
      <c r="AP302" s="295">
        <f t="shared" si="142"/>
        <v>7500</v>
      </c>
      <c r="AQ302" s="285">
        <f t="shared" si="143"/>
        <v>7500</v>
      </c>
      <c r="AR302" s="295">
        <v>5000</v>
      </c>
      <c r="AS302" s="295">
        <v>5000</v>
      </c>
      <c r="AT302" s="313"/>
    </row>
    <row r="303" spans="1:46" s="265" customFormat="1" ht="47.25" customHeight="1">
      <c r="A303" s="298">
        <v>25</v>
      </c>
      <c r="B303" s="314" t="s">
        <v>1221</v>
      </c>
      <c r="C303" s="300" t="s">
        <v>669</v>
      </c>
      <c r="D303" s="300" t="s">
        <v>669</v>
      </c>
      <c r="E303" s="300"/>
      <c r="F303" s="312" t="s">
        <v>727</v>
      </c>
      <c r="G303" s="300" t="s">
        <v>1222</v>
      </c>
      <c r="H303" s="345">
        <v>14506</v>
      </c>
      <c r="I303" s="345"/>
      <c r="J303" s="295"/>
      <c r="K303" s="295"/>
      <c r="L303" s="295"/>
      <c r="M303" s="295"/>
      <c r="N303" s="295"/>
      <c r="O303" s="295">
        <f t="shared" si="148"/>
        <v>0</v>
      </c>
      <c r="P303" s="295"/>
      <c r="Q303" s="295"/>
      <c r="R303" s="295"/>
      <c r="S303" s="295"/>
      <c r="T303" s="295"/>
      <c r="U303" s="295">
        <f t="shared" si="149"/>
        <v>0</v>
      </c>
      <c r="V303" s="295"/>
      <c r="W303" s="295"/>
      <c r="X303" s="295"/>
      <c r="Y303" s="295"/>
      <c r="Z303" s="295"/>
      <c r="AA303" s="295"/>
      <c r="AB303" s="295"/>
      <c r="AC303" s="295"/>
      <c r="AD303" s="295"/>
      <c r="AE303" s="295"/>
      <c r="AF303" s="295">
        <v>6000</v>
      </c>
      <c r="AG303" s="295">
        <v>269</v>
      </c>
      <c r="AH303" s="295">
        <f t="shared" si="145"/>
        <v>12500</v>
      </c>
      <c r="AI303" s="295">
        <v>12500</v>
      </c>
      <c r="AJ303" s="295"/>
      <c r="AK303" s="295"/>
      <c r="AL303" s="285">
        <f t="shared" si="139"/>
        <v>12500</v>
      </c>
      <c r="AM303" s="295">
        <f t="shared" si="140"/>
        <v>6000</v>
      </c>
      <c r="AN303" s="295">
        <f t="shared" si="140"/>
        <v>269</v>
      </c>
      <c r="AO303" s="295">
        <f t="shared" si="141"/>
        <v>6000</v>
      </c>
      <c r="AP303" s="295">
        <f t="shared" si="142"/>
        <v>6500</v>
      </c>
      <c r="AQ303" s="285">
        <f t="shared" si="143"/>
        <v>6500</v>
      </c>
      <c r="AR303" s="295">
        <v>6000</v>
      </c>
      <c r="AS303" s="295">
        <v>4500</v>
      </c>
      <c r="AT303" s="313"/>
    </row>
    <row r="304" spans="1:46" s="265" customFormat="1" ht="47.25" customHeight="1">
      <c r="A304" s="298">
        <v>26</v>
      </c>
      <c r="B304" s="314" t="s">
        <v>1223</v>
      </c>
      <c r="C304" s="300" t="s">
        <v>700</v>
      </c>
      <c r="D304" s="300" t="s">
        <v>700</v>
      </c>
      <c r="E304" s="300"/>
      <c r="F304" s="312" t="s">
        <v>727</v>
      </c>
      <c r="G304" s="300" t="s">
        <v>1224</v>
      </c>
      <c r="H304" s="345">
        <v>26963</v>
      </c>
      <c r="I304" s="295"/>
      <c r="J304" s="295">
        <f>I304*90%</f>
        <v>0</v>
      </c>
      <c r="K304" s="295"/>
      <c r="L304" s="295"/>
      <c r="M304" s="295"/>
      <c r="N304" s="295"/>
      <c r="O304" s="295">
        <f t="shared" si="148"/>
        <v>0</v>
      </c>
      <c r="P304" s="295"/>
      <c r="Q304" s="295"/>
      <c r="R304" s="295"/>
      <c r="S304" s="295"/>
      <c r="T304" s="295">
        <f>V304+X304+Z304+AB304+AD304</f>
        <v>0</v>
      </c>
      <c r="U304" s="295">
        <f t="shared" si="149"/>
        <v>0</v>
      </c>
      <c r="V304" s="295"/>
      <c r="W304" s="295"/>
      <c r="X304" s="295"/>
      <c r="Y304" s="295"/>
      <c r="Z304" s="295"/>
      <c r="AA304" s="295"/>
      <c r="AB304" s="295"/>
      <c r="AC304" s="295"/>
      <c r="AD304" s="295"/>
      <c r="AE304" s="295"/>
      <c r="AF304" s="295">
        <v>7000</v>
      </c>
      <c r="AG304" s="295">
        <v>3610</v>
      </c>
      <c r="AH304" s="295">
        <f t="shared" si="145"/>
        <v>20000</v>
      </c>
      <c r="AI304" s="295">
        <v>15000</v>
      </c>
      <c r="AJ304" s="295">
        <f>R304+X304+Z304+AB304+AD304</f>
        <v>0</v>
      </c>
      <c r="AK304" s="295">
        <v>5000</v>
      </c>
      <c r="AL304" s="285">
        <f t="shared" si="139"/>
        <v>15000</v>
      </c>
      <c r="AM304" s="295">
        <f t="shared" si="140"/>
        <v>7000</v>
      </c>
      <c r="AN304" s="295">
        <f t="shared" si="140"/>
        <v>3610</v>
      </c>
      <c r="AO304" s="295">
        <f t="shared" si="141"/>
        <v>7000</v>
      </c>
      <c r="AP304" s="295">
        <f t="shared" si="142"/>
        <v>13000</v>
      </c>
      <c r="AQ304" s="285">
        <f t="shared" si="143"/>
        <v>8000</v>
      </c>
      <c r="AR304" s="295">
        <v>7000</v>
      </c>
      <c r="AS304" s="295">
        <v>4000</v>
      </c>
      <c r="AT304" s="310"/>
    </row>
    <row r="305" spans="1:47" s="265" customFormat="1" ht="47.25" customHeight="1">
      <c r="A305" s="298">
        <v>27</v>
      </c>
      <c r="B305" s="314" t="s">
        <v>1225</v>
      </c>
      <c r="C305" s="300" t="s">
        <v>675</v>
      </c>
      <c r="D305" s="300" t="s">
        <v>675</v>
      </c>
      <c r="E305" s="300"/>
      <c r="F305" s="312" t="s">
        <v>727</v>
      </c>
      <c r="G305" s="300" t="s">
        <v>1226</v>
      </c>
      <c r="H305" s="345">
        <v>3009.0513980000001</v>
      </c>
      <c r="I305" s="345"/>
      <c r="J305" s="295">
        <f>I305*90%</f>
        <v>0</v>
      </c>
      <c r="K305" s="295"/>
      <c r="L305" s="295"/>
      <c r="M305" s="295"/>
      <c r="N305" s="295"/>
      <c r="O305" s="295">
        <f t="shared" si="148"/>
        <v>0</v>
      </c>
      <c r="P305" s="295"/>
      <c r="Q305" s="295"/>
      <c r="R305" s="295"/>
      <c r="S305" s="295"/>
      <c r="T305" s="295">
        <f>V305+X305+Z305+AB305+AD305</f>
        <v>0</v>
      </c>
      <c r="U305" s="295">
        <f t="shared" si="149"/>
        <v>0</v>
      </c>
      <c r="V305" s="295"/>
      <c r="W305" s="295"/>
      <c r="X305" s="295"/>
      <c r="Y305" s="295"/>
      <c r="Z305" s="295"/>
      <c r="AA305" s="295"/>
      <c r="AB305" s="295"/>
      <c r="AC305" s="295"/>
      <c r="AD305" s="295"/>
      <c r="AE305" s="295"/>
      <c r="AF305" s="295">
        <v>2500</v>
      </c>
      <c r="AG305" s="295"/>
      <c r="AH305" s="295">
        <f t="shared" si="145"/>
        <v>3000</v>
      </c>
      <c r="AI305" s="295">
        <v>3000</v>
      </c>
      <c r="AJ305" s="295">
        <f>R305+X305+Z305+AB305+AD305</f>
        <v>0</v>
      </c>
      <c r="AK305" s="295"/>
      <c r="AL305" s="285">
        <f t="shared" si="139"/>
        <v>3000</v>
      </c>
      <c r="AM305" s="295">
        <f t="shared" si="140"/>
        <v>2500</v>
      </c>
      <c r="AN305" s="295">
        <f t="shared" si="140"/>
        <v>0</v>
      </c>
      <c r="AO305" s="295">
        <f t="shared" si="141"/>
        <v>2500</v>
      </c>
      <c r="AP305" s="295">
        <f t="shared" si="142"/>
        <v>500</v>
      </c>
      <c r="AQ305" s="285">
        <f t="shared" si="143"/>
        <v>500</v>
      </c>
      <c r="AR305" s="295">
        <v>2500</v>
      </c>
      <c r="AS305" s="295">
        <v>500</v>
      </c>
      <c r="AT305" s="318"/>
      <c r="AU305" s="318" t="s">
        <v>1227</v>
      </c>
    </row>
    <row r="306" spans="1:47" s="265" customFormat="1" ht="47.25" customHeight="1">
      <c r="A306" s="298">
        <v>28</v>
      </c>
      <c r="B306" s="314" t="s">
        <v>1228</v>
      </c>
      <c r="C306" s="300" t="s">
        <v>744</v>
      </c>
      <c r="D306" s="300" t="s">
        <v>744</v>
      </c>
      <c r="E306" s="300"/>
      <c r="F306" s="312" t="s">
        <v>745</v>
      </c>
      <c r="G306" s="300" t="s">
        <v>1229</v>
      </c>
      <c r="H306" s="295">
        <v>33708</v>
      </c>
      <c r="I306" s="295"/>
      <c r="J306" s="295">
        <f>I306*90%</f>
        <v>0</v>
      </c>
      <c r="K306" s="295"/>
      <c r="L306" s="295">
        <v>20000</v>
      </c>
      <c r="M306" s="295">
        <v>20000</v>
      </c>
      <c r="N306" s="295">
        <f>P306+R306</f>
        <v>0</v>
      </c>
      <c r="O306" s="295">
        <f>Q306+S306</f>
        <v>0</v>
      </c>
      <c r="P306" s="295"/>
      <c r="Q306" s="295"/>
      <c r="R306" s="295"/>
      <c r="S306" s="295"/>
      <c r="T306" s="295">
        <f>V306+X306+Z306+AB306+AD306</f>
        <v>0</v>
      </c>
      <c r="U306" s="295">
        <f>W306+Y306+AA306+AC306+AE306</f>
        <v>0</v>
      </c>
      <c r="V306" s="295"/>
      <c r="W306" s="295"/>
      <c r="X306" s="295"/>
      <c r="Y306" s="295"/>
      <c r="Z306" s="295"/>
      <c r="AA306" s="295"/>
      <c r="AB306" s="295"/>
      <c r="AC306" s="295"/>
      <c r="AD306" s="295"/>
      <c r="AE306" s="295"/>
      <c r="AF306" s="295"/>
      <c r="AG306" s="295"/>
      <c r="AH306" s="295">
        <f>AI306+AJ306+AK306</f>
        <v>30000</v>
      </c>
      <c r="AI306" s="295">
        <v>30000</v>
      </c>
      <c r="AJ306" s="295">
        <f>R306+X306+Z306+AB306+AD306</f>
        <v>0</v>
      </c>
      <c r="AK306" s="295"/>
      <c r="AL306" s="285">
        <f t="shared" si="139"/>
        <v>30000</v>
      </c>
      <c r="AM306" s="295">
        <f>N306+T306+AF306</f>
        <v>0</v>
      </c>
      <c r="AN306" s="295">
        <f>O306+U306+AG306</f>
        <v>0</v>
      </c>
      <c r="AO306" s="285">
        <f t="shared" si="141"/>
        <v>0</v>
      </c>
      <c r="AP306" s="295">
        <f>AH306-AM306</f>
        <v>30000</v>
      </c>
      <c r="AQ306" s="285">
        <f>AP306-AK306</f>
        <v>30000</v>
      </c>
      <c r="AR306" s="295">
        <v>0</v>
      </c>
      <c r="AS306" s="295">
        <v>10000</v>
      </c>
      <c r="AT306" s="313"/>
    </row>
    <row r="307" spans="1:47" s="265" customFormat="1" ht="47.25" customHeight="1">
      <c r="A307" s="290" t="s">
        <v>340</v>
      </c>
      <c r="B307" s="297" t="s">
        <v>682</v>
      </c>
      <c r="C307" s="292"/>
      <c r="D307" s="279"/>
      <c r="E307" s="293"/>
      <c r="F307" s="279"/>
      <c r="G307" s="294"/>
      <c r="H307" s="285">
        <f t="shared" ref="H307:AR307" si="151">SUM(H308:H328)</f>
        <v>407094</v>
      </c>
      <c r="I307" s="285">
        <f t="shared" si="151"/>
        <v>0</v>
      </c>
      <c r="J307" s="285">
        <f t="shared" si="151"/>
        <v>0</v>
      </c>
      <c r="K307" s="285">
        <f t="shared" si="151"/>
        <v>0</v>
      </c>
      <c r="L307" s="285">
        <f t="shared" si="151"/>
        <v>97000</v>
      </c>
      <c r="M307" s="285">
        <f t="shared" si="151"/>
        <v>97000</v>
      </c>
      <c r="N307" s="285">
        <f t="shared" si="151"/>
        <v>9500</v>
      </c>
      <c r="O307" s="285">
        <f t="shared" si="151"/>
        <v>5612</v>
      </c>
      <c r="P307" s="285">
        <f t="shared" si="151"/>
        <v>9500</v>
      </c>
      <c r="Q307" s="285">
        <f t="shared" si="151"/>
        <v>5612</v>
      </c>
      <c r="R307" s="285">
        <f t="shared" si="151"/>
        <v>0</v>
      </c>
      <c r="S307" s="285">
        <f t="shared" si="151"/>
        <v>0</v>
      </c>
      <c r="T307" s="285">
        <f t="shared" si="151"/>
        <v>34488</v>
      </c>
      <c r="U307" s="285">
        <f t="shared" si="151"/>
        <v>33131</v>
      </c>
      <c r="V307" s="285">
        <f t="shared" si="151"/>
        <v>26930</v>
      </c>
      <c r="W307" s="285">
        <f t="shared" si="151"/>
        <v>25574</v>
      </c>
      <c r="X307" s="285">
        <f t="shared" si="151"/>
        <v>7558</v>
      </c>
      <c r="Y307" s="285">
        <f t="shared" si="151"/>
        <v>7557</v>
      </c>
      <c r="Z307" s="285">
        <f t="shared" si="151"/>
        <v>0</v>
      </c>
      <c r="AA307" s="285">
        <f t="shared" si="151"/>
        <v>0</v>
      </c>
      <c r="AB307" s="285">
        <f t="shared" si="151"/>
        <v>0</v>
      </c>
      <c r="AC307" s="285">
        <f t="shared" si="151"/>
        <v>0</v>
      </c>
      <c r="AD307" s="285">
        <f t="shared" si="151"/>
        <v>0</v>
      </c>
      <c r="AE307" s="285">
        <f t="shared" si="151"/>
        <v>0</v>
      </c>
      <c r="AF307" s="285">
        <f t="shared" si="151"/>
        <v>20000</v>
      </c>
      <c r="AG307" s="285">
        <f t="shared" si="151"/>
        <v>11368</v>
      </c>
      <c r="AH307" s="285">
        <f t="shared" si="151"/>
        <v>148058</v>
      </c>
      <c r="AI307" s="285">
        <f t="shared" si="151"/>
        <v>103500</v>
      </c>
      <c r="AJ307" s="285">
        <f t="shared" si="151"/>
        <v>7558</v>
      </c>
      <c r="AK307" s="285">
        <f t="shared" si="151"/>
        <v>37000</v>
      </c>
      <c r="AL307" s="285">
        <f t="shared" si="151"/>
        <v>111058</v>
      </c>
      <c r="AM307" s="285">
        <f t="shared" si="151"/>
        <v>63988</v>
      </c>
      <c r="AN307" s="285">
        <f t="shared" si="151"/>
        <v>50111</v>
      </c>
      <c r="AO307" s="285">
        <f t="shared" si="151"/>
        <v>63988</v>
      </c>
      <c r="AP307" s="285">
        <f t="shared" si="151"/>
        <v>84070</v>
      </c>
      <c r="AQ307" s="285">
        <f t="shared" si="151"/>
        <v>51500</v>
      </c>
      <c r="AR307" s="285">
        <f t="shared" si="151"/>
        <v>0</v>
      </c>
      <c r="AS307" s="285">
        <f>SUM(AS308:AS328)</f>
        <v>149000</v>
      </c>
      <c r="AT307" s="296"/>
    </row>
    <row r="308" spans="1:47" s="265" customFormat="1" ht="47.25" customHeight="1">
      <c r="A308" s="298">
        <v>1</v>
      </c>
      <c r="B308" s="314" t="s">
        <v>1230</v>
      </c>
      <c r="C308" s="300" t="s">
        <v>714</v>
      </c>
      <c r="D308" s="300" t="s">
        <v>689</v>
      </c>
      <c r="E308" s="300" t="s">
        <v>1231</v>
      </c>
      <c r="F308" s="312" t="s">
        <v>1232</v>
      </c>
      <c r="G308" s="300"/>
      <c r="H308" s="295">
        <v>54948</v>
      </c>
      <c r="I308" s="295"/>
      <c r="J308" s="295">
        <f>I308*90%</f>
        <v>0</v>
      </c>
      <c r="K308" s="295"/>
      <c r="L308" s="295">
        <v>20000</v>
      </c>
      <c r="M308" s="295">
        <v>20000</v>
      </c>
      <c r="N308" s="295">
        <f t="shared" ref="N308:O310" si="152">P308+R308</f>
        <v>0</v>
      </c>
      <c r="O308" s="295">
        <f t="shared" si="152"/>
        <v>0</v>
      </c>
      <c r="P308" s="295"/>
      <c r="Q308" s="295"/>
      <c r="R308" s="295"/>
      <c r="S308" s="295"/>
      <c r="T308" s="295">
        <f t="shared" ref="T308:U312" si="153">V308+X308+Z308+AB308+AD308</f>
        <v>0</v>
      </c>
      <c r="U308" s="295">
        <f t="shared" si="153"/>
        <v>0</v>
      </c>
      <c r="V308" s="295"/>
      <c r="W308" s="295"/>
      <c r="X308" s="295"/>
      <c r="Y308" s="295"/>
      <c r="Z308" s="295"/>
      <c r="AA308" s="295"/>
      <c r="AB308" s="295"/>
      <c r="AC308" s="295"/>
      <c r="AD308" s="295"/>
      <c r="AE308" s="295"/>
      <c r="AF308" s="295"/>
      <c r="AG308" s="295"/>
      <c r="AH308" s="295">
        <f>AI308+AJ308+AK308</f>
        <v>20000</v>
      </c>
      <c r="AI308" s="295">
        <v>20000</v>
      </c>
      <c r="AJ308" s="295">
        <f>R308+X308+Z308+AB308+AD308</f>
        <v>0</v>
      </c>
      <c r="AK308" s="295"/>
      <c r="AL308" s="285">
        <f t="shared" ref="AL308:AL372" si="154">AI308+AJ308</f>
        <v>20000</v>
      </c>
      <c r="AM308" s="295">
        <f t="shared" ref="AM308:AN312" si="155">N308+T308+AF308</f>
        <v>0</v>
      </c>
      <c r="AN308" s="295">
        <f t="shared" si="155"/>
        <v>0</v>
      </c>
      <c r="AO308" s="285">
        <f t="shared" ref="AO308:AO372" si="156">K308+AM308</f>
        <v>0</v>
      </c>
      <c r="AP308" s="295">
        <f>AH308-AM308</f>
        <v>20000</v>
      </c>
      <c r="AQ308" s="285">
        <f>AP308-AK308</f>
        <v>20000</v>
      </c>
      <c r="AR308" s="295">
        <v>0</v>
      </c>
      <c r="AS308" s="295">
        <v>12000</v>
      </c>
      <c r="AT308" s="316"/>
    </row>
    <row r="309" spans="1:47" s="265" customFormat="1" ht="47.25" customHeight="1">
      <c r="A309" s="298">
        <v>2</v>
      </c>
      <c r="B309" s="314" t="s">
        <v>1233</v>
      </c>
      <c r="C309" s="300" t="s">
        <v>705</v>
      </c>
      <c r="D309" s="300" t="s">
        <v>705</v>
      </c>
      <c r="E309" s="300"/>
      <c r="F309" s="312" t="s">
        <v>727</v>
      </c>
      <c r="G309" s="300" t="s">
        <v>1234</v>
      </c>
      <c r="H309" s="295">
        <v>12100</v>
      </c>
      <c r="I309" s="295"/>
      <c r="J309" s="295">
        <f>I309*90%</f>
        <v>0</v>
      </c>
      <c r="K309" s="295"/>
      <c r="L309" s="295">
        <v>9000</v>
      </c>
      <c r="M309" s="295">
        <v>9000</v>
      </c>
      <c r="N309" s="295">
        <f t="shared" si="152"/>
        <v>0</v>
      </c>
      <c r="O309" s="295">
        <f t="shared" si="152"/>
        <v>0</v>
      </c>
      <c r="P309" s="295"/>
      <c r="Q309" s="295"/>
      <c r="R309" s="295"/>
      <c r="S309" s="295"/>
      <c r="T309" s="295">
        <f t="shared" si="153"/>
        <v>0</v>
      </c>
      <c r="U309" s="295">
        <f t="shared" si="153"/>
        <v>0</v>
      </c>
      <c r="V309" s="295"/>
      <c r="W309" s="295"/>
      <c r="X309" s="295"/>
      <c r="Y309" s="295"/>
      <c r="Z309" s="295"/>
      <c r="AA309" s="295"/>
      <c r="AB309" s="295"/>
      <c r="AC309" s="295"/>
      <c r="AD309" s="295"/>
      <c r="AE309" s="295"/>
      <c r="AF309" s="295"/>
      <c r="AG309" s="295"/>
      <c r="AH309" s="295">
        <f>AI309+AJ309+AK309</f>
        <v>9000</v>
      </c>
      <c r="AI309" s="295">
        <v>9000</v>
      </c>
      <c r="AJ309" s="295">
        <f>R309+X309+Z309+AB309+AD309</f>
        <v>0</v>
      </c>
      <c r="AK309" s="295"/>
      <c r="AL309" s="285">
        <f t="shared" si="154"/>
        <v>9000</v>
      </c>
      <c r="AM309" s="295">
        <f t="shared" si="155"/>
        <v>0</v>
      </c>
      <c r="AN309" s="295">
        <f t="shared" si="155"/>
        <v>0</v>
      </c>
      <c r="AO309" s="285">
        <f t="shared" si="156"/>
        <v>0</v>
      </c>
      <c r="AP309" s="295">
        <f>AH309-AM309</f>
        <v>9000</v>
      </c>
      <c r="AQ309" s="285">
        <f>AP309-AK309</f>
        <v>9000</v>
      </c>
      <c r="AR309" s="295">
        <v>0</v>
      </c>
      <c r="AS309" s="295">
        <v>3500</v>
      </c>
      <c r="AT309" s="313"/>
    </row>
    <row r="310" spans="1:47" s="265" customFormat="1" ht="47.25" customHeight="1">
      <c r="A310" s="298">
        <v>3</v>
      </c>
      <c r="B310" s="314" t="s">
        <v>1235</v>
      </c>
      <c r="C310" s="300" t="s">
        <v>675</v>
      </c>
      <c r="D310" s="300" t="s">
        <v>675</v>
      </c>
      <c r="E310" s="300"/>
      <c r="F310" s="312" t="s">
        <v>727</v>
      </c>
      <c r="G310" s="300"/>
      <c r="H310" s="295">
        <v>9950</v>
      </c>
      <c r="I310" s="295"/>
      <c r="J310" s="295">
        <f>I310*90%</f>
        <v>0</v>
      </c>
      <c r="K310" s="295"/>
      <c r="L310" s="295">
        <v>8000</v>
      </c>
      <c r="M310" s="295">
        <v>8000</v>
      </c>
      <c r="N310" s="295">
        <f t="shared" si="152"/>
        <v>0</v>
      </c>
      <c r="O310" s="295">
        <f t="shared" si="152"/>
        <v>0</v>
      </c>
      <c r="P310" s="295"/>
      <c r="Q310" s="295"/>
      <c r="R310" s="295"/>
      <c r="S310" s="295"/>
      <c r="T310" s="295">
        <f t="shared" si="153"/>
        <v>0</v>
      </c>
      <c r="U310" s="295">
        <f t="shared" si="153"/>
        <v>0</v>
      </c>
      <c r="V310" s="295"/>
      <c r="W310" s="295"/>
      <c r="X310" s="295"/>
      <c r="Y310" s="295"/>
      <c r="Z310" s="295"/>
      <c r="AA310" s="295"/>
      <c r="AB310" s="295"/>
      <c r="AC310" s="295"/>
      <c r="AD310" s="295"/>
      <c r="AE310" s="295"/>
      <c r="AF310" s="295"/>
      <c r="AG310" s="295"/>
      <c r="AH310" s="295">
        <f>AI310+AJ310+AK310</f>
        <v>8000</v>
      </c>
      <c r="AI310" s="295">
        <v>8000</v>
      </c>
      <c r="AJ310" s="295">
        <f>R310+X310+Z310+AB310+AD310</f>
        <v>0</v>
      </c>
      <c r="AK310" s="295"/>
      <c r="AL310" s="285">
        <f t="shared" si="154"/>
        <v>8000</v>
      </c>
      <c r="AM310" s="295">
        <f t="shared" si="155"/>
        <v>0</v>
      </c>
      <c r="AN310" s="295">
        <f t="shared" si="155"/>
        <v>0</v>
      </c>
      <c r="AO310" s="285">
        <f t="shared" si="156"/>
        <v>0</v>
      </c>
      <c r="AP310" s="295">
        <f>AH310-AM310</f>
        <v>8000</v>
      </c>
      <c r="AQ310" s="285">
        <f>AP310-AK310</f>
        <v>8000</v>
      </c>
      <c r="AR310" s="295">
        <v>0</v>
      </c>
      <c r="AS310" s="295">
        <v>3000</v>
      </c>
      <c r="AT310" s="318"/>
    </row>
    <row r="311" spans="1:47" s="265" customFormat="1" ht="47.25" customHeight="1">
      <c r="A311" s="298">
        <v>4</v>
      </c>
      <c r="B311" s="305" t="s">
        <v>1236</v>
      </c>
      <c r="C311" s="300" t="s">
        <v>714</v>
      </c>
      <c r="D311" s="300" t="s">
        <v>689</v>
      </c>
      <c r="E311" s="300"/>
      <c r="F311" s="312" t="s">
        <v>727</v>
      </c>
      <c r="G311" s="300"/>
      <c r="H311" s="295">
        <v>16582</v>
      </c>
      <c r="I311" s="295"/>
      <c r="J311" s="295">
        <f>I311*90%</f>
        <v>0</v>
      </c>
      <c r="K311" s="295"/>
      <c r="L311" s="295"/>
      <c r="M311" s="295"/>
      <c r="N311" s="295"/>
      <c r="O311" s="295">
        <f>Q311+S311</f>
        <v>0</v>
      </c>
      <c r="P311" s="295"/>
      <c r="Q311" s="295"/>
      <c r="R311" s="295"/>
      <c r="S311" s="295"/>
      <c r="T311" s="295">
        <f>V311+X311+Z311+AB311+AD311</f>
        <v>0</v>
      </c>
      <c r="U311" s="295">
        <f t="shared" si="153"/>
        <v>0</v>
      </c>
      <c r="V311" s="295"/>
      <c r="W311" s="295"/>
      <c r="X311" s="295"/>
      <c r="Y311" s="295"/>
      <c r="Z311" s="295"/>
      <c r="AA311" s="295"/>
      <c r="AB311" s="295"/>
      <c r="AC311" s="295"/>
      <c r="AD311" s="295"/>
      <c r="AE311" s="295"/>
      <c r="AF311" s="295"/>
      <c r="AG311" s="295"/>
      <c r="AH311" s="295">
        <f>AI311+AJ311+AK311</f>
        <v>9000</v>
      </c>
      <c r="AI311" s="295">
        <v>4500</v>
      </c>
      <c r="AJ311" s="295">
        <f>R311+X311+Z311+AB311+AD311</f>
        <v>0</v>
      </c>
      <c r="AK311" s="295">
        <v>4500</v>
      </c>
      <c r="AL311" s="285">
        <f t="shared" si="154"/>
        <v>4500</v>
      </c>
      <c r="AM311" s="295">
        <f t="shared" si="155"/>
        <v>0</v>
      </c>
      <c r="AN311" s="295">
        <f t="shared" si="155"/>
        <v>0</v>
      </c>
      <c r="AO311" s="285">
        <f t="shared" si="156"/>
        <v>0</v>
      </c>
      <c r="AP311" s="295">
        <f>AH311-AM311</f>
        <v>9000</v>
      </c>
      <c r="AQ311" s="285">
        <f>AP311-AK311</f>
        <v>4500</v>
      </c>
      <c r="AR311" s="295">
        <v>0</v>
      </c>
      <c r="AS311" s="295">
        <v>4000</v>
      </c>
      <c r="AT311" s="316"/>
      <c r="AU311" s="265">
        <v>4000</v>
      </c>
    </row>
    <row r="312" spans="1:47" s="265" customFormat="1" ht="47.25" customHeight="1">
      <c r="A312" s="298">
        <v>5</v>
      </c>
      <c r="B312" s="314" t="s">
        <v>1237</v>
      </c>
      <c r="C312" s="300" t="s">
        <v>946</v>
      </c>
      <c r="D312" s="300" t="s">
        <v>946</v>
      </c>
      <c r="E312" s="300"/>
      <c r="F312" s="312" t="s">
        <v>727</v>
      </c>
      <c r="G312" s="300"/>
      <c r="H312" s="295">
        <v>19620</v>
      </c>
      <c r="I312" s="295"/>
      <c r="J312" s="295">
        <f>I312*90%</f>
        <v>0</v>
      </c>
      <c r="K312" s="295"/>
      <c r="L312" s="295"/>
      <c r="M312" s="295"/>
      <c r="N312" s="295"/>
      <c r="O312" s="295">
        <f>Q312+S312</f>
        <v>0</v>
      </c>
      <c r="P312" s="295"/>
      <c r="Q312" s="295"/>
      <c r="R312" s="295"/>
      <c r="S312" s="295"/>
      <c r="T312" s="295">
        <f>V312+X312+Z312+AB312+AD312</f>
        <v>0</v>
      </c>
      <c r="U312" s="295">
        <f t="shared" si="153"/>
        <v>0</v>
      </c>
      <c r="V312" s="295"/>
      <c r="W312" s="295"/>
      <c r="X312" s="295"/>
      <c r="Y312" s="295"/>
      <c r="Z312" s="295"/>
      <c r="AA312" s="295"/>
      <c r="AB312" s="295"/>
      <c r="AC312" s="295"/>
      <c r="AD312" s="295"/>
      <c r="AE312" s="295"/>
      <c r="AF312" s="295"/>
      <c r="AG312" s="295"/>
      <c r="AH312" s="295">
        <f>AI312+AJ312+AK312</f>
        <v>18500</v>
      </c>
      <c r="AI312" s="295">
        <v>10000</v>
      </c>
      <c r="AJ312" s="295">
        <f>R312+X312+Z312+AB312+AD312</f>
        <v>0</v>
      </c>
      <c r="AK312" s="295">
        <v>8500</v>
      </c>
      <c r="AL312" s="285">
        <f t="shared" si="154"/>
        <v>10000</v>
      </c>
      <c r="AM312" s="295">
        <f t="shared" si="155"/>
        <v>0</v>
      </c>
      <c r="AN312" s="295">
        <f t="shared" si="155"/>
        <v>0</v>
      </c>
      <c r="AO312" s="285">
        <f t="shared" si="156"/>
        <v>0</v>
      </c>
      <c r="AP312" s="295">
        <f>AH312-AM312</f>
        <v>18500</v>
      </c>
      <c r="AQ312" s="285">
        <f>AP312-AK312</f>
        <v>10000</v>
      </c>
      <c r="AR312" s="295">
        <v>0</v>
      </c>
      <c r="AS312" s="295">
        <v>6000</v>
      </c>
      <c r="AT312" s="316"/>
    </row>
    <row r="313" spans="1:47" s="265" customFormat="1" ht="47.25" customHeight="1">
      <c r="A313" s="298">
        <v>6</v>
      </c>
      <c r="B313" s="314" t="s">
        <v>1238</v>
      </c>
      <c r="C313" s="300" t="s">
        <v>730</v>
      </c>
      <c r="D313" s="300" t="s">
        <v>730</v>
      </c>
      <c r="E313" s="300"/>
      <c r="F313" s="312" t="s">
        <v>684</v>
      </c>
      <c r="G313" s="300" t="s">
        <v>1239</v>
      </c>
      <c r="H313" s="295">
        <v>17400</v>
      </c>
      <c r="I313" s="295"/>
      <c r="J313" s="295"/>
      <c r="K313" s="295"/>
      <c r="L313" s="295"/>
      <c r="M313" s="295"/>
      <c r="N313" s="295"/>
      <c r="O313" s="295"/>
      <c r="P313" s="295"/>
      <c r="Q313" s="295"/>
      <c r="R313" s="295"/>
      <c r="S313" s="295"/>
      <c r="T313" s="295"/>
      <c r="U313" s="295"/>
      <c r="V313" s="295"/>
      <c r="W313" s="295"/>
      <c r="X313" s="295"/>
      <c r="Y313" s="295"/>
      <c r="Z313" s="295"/>
      <c r="AA313" s="295"/>
      <c r="AB313" s="295"/>
      <c r="AC313" s="295"/>
      <c r="AD313" s="295"/>
      <c r="AE313" s="295"/>
      <c r="AF313" s="295"/>
      <c r="AG313" s="295"/>
      <c r="AH313" s="295"/>
      <c r="AI313" s="295"/>
      <c r="AJ313" s="295"/>
      <c r="AK313" s="295"/>
      <c r="AL313" s="285"/>
      <c r="AM313" s="295"/>
      <c r="AN313" s="295"/>
      <c r="AO313" s="285"/>
      <c r="AP313" s="295"/>
      <c r="AQ313" s="285"/>
      <c r="AR313" s="295">
        <v>0</v>
      </c>
      <c r="AS313" s="295">
        <v>4000</v>
      </c>
      <c r="AT313" s="316"/>
      <c r="AU313" s="265">
        <v>4500</v>
      </c>
    </row>
    <row r="314" spans="1:47" s="265" customFormat="1" ht="47.25" customHeight="1">
      <c r="A314" s="298">
        <v>7</v>
      </c>
      <c r="B314" s="317" t="s">
        <v>1240</v>
      </c>
      <c r="C314" s="300" t="s">
        <v>700</v>
      </c>
      <c r="D314" s="300" t="s">
        <v>700</v>
      </c>
      <c r="E314" s="300"/>
      <c r="F314" s="312" t="s">
        <v>684</v>
      </c>
      <c r="G314" s="300" t="s">
        <v>1241</v>
      </c>
      <c r="H314" s="295">
        <v>6734</v>
      </c>
      <c r="I314" s="295"/>
      <c r="J314" s="295"/>
      <c r="K314" s="295"/>
      <c r="L314" s="295"/>
      <c r="M314" s="295"/>
      <c r="N314" s="295"/>
      <c r="O314" s="295"/>
      <c r="P314" s="295"/>
      <c r="Q314" s="295"/>
      <c r="R314" s="295"/>
      <c r="S314" s="295"/>
      <c r="T314" s="295"/>
      <c r="U314" s="295"/>
      <c r="V314" s="295"/>
      <c r="W314" s="295"/>
      <c r="X314" s="295"/>
      <c r="Y314" s="295"/>
      <c r="Z314" s="295"/>
      <c r="AA314" s="295"/>
      <c r="AB314" s="295"/>
      <c r="AC314" s="295"/>
      <c r="AD314" s="295"/>
      <c r="AE314" s="295"/>
      <c r="AF314" s="295"/>
      <c r="AG314" s="295"/>
      <c r="AH314" s="295"/>
      <c r="AI314" s="295"/>
      <c r="AJ314" s="295"/>
      <c r="AK314" s="295"/>
      <c r="AL314" s="285">
        <f t="shared" si="154"/>
        <v>0</v>
      </c>
      <c r="AM314" s="295"/>
      <c r="AN314" s="295"/>
      <c r="AO314" s="285">
        <f t="shared" si="156"/>
        <v>0</v>
      </c>
      <c r="AP314" s="295"/>
      <c r="AQ314" s="285"/>
      <c r="AR314" s="295">
        <v>0</v>
      </c>
      <c r="AS314" s="295">
        <v>3000</v>
      </c>
      <c r="AT314" s="313"/>
    </row>
    <row r="315" spans="1:47" s="265" customFormat="1" ht="47.25" customHeight="1">
      <c r="A315" s="298">
        <v>8</v>
      </c>
      <c r="B315" s="317" t="s">
        <v>1242</v>
      </c>
      <c r="C315" s="300" t="s">
        <v>705</v>
      </c>
      <c r="D315" s="300" t="s">
        <v>705</v>
      </c>
      <c r="E315" s="300"/>
      <c r="F315" s="312" t="s">
        <v>684</v>
      </c>
      <c r="G315" s="300"/>
      <c r="H315" s="295">
        <v>3460</v>
      </c>
      <c r="I315" s="295"/>
      <c r="J315" s="295"/>
      <c r="K315" s="295"/>
      <c r="L315" s="295"/>
      <c r="M315" s="295"/>
      <c r="N315" s="295"/>
      <c r="O315" s="295"/>
      <c r="P315" s="295"/>
      <c r="Q315" s="295"/>
      <c r="R315" s="295"/>
      <c r="S315" s="295"/>
      <c r="T315" s="295"/>
      <c r="U315" s="295"/>
      <c r="V315" s="295"/>
      <c r="W315" s="295"/>
      <c r="X315" s="295"/>
      <c r="Y315" s="295"/>
      <c r="Z315" s="295"/>
      <c r="AA315" s="295"/>
      <c r="AB315" s="295"/>
      <c r="AC315" s="295"/>
      <c r="AD315" s="295"/>
      <c r="AE315" s="295"/>
      <c r="AF315" s="295"/>
      <c r="AG315" s="295"/>
      <c r="AH315" s="295"/>
      <c r="AI315" s="295"/>
      <c r="AJ315" s="295"/>
      <c r="AK315" s="295"/>
      <c r="AL315" s="285">
        <f t="shared" si="154"/>
        <v>0</v>
      </c>
      <c r="AM315" s="295"/>
      <c r="AN315" s="295"/>
      <c r="AO315" s="285">
        <f t="shared" si="156"/>
        <v>0</v>
      </c>
      <c r="AP315" s="295"/>
      <c r="AQ315" s="285"/>
      <c r="AR315" s="295">
        <v>0</v>
      </c>
      <c r="AS315" s="295">
        <v>2500</v>
      </c>
      <c r="AT315" s="313"/>
      <c r="AU315" s="265">
        <v>4000</v>
      </c>
    </row>
    <row r="316" spans="1:47" s="265" customFormat="1" ht="47.25" customHeight="1">
      <c r="A316" s="298">
        <v>9</v>
      </c>
      <c r="B316" s="317" t="s">
        <v>1243</v>
      </c>
      <c r="C316" s="300" t="s">
        <v>705</v>
      </c>
      <c r="D316" s="300" t="s">
        <v>705</v>
      </c>
      <c r="E316" s="300"/>
      <c r="F316" s="312" t="s">
        <v>684</v>
      </c>
      <c r="G316" s="300" t="s">
        <v>1244</v>
      </c>
      <c r="H316" s="295">
        <v>5500</v>
      </c>
      <c r="I316" s="295"/>
      <c r="J316" s="295"/>
      <c r="K316" s="295"/>
      <c r="L316" s="295"/>
      <c r="M316" s="295"/>
      <c r="N316" s="295"/>
      <c r="O316" s="295"/>
      <c r="P316" s="295"/>
      <c r="Q316" s="295"/>
      <c r="R316" s="295"/>
      <c r="S316" s="295"/>
      <c r="T316" s="295"/>
      <c r="U316" s="295"/>
      <c r="V316" s="295"/>
      <c r="W316" s="295"/>
      <c r="X316" s="295"/>
      <c r="Y316" s="295"/>
      <c r="Z316" s="295"/>
      <c r="AA316" s="295"/>
      <c r="AB316" s="295"/>
      <c r="AC316" s="295"/>
      <c r="AD316" s="295"/>
      <c r="AE316" s="295"/>
      <c r="AF316" s="295"/>
      <c r="AG316" s="295"/>
      <c r="AH316" s="295"/>
      <c r="AI316" s="295"/>
      <c r="AJ316" s="295"/>
      <c r="AK316" s="295"/>
      <c r="AL316" s="285">
        <f t="shared" si="154"/>
        <v>0</v>
      </c>
      <c r="AM316" s="295"/>
      <c r="AN316" s="295"/>
      <c r="AO316" s="285">
        <f t="shared" si="156"/>
        <v>0</v>
      </c>
      <c r="AP316" s="295"/>
      <c r="AQ316" s="285"/>
      <c r="AR316" s="295">
        <v>0</v>
      </c>
      <c r="AS316" s="295">
        <v>3000</v>
      </c>
      <c r="AT316" s="313"/>
      <c r="AU316" s="265">
        <v>7000</v>
      </c>
    </row>
    <row r="317" spans="1:47" s="265" customFormat="1" ht="24.75" customHeight="1">
      <c r="A317" s="298">
        <v>10</v>
      </c>
      <c r="B317" s="386" t="s">
        <v>1245</v>
      </c>
      <c r="C317" s="300" t="s">
        <v>669</v>
      </c>
      <c r="D317" s="300" t="s">
        <v>669</v>
      </c>
      <c r="E317" s="300"/>
      <c r="F317" s="312" t="s">
        <v>684</v>
      </c>
      <c r="G317" s="300" t="s">
        <v>1246</v>
      </c>
      <c r="H317" s="387">
        <v>14480</v>
      </c>
      <c r="I317" s="295"/>
      <c r="J317" s="295"/>
      <c r="K317" s="295"/>
      <c r="L317" s="295"/>
      <c r="M317" s="295"/>
      <c r="N317" s="295"/>
      <c r="O317" s="295"/>
      <c r="P317" s="295"/>
      <c r="Q317" s="295"/>
      <c r="R317" s="295"/>
      <c r="S317" s="295"/>
      <c r="T317" s="295"/>
      <c r="U317" s="295"/>
      <c r="V317" s="295"/>
      <c r="W317" s="295"/>
      <c r="X317" s="295"/>
      <c r="Y317" s="295"/>
      <c r="Z317" s="295"/>
      <c r="AA317" s="295"/>
      <c r="AB317" s="295"/>
      <c r="AC317" s="295"/>
      <c r="AD317" s="295"/>
      <c r="AE317" s="295"/>
      <c r="AF317" s="295"/>
      <c r="AG317" s="295"/>
      <c r="AH317" s="295"/>
      <c r="AI317" s="295"/>
      <c r="AJ317" s="295"/>
      <c r="AK317" s="295"/>
      <c r="AL317" s="285">
        <f t="shared" si="154"/>
        <v>0</v>
      </c>
      <c r="AM317" s="295"/>
      <c r="AN317" s="295"/>
      <c r="AO317" s="285">
        <f t="shared" si="156"/>
        <v>0</v>
      </c>
      <c r="AP317" s="295"/>
      <c r="AQ317" s="285"/>
      <c r="AR317" s="295">
        <v>0</v>
      </c>
      <c r="AS317" s="295">
        <v>4500</v>
      </c>
      <c r="AT317" s="313"/>
    </row>
    <row r="318" spans="1:47" s="265" customFormat="1" ht="24" customHeight="1">
      <c r="A318" s="298">
        <v>11</v>
      </c>
      <c r="B318" s="386" t="s">
        <v>1247</v>
      </c>
      <c r="C318" s="300" t="s">
        <v>669</v>
      </c>
      <c r="D318" s="300" t="s">
        <v>669</v>
      </c>
      <c r="E318" s="300"/>
      <c r="F318" s="312" t="s">
        <v>745</v>
      </c>
      <c r="G318" s="300"/>
      <c r="H318" s="387">
        <v>54611</v>
      </c>
      <c r="I318" s="295"/>
      <c r="J318" s="295"/>
      <c r="K318" s="295"/>
      <c r="L318" s="295"/>
      <c r="M318" s="295"/>
      <c r="N318" s="295"/>
      <c r="O318" s="295"/>
      <c r="P318" s="295"/>
      <c r="Q318" s="295"/>
      <c r="R318" s="295"/>
      <c r="S318" s="295"/>
      <c r="T318" s="295"/>
      <c r="U318" s="295"/>
      <c r="V318" s="295"/>
      <c r="W318" s="295"/>
      <c r="X318" s="295"/>
      <c r="Y318" s="295"/>
      <c r="Z318" s="295"/>
      <c r="AA318" s="295"/>
      <c r="AB318" s="295"/>
      <c r="AC318" s="295"/>
      <c r="AD318" s="295"/>
      <c r="AE318" s="295"/>
      <c r="AF318" s="295"/>
      <c r="AG318" s="295"/>
      <c r="AH318" s="295"/>
      <c r="AI318" s="295"/>
      <c r="AJ318" s="295"/>
      <c r="AK318" s="295"/>
      <c r="AL318" s="285">
        <f t="shared" si="154"/>
        <v>0</v>
      </c>
      <c r="AM318" s="295"/>
      <c r="AN318" s="295"/>
      <c r="AO318" s="285">
        <f t="shared" si="156"/>
        <v>0</v>
      </c>
      <c r="AP318" s="295"/>
      <c r="AQ318" s="285"/>
      <c r="AR318" s="295">
        <v>0</v>
      </c>
      <c r="AS318" s="295">
        <v>11000</v>
      </c>
      <c r="AT318" s="313"/>
    </row>
    <row r="319" spans="1:47" s="265" customFormat="1" ht="20.25" customHeight="1">
      <c r="A319" s="298">
        <v>12</v>
      </c>
      <c r="B319" s="306" t="s">
        <v>1248</v>
      </c>
      <c r="C319" s="300" t="s">
        <v>669</v>
      </c>
      <c r="D319" s="300" t="s">
        <v>669</v>
      </c>
      <c r="E319" s="300"/>
      <c r="F319" s="312" t="s">
        <v>684</v>
      </c>
      <c r="G319" s="300" t="s">
        <v>1249</v>
      </c>
      <c r="H319" s="387">
        <v>8640</v>
      </c>
      <c r="I319" s="295"/>
      <c r="J319" s="295"/>
      <c r="K319" s="295"/>
      <c r="L319" s="295"/>
      <c r="M319" s="295"/>
      <c r="N319" s="295"/>
      <c r="O319" s="295"/>
      <c r="P319" s="295"/>
      <c r="Q319" s="295"/>
      <c r="R319" s="295"/>
      <c r="S319" s="295"/>
      <c r="T319" s="295"/>
      <c r="U319" s="295"/>
      <c r="V319" s="295"/>
      <c r="W319" s="295"/>
      <c r="X319" s="295"/>
      <c r="Y319" s="295"/>
      <c r="Z319" s="295"/>
      <c r="AA319" s="295"/>
      <c r="AB319" s="295"/>
      <c r="AC319" s="295"/>
      <c r="AD319" s="295"/>
      <c r="AE319" s="295"/>
      <c r="AF319" s="295"/>
      <c r="AG319" s="295"/>
      <c r="AH319" s="295"/>
      <c r="AI319" s="295"/>
      <c r="AJ319" s="295"/>
      <c r="AK319" s="295"/>
      <c r="AL319" s="285">
        <f t="shared" si="154"/>
        <v>0</v>
      </c>
      <c r="AM319" s="295"/>
      <c r="AN319" s="295"/>
      <c r="AO319" s="285">
        <f t="shared" si="156"/>
        <v>0</v>
      </c>
      <c r="AP319" s="295"/>
      <c r="AQ319" s="285"/>
      <c r="AR319" s="295">
        <v>0</v>
      </c>
      <c r="AS319" s="295">
        <v>3500</v>
      </c>
      <c r="AT319" s="313"/>
    </row>
    <row r="320" spans="1:47" s="265" customFormat="1" ht="20.25" customHeight="1">
      <c r="A320" s="298">
        <v>13</v>
      </c>
      <c r="B320" s="306" t="s">
        <v>1250</v>
      </c>
      <c r="C320" s="300" t="s">
        <v>669</v>
      </c>
      <c r="D320" s="300" t="s">
        <v>669</v>
      </c>
      <c r="E320" s="300"/>
      <c r="F320" s="312" t="s">
        <v>684</v>
      </c>
      <c r="G320" s="300" t="s">
        <v>1251</v>
      </c>
      <c r="H320" s="387">
        <v>5587</v>
      </c>
      <c r="I320" s="295"/>
      <c r="J320" s="295"/>
      <c r="K320" s="295"/>
      <c r="L320" s="295"/>
      <c r="M320" s="295"/>
      <c r="N320" s="295"/>
      <c r="O320" s="295"/>
      <c r="P320" s="295"/>
      <c r="Q320" s="295"/>
      <c r="R320" s="295"/>
      <c r="S320" s="295"/>
      <c r="T320" s="295"/>
      <c r="U320" s="295"/>
      <c r="V320" s="295"/>
      <c r="W320" s="295"/>
      <c r="X320" s="295"/>
      <c r="Y320" s="295"/>
      <c r="Z320" s="295"/>
      <c r="AA320" s="295"/>
      <c r="AB320" s="295"/>
      <c r="AC320" s="295"/>
      <c r="AD320" s="295"/>
      <c r="AE320" s="295"/>
      <c r="AF320" s="295"/>
      <c r="AG320" s="295"/>
      <c r="AH320" s="295"/>
      <c r="AI320" s="295"/>
      <c r="AJ320" s="295"/>
      <c r="AK320" s="295"/>
      <c r="AL320" s="285">
        <f t="shared" si="154"/>
        <v>0</v>
      </c>
      <c r="AM320" s="295"/>
      <c r="AN320" s="295"/>
      <c r="AO320" s="285">
        <f t="shared" si="156"/>
        <v>0</v>
      </c>
      <c r="AP320" s="295"/>
      <c r="AQ320" s="285"/>
      <c r="AR320" s="295">
        <v>0</v>
      </c>
      <c r="AS320" s="295">
        <v>3000</v>
      </c>
      <c r="AT320" s="313"/>
    </row>
    <row r="321" spans="1:46" s="265" customFormat="1" ht="21.75" customHeight="1">
      <c r="A321" s="298">
        <v>14</v>
      </c>
      <c r="B321" s="306" t="s">
        <v>1252</v>
      </c>
      <c r="C321" s="300" t="s">
        <v>669</v>
      </c>
      <c r="D321" s="300" t="s">
        <v>669</v>
      </c>
      <c r="E321" s="300"/>
      <c r="F321" s="312" t="s">
        <v>684</v>
      </c>
      <c r="G321" s="300" t="s">
        <v>1253</v>
      </c>
      <c r="H321" s="387">
        <v>12041</v>
      </c>
      <c r="I321" s="295"/>
      <c r="J321" s="295"/>
      <c r="K321" s="295"/>
      <c r="L321" s="295"/>
      <c r="M321" s="295"/>
      <c r="N321" s="295"/>
      <c r="O321" s="295"/>
      <c r="P321" s="295"/>
      <c r="Q321" s="295"/>
      <c r="R321" s="295"/>
      <c r="S321" s="295"/>
      <c r="T321" s="295"/>
      <c r="U321" s="295"/>
      <c r="V321" s="295"/>
      <c r="W321" s="295"/>
      <c r="X321" s="295"/>
      <c r="Y321" s="295"/>
      <c r="Z321" s="295"/>
      <c r="AA321" s="295"/>
      <c r="AB321" s="295"/>
      <c r="AC321" s="295"/>
      <c r="AD321" s="295"/>
      <c r="AE321" s="295"/>
      <c r="AF321" s="295"/>
      <c r="AG321" s="295"/>
      <c r="AH321" s="295"/>
      <c r="AI321" s="295"/>
      <c r="AJ321" s="295"/>
      <c r="AK321" s="295"/>
      <c r="AL321" s="285">
        <f t="shared" si="154"/>
        <v>0</v>
      </c>
      <c r="AM321" s="295"/>
      <c r="AN321" s="295"/>
      <c r="AO321" s="285">
        <f t="shared" si="156"/>
        <v>0</v>
      </c>
      <c r="AP321" s="295"/>
      <c r="AQ321" s="285"/>
      <c r="AR321" s="295">
        <v>0</v>
      </c>
      <c r="AS321" s="295">
        <v>4000</v>
      </c>
      <c r="AT321" s="313"/>
    </row>
    <row r="322" spans="1:46" s="265" customFormat="1" ht="22.5" customHeight="1">
      <c r="A322" s="298">
        <v>15</v>
      </c>
      <c r="B322" s="306" t="s">
        <v>1254</v>
      </c>
      <c r="C322" s="300" t="s">
        <v>669</v>
      </c>
      <c r="D322" s="300" t="s">
        <v>669</v>
      </c>
      <c r="E322" s="300"/>
      <c r="F322" s="312" t="s">
        <v>745</v>
      </c>
      <c r="G322" s="300"/>
      <c r="H322" s="387">
        <v>26431</v>
      </c>
      <c r="I322" s="295"/>
      <c r="J322" s="295"/>
      <c r="K322" s="295"/>
      <c r="L322" s="295"/>
      <c r="M322" s="295"/>
      <c r="N322" s="295"/>
      <c r="O322" s="295"/>
      <c r="P322" s="295"/>
      <c r="Q322" s="295"/>
      <c r="R322" s="295"/>
      <c r="S322" s="295"/>
      <c r="T322" s="295"/>
      <c r="U322" s="295"/>
      <c r="V322" s="295"/>
      <c r="W322" s="295"/>
      <c r="X322" s="295"/>
      <c r="Y322" s="295"/>
      <c r="Z322" s="295"/>
      <c r="AA322" s="295"/>
      <c r="AB322" s="295"/>
      <c r="AC322" s="295"/>
      <c r="AD322" s="295"/>
      <c r="AE322" s="295"/>
      <c r="AF322" s="295"/>
      <c r="AG322" s="295"/>
      <c r="AH322" s="295"/>
      <c r="AI322" s="295"/>
      <c r="AJ322" s="295"/>
      <c r="AK322" s="295"/>
      <c r="AL322" s="285">
        <f t="shared" si="154"/>
        <v>0</v>
      </c>
      <c r="AM322" s="295"/>
      <c r="AN322" s="295"/>
      <c r="AO322" s="285">
        <f t="shared" si="156"/>
        <v>0</v>
      </c>
      <c r="AP322" s="295"/>
      <c r="AQ322" s="285"/>
      <c r="AR322" s="295">
        <v>0</v>
      </c>
      <c r="AS322" s="295">
        <v>7500</v>
      </c>
      <c r="AT322" s="313"/>
    </row>
    <row r="323" spans="1:46" s="265" customFormat="1" ht="20.25" customHeight="1">
      <c r="A323" s="298">
        <v>16</v>
      </c>
      <c r="B323" s="306" t="s">
        <v>1255</v>
      </c>
      <c r="C323" s="300" t="s">
        <v>679</v>
      </c>
      <c r="D323" s="300" t="s">
        <v>679</v>
      </c>
      <c r="E323" s="300"/>
      <c r="F323" s="312" t="s">
        <v>684</v>
      </c>
      <c r="G323" s="300" t="s">
        <v>1256</v>
      </c>
      <c r="H323" s="387">
        <v>6972</v>
      </c>
      <c r="I323" s="295"/>
      <c r="J323" s="295"/>
      <c r="K323" s="295"/>
      <c r="L323" s="295"/>
      <c r="M323" s="295"/>
      <c r="N323" s="295"/>
      <c r="O323" s="295"/>
      <c r="P323" s="295"/>
      <c r="Q323" s="295"/>
      <c r="R323" s="295"/>
      <c r="S323" s="295"/>
      <c r="T323" s="295"/>
      <c r="U323" s="295"/>
      <c r="V323" s="295"/>
      <c r="W323" s="295"/>
      <c r="X323" s="295"/>
      <c r="Y323" s="295"/>
      <c r="Z323" s="295"/>
      <c r="AA323" s="295"/>
      <c r="AB323" s="295"/>
      <c r="AC323" s="295"/>
      <c r="AD323" s="295"/>
      <c r="AE323" s="295"/>
      <c r="AF323" s="295"/>
      <c r="AG323" s="295"/>
      <c r="AH323" s="295"/>
      <c r="AI323" s="295"/>
      <c r="AJ323" s="295"/>
      <c r="AK323" s="295"/>
      <c r="AL323" s="285"/>
      <c r="AM323" s="295"/>
      <c r="AN323" s="295"/>
      <c r="AO323" s="285"/>
      <c r="AP323" s="295"/>
      <c r="AQ323" s="285"/>
      <c r="AR323" s="295">
        <v>0</v>
      </c>
      <c r="AS323" s="295">
        <v>3000</v>
      </c>
      <c r="AT323" s="313"/>
    </row>
    <row r="324" spans="1:46" s="265" customFormat="1" ht="47.25" customHeight="1">
      <c r="A324" s="298">
        <v>17</v>
      </c>
      <c r="B324" s="306" t="s">
        <v>1257</v>
      </c>
      <c r="C324" s="300" t="s">
        <v>679</v>
      </c>
      <c r="D324" s="300" t="s">
        <v>679</v>
      </c>
      <c r="E324" s="300"/>
      <c r="F324" s="312" t="s">
        <v>684</v>
      </c>
      <c r="G324" s="300"/>
      <c r="H324" s="387">
        <v>44330</v>
      </c>
      <c r="I324" s="295"/>
      <c r="J324" s="295"/>
      <c r="K324" s="295"/>
      <c r="L324" s="295"/>
      <c r="M324" s="295"/>
      <c r="N324" s="295"/>
      <c r="O324" s="295"/>
      <c r="P324" s="295"/>
      <c r="Q324" s="295"/>
      <c r="R324" s="295"/>
      <c r="S324" s="295"/>
      <c r="T324" s="295"/>
      <c r="U324" s="295"/>
      <c r="V324" s="295"/>
      <c r="W324" s="295"/>
      <c r="X324" s="295"/>
      <c r="Y324" s="295"/>
      <c r="Z324" s="295"/>
      <c r="AA324" s="295"/>
      <c r="AB324" s="295"/>
      <c r="AC324" s="295"/>
      <c r="AD324" s="295"/>
      <c r="AE324" s="295"/>
      <c r="AF324" s="295"/>
      <c r="AG324" s="295"/>
      <c r="AH324" s="295"/>
      <c r="AI324" s="295"/>
      <c r="AJ324" s="295"/>
      <c r="AK324" s="295"/>
      <c r="AL324" s="285"/>
      <c r="AM324" s="295"/>
      <c r="AN324" s="295"/>
      <c r="AO324" s="285"/>
      <c r="AP324" s="295"/>
      <c r="AQ324" s="285"/>
      <c r="AR324" s="295">
        <v>0</v>
      </c>
      <c r="AS324" s="295">
        <v>10000</v>
      </c>
      <c r="AT324" s="313"/>
    </row>
    <row r="325" spans="1:46" s="265" customFormat="1" ht="47.25" customHeight="1">
      <c r="A325" s="298">
        <v>18</v>
      </c>
      <c r="B325" s="306" t="s">
        <v>1258</v>
      </c>
      <c r="C325" s="300" t="s">
        <v>744</v>
      </c>
      <c r="D325" s="300" t="s">
        <v>744</v>
      </c>
      <c r="E325" s="300"/>
      <c r="F325" s="312" t="s">
        <v>684</v>
      </c>
      <c r="G325" s="300"/>
      <c r="H325" s="387">
        <v>19560</v>
      </c>
      <c r="I325" s="295"/>
      <c r="J325" s="295"/>
      <c r="K325" s="295"/>
      <c r="L325" s="295"/>
      <c r="M325" s="295"/>
      <c r="N325" s="295"/>
      <c r="O325" s="295"/>
      <c r="P325" s="295"/>
      <c r="Q325" s="295"/>
      <c r="R325" s="295"/>
      <c r="S325" s="295"/>
      <c r="T325" s="295"/>
      <c r="U325" s="295"/>
      <c r="V325" s="295"/>
      <c r="W325" s="295"/>
      <c r="X325" s="295"/>
      <c r="Y325" s="295"/>
      <c r="Z325" s="295"/>
      <c r="AA325" s="295"/>
      <c r="AB325" s="295"/>
      <c r="AC325" s="295"/>
      <c r="AD325" s="295"/>
      <c r="AE325" s="295"/>
      <c r="AF325" s="295"/>
      <c r="AG325" s="295"/>
      <c r="AH325" s="295"/>
      <c r="AI325" s="295"/>
      <c r="AJ325" s="295"/>
      <c r="AK325" s="295"/>
      <c r="AL325" s="285"/>
      <c r="AM325" s="295"/>
      <c r="AN325" s="295"/>
      <c r="AO325" s="285"/>
      <c r="AP325" s="295"/>
      <c r="AQ325" s="285"/>
      <c r="AR325" s="295">
        <v>0</v>
      </c>
      <c r="AS325" s="295">
        <v>5000</v>
      </c>
      <c r="AT325" s="313"/>
    </row>
    <row r="326" spans="1:46" s="265" customFormat="1" ht="47.25" customHeight="1">
      <c r="A326" s="298">
        <v>19</v>
      </c>
      <c r="B326" s="306" t="s">
        <v>1259</v>
      </c>
      <c r="C326" s="300" t="s">
        <v>689</v>
      </c>
      <c r="D326" s="300" t="s">
        <v>689</v>
      </c>
      <c r="E326" s="300"/>
      <c r="F326" s="312" t="s">
        <v>745</v>
      </c>
      <c r="G326" s="300"/>
      <c r="H326" s="387">
        <v>28283</v>
      </c>
      <c r="I326" s="295"/>
      <c r="J326" s="295"/>
      <c r="K326" s="295"/>
      <c r="L326" s="295"/>
      <c r="M326" s="295"/>
      <c r="N326" s="295"/>
      <c r="O326" s="295"/>
      <c r="P326" s="295"/>
      <c r="Q326" s="295"/>
      <c r="R326" s="295"/>
      <c r="S326" s="295"/>
      <c r="T326" s="295"/>
      <c r="U326" s="295"/>
      <c r="V326" s="295"/>
      <c r="W326" s="295"/>
      <c r="X326" s="295"/>
      <c r="Y326" s="295"/>
      <c r="Z326" s="295"/>
      <c r="AA326" s="295"/>
      <c r="AB326" s="295"/>
      <c r="AC326" s="295"/>
      <c r="AD326" s="295"/>
      <c r="AE326" s="295"/>
      <c r="AF326" s="295"/>
      <c r="AG326" s="295"/>
      <c r="AH326" s="295"/>
      <c r="AI326" s="295"/>
      <c r="AJ326" s="295"/>
      <c r="AK326" s="295"/>
      <c r="AL326" s="285"/>
      <c r="AM326" s="295"/>
      <c r="AN326" s="295"/>
      <c r="AO326" s="285"/>
      <c r="AP326" s="295"/>
      <c r="AQ326" s="285"/>
      <c r="AR326" s="295"/>
      <c r="AS326" s="295">
        <v>6500</v>
      </c>
      <c r="AT326" s="313"/>
    </row>
    <row r="327" spans="1:46" s="265" customFormat="1" ht="47.25" customHeight="1">
      <c r="A327" s="298">
        <v>20</v>
      </c>
      <c r="B327" s="317" t="s">
        <v>1260</v>
      </c>
      <c r="C327" s="388" t="s">
        <v>726</v>
      </c>
      <c r="D327" s="300" t="s">
        <v>726</v>
      </c>
      <c r="E327" s="300"/>
      <c r="F327" s="312" t="s">
        <v>745</v>
      </c>
      <c r="G327" s="300"/>
      <c r="H327" s="387">
        <v>39865</v>
      </c>
      <c r="I327" s="295"/>
      <c r="J327" s="295"/>
      <c r="K327" s="295"/>
      <c r="L327" s="295"/>
      <c r="M327" s="295"/>
      <c r="N327" s="295"/>
      <c r="O327" s="295"/>
      <c r="P327" s="295"/>
      <c r="Q327" s="295"/>
      <c r="R327" s="295"/>
      <c r="S327" s="295"/>
      <c r="T327" s="295"/>
      <c r="U327" s="295"/>
      <c r="V327" s="295"/>
      <c r="W327" s="295"/>
      <c r="X327" s="295"/>
      <c r="Y327" s="295"/>
      <c r="Z327" s="295"/>
      <c r="AA327" s="295"/>
      <c r="AB327" s="295"/>
      <c r="AC327" s="295"/>
      <c r="AD327" s="295"/>
      <c r="AE327" s="295"/>
      <c r="AF327" s="295"/>
      <c r="AG327" s="295"/>
      <c r="AH327" s="295"/>
      <c r="AI327" s="295"/>
      <c r="AJ327" s="295"/>
      <c r="AK327" s="295"/>
      <c r="AL327" s="285"/>
      <c r="AM327" s="295"/>
      <c r="AN327" s="295"/>
      <c r="AO327" s="285"/>
      <c r="AP327" s="295"/>
      <c r="AQ327" s="285"/>
      <c r="AR327" s="295"/>
      <c r="AS327" s="295">
        <v>10000</v>
      </c>
      <c r="AT327" s="313"/>
    </row>
    <row r="328" spans="1:46" s="265" customFormat="1" ht="47.25" customHeight="1">
      <c r="A328" s="279">
        <v>21</v>
      </c>
      <c r="B328" s="297" t="s">
        <v>1261</v>
      </c>
      <c r="C328" s="292" t="s">
        <v>1262</v>
      </c>
      <c r="D328" s="292" t="s">
        <v>659</v>
      </c>
      <c r="E328" s="293"/>
      <c r="F328" s="348"/>
      <c r="G328" s="294"/>
      <c r="H328" s="285">
        <v>0</v>
      </c>
      <c r="I328" s="285"/>
      <c r="J328" s="285">
        <f>I328*90%</f>
        <v>0</v>
      </c>
      <c r="K328" s="285"/>
      <c r="L328" s="285">
        <v>60000</v>
      </c>
      <c r="M328" s="285">
        <v>60000</v>
      </c>
      <c r="N328" s="285">
        <f>P328+R328</f>
        <v>9500</v>
      </c>
      <c r="O328" s="285">
        <f>Q328+S328</f>
        <v>5612</v>
      </c>
      <c r="P328" s="285">
        <v>9500</v>
      </c>
      <c r="Q328" s="285">
        <v>5612</v>
      </c>
      <c r="R328" s="285"/>
      <c r="S328" s="285"/>
      <c r="T328" s="285">
        <f>V328+X328+Z328+AB328+AD328</f>
        <v>34488</v>
      </c>
      <c r="U328" s="285">
        <f t="shared" ref="U328:U380" si="157">W328+Y328+AA328+AC328+AE328</f>
        <v>33131</v>
      </c>
      <c r="V328" s="285">
        <v>26930</v>
      </c>
      <c r="W328" s="285">
        <v>25574</v>
      </c>
      <c r="X328" s="285">
        <f>7050+508</f>
        <v>7558</v>
      </c>
      <c r="Y328" s="285">
        <f>7050+507</f>
        <v>7557</v>
      </c>
      <c r="Z328" s="285"/>
      <c r="AA328" s="285"/>
      <c r="AB328" s="285"/>
      <c r="AC328" s="285"/>
      <c r="AD328" s="285"/>
      <c r="AE328" s="285"/>
      <c r="AF328" s="285">
        <v>20000</v>
      </c>
      <c r="AG328" s="285">
        <v>11368</v>
      </c>
      <c r="AH328" s="285">
        <f>AI328+AJ328+AK328</f>
        <v>83558</v>
      </c>
      <c r="AI328" s="285">
        <v>52000</v>
      </c>
      <c r="AJ328" s="285">
        <f>R328+X328+Z328+AB328+AD328</f>
        <v>7558</v>
      </c>
      <c r="AK328" s="285">
        <v>24000</v>
      </c>
      <c r="AL328" s="285">
        <f t="shared" si="154"/>
        <v>59558</v>
      </c>
      <c r="AM328" s="285">
        <f>N328+T328+AF328</f>
        <v>63988</v>
      </c>
      <c r="AN328" s="285">
        <f>O328+U328+AG328</f>
        <v>50111</v>
      </c>
      <c r="AO328" s="285">
        <f t="shared" si="156"/>
        <v>63988</v>
      </c>
      <c r="AP328" s="285">
        <f>AH328-AM328</f>
        <v>19570</v>
      </c>
      <c r="AQ328" s="285"/>
      <c r="AR328" s="285"/>
      <c r="AS328" s="285">
        <v>40000</v>
      </c>
      <c r="AT328" s="313"/>
    </row>
    <row r="329" spans="1:46" s="265" customFormat="1" ht="47.25" hidden="1" customHeight="1">
      <c r="A329" s="389"/>
      <c r="B329" s="297"/>
      <c r="C329" s="319"/>
      <c r="D329" s="300"/>
      <c r="E329" s="300"/>
      <c r="F329" s="300"/>
      <c r="G329" s="300"/>
      <c r="H329" s="295"/>
      <c r="I329" s="295"/>
      <c r="J329" s="295"/>
      <c r="K329" s="295"/>
      <c r="L329" s="295"/>
      <c r="M329" s="295"/>
      <c r="N329" s="295"/>
      <c r="O329" s="295"/>
      <c r="P329" s="295"/>
      <c r="Q329" s="295"/>
      <c r="R329" s="295"/>
      <c r="S329" s="295"/>
      <c r="T329" s="295"/>
      <c r="U329" s="295">
        <f t="shared" si="157"/>
        <v>0</v>
      </c>
      <c r="V329" s="295"/>
      <c r="W329" s="295"/>
      <c r="X329" s="295"/>
      <c r="Y329" s="295"/>
      <c r="Z329" s="295"/>
      <c r="AA329" s="295"/>
      <c r="AB329" s="295"/>
      <c r="AC329" s="295"/>
      <c r="AD329" s="295"/>
      <c r="AE329" s="295"/>
      <c r="AF329" s="295"/>
      <c r="AG329" s="295"/>
      <c r="AH329" s="295"/>
      <c r="AI329" s="295"/>
      <c r="AJ329" s="295"/>
      <c r="AK329" s="295"/>
      <c r="AL329" s="285">
        <f t="shared" si="154"/>
        <v>0</v>
      </c>
      <c r="AM329" s="295">
        <f>N329+T329+AF329</f>
        <v>0</v>
      </c>
      <c r="AN329" s="295">
        <f>O329+U329+AG329</f>
        <v>0</v>
      </c>
      <c r="AO329" s="285">
        <f t="shared" si="156"/>
        <v>0</v>
      </c>
      <c r="AP329" s="295">
        <f>AH329-AM329</f>
        <v>0</v>
      </c>
      <c r="AQ329" s="285">
        <f>AP329-AK329</f>
        <v>0</v>
      </c>
      <c r="AR329" s="295"/>
      <c r="AS329" s="295"/>
      <c r="AT329" s="310"/>
    </row>
    <row r="330" spans="1:46" s="265" customFormat="1" ht="15.75">
      <c r="A330" s="290" t="s">
        <v>1263</v>
      </c>
      <c r="B330" s="297" t="s">
        <v>1264</v>
      </c>
      <c r="C330" s="292"/>
      <c r="D330" s="279"/>
      <c r="E330" s="293"/>
      <c r="F330" s="279"/>
      <c r="G330" s="294"/>
      <c r="H330" s="285">
        <f t="shared" ref="H330:AR330" si="158">H331+H333</f>
        <v>14317.995951999999</v>
      </c>
      <c r="I330" s="285">
        <f t="shared" si="158"/>
        <v>0</v>
      </c>
      <c r="J330" s="285">
        <f t="shared" si="158"/>
        <v>27500</v>
      </c>
      <c r="K330" s="285">
        <f t="shared" si="158"/>
        <v>0</v>
      </c>
      <c r="L330" s="285">
        <f t="shared" si="158"/>
        <v>40000</v>
      </c>
      <c r="M330" s="285">
        <f t="shared" si="158"/>
        <v>40000</v>
      </c>
      <c r="N330" s="285">
        <f t="shared" si="158"/>
        <v>0</v>
      </c>
      <c r="O330" s="285">
        <f t="shared" si="158"/>
        <v>0</v>
      </c>
      <c r="P330" s="285">
        <f t="shared" si="158"/>
        <v>0</v>
      </c>
      <c r="Q330" s="285">
        <f t="shared" si="158"/>
        <v>0</v>
      </c>
      <c r="R330" s="285">
        <f t="shared" si="158"/>
        <v>0</v>
      </c>
      <c r="S330" s="285">
        <f t="shared" si="158"/>
        <v>0</v>
      </c>
      <c r="T330" s="285">
        <f t="shared" si="158"/>
        <v>0</v>
      </c>
      <c r="U330" s="285">
        <f t="shared" si="158"/>
        <v>0</v>
      </c>
      <c r="V330" s="285">
        <f t="shared" si="158"/>
        <v>0</v>
      </c>
      <c r="W330" s="285">
        <f t="shared" si="158"/>
        <v>0</v>
      </c>
      <c r="X330" s="285">
        <f t="shared" si="158"/>
        <v>0</v>
      </c>
      <c r="Y330" s="285">
        <f t="shared" si="158"/>
        <v>0</v>
      </c>
      <c r="Z330" s="285">
        <f t="shared" si="158"/>
        <v>0</v>
      </c>
      <c r="AA330" s="285">
        <f t="shared" si="158"/>
        <v>0</v>
      </c>
      <c r="AB330" s="285">
        <f t="shared" si="158"/>
        <v>0</v>
      </c>
      <c r="AC330" s="285">
        <f t="shared" si="158"/>
        <v>0</v>
      </c>
      <c r="AD330" s="285">
        <f t="shared" si="158"/>
        <v>0</v>
      </c>
      <c r="AE330" s="285">
        <f t="shared" si="158"/>
        <v>0</v>
      </c>
      <c r="AF330" s="285">
        <f t="shared" si="158"/>
        <v>8000</v>
      </c>
      <c r="AG330" s="285">
        <f t="shared" si="158"/>
        <v>0</v>
      </c>
      <c r="AH330" s="285">
        <f t="shared" si="158"/>
        <v>35000</v>
      </c>
      <c r="AI330" s="285">
        <f t="shared" si="158"/>
        <v>35000</v>
      </c>
      <c r="AJ330" s="285">
        <f t="shared" si="158"/>
        <v>0</v>
      </c>
      <c r="AK330" s="285">
        <f t="shared" si="158"/>
        <v>0</v>
      </c>
      <c r="AL330" s="285">
        <f t="shared" si="158"/>
        <v>35000</v>
      </c>
      <c r="AM330" s="285">
        <f t="shared" si="158"/>
        <v>8000</v>
      </c>
      <c r="AN330" s="285">
        <f t="shared" si="158"/>
        <v>0</v>
      </c>
      <c r="AO330" s="285">
        <f t="shared" si="158"/>
        <v>8000</v>
      </c>
      <c r="AP330" s="285">
        <f t="shared" si="158"/>
        <v>27000</v>
      </c>
      <c r="AQ330" s="285">
        <f t="shared" si="158"/>
        <v>27000</v>
      </c>
      <c r="AR330" s="285">
        <f t="shared" si="158"/>
        <v>8000</v>
      </c>
      <c r="AS330" s="285">
        <f>AS331+AS333</f>
        <v>9000</v>
      </c>
      <c r="AT330" s="296"/>
    </row>
    <row r="331" spans="1:46" s="265" customFormat="1" ht="15.75">
      <c r="A331" s="290" t="s">
        <v>337</v>
      </c>
      <c r="B331" s="297" t="s">
        <v>661</v>
      </c>
      <c r="C331" s="292"/>
      <c r="D331" s="279"/>
      <c r="E331" s="293"/>
      <c r="F331" s="279"/>
      <c r="G331" s="294"/>
      <c r="H331" s="285">
        <f t="shared" ref="H331:AS331" si="159">H332</f>
        <v>14317.995951999999</v>
      </c>
      <c r="I331" s="285">
        <f t="shared" si="159"/>
        <v>0</v>
      </c>
      <c r="J331" s="285">
        <f t="shared" si="159"/>
        <v>0</v>
      </c>
      <c r="K331" s="285">
        <f t="shared" si="159"/>
        <v>0</v>
      </c>
      <c r="L331" s="285">
        <f t="shared" si="159"/>
        <v>40000</v>
      </c>
      <c r="M331" s="285">
        <f t="shared" si="159"/>
        <v>40000</v>
      </c>
      <c r="N331" s="285">
        <f t="shared" si="159"/>
        <v>0</v>
      </c>
      <c r="O331" s="285">
        <f t="shared" si="159"/>
        <v>0</v>
      </c>
      <c r="P331" s="285">
        <f t="shared" si="159"/>
        <v>0</v>
      </c>
      <c r="Q331" s="285">
        <f t="shared" si="159"/>
        <v>0</v>
      </c>
      <c r="R331" s="285">
        <f t="shared" si="159"/>
        <v>0</v>
      </c>
      <c r="S331" s="285">
        <f t="shared" si="159"/>
        <v>0</v>
      </c>
      <c r="T331" s="285">
        <f t="shared" si="159"/>
        <v>0</v>
      </c>
      <c r="U331" s="285">
        <f t="shared" si="159"/>
        <v>0</v>
      </c>
      <c r="V331" s="285">
        <f t="shared" si="159"/>
        <v>0</v>
      </c>
      <c r="W331" s="285">
        <f t="shared" si="159"/>
        <v>0</v>
      </c>
      <c r="X331" s="285">
        <f t="shared" si="159"/>
        <v>0</v>
      </c>
      <c r="Y331" s="285">
        <f t="shared" si="159"/>
        <v>0</v>
      </c>
      <c r="Z331" s="285">
        <f t="shared" si="159"/>
        <v>0</v>
      </c>
      <c r="AA331" s="285">
        <f t="shared" si="159"/>
        <v>0</v>
      </c>
      <c r="AB331" s="285">
        <f t="shared" si="159"/>
        <v>0</v>
      </c>
      <c r="AC331" s="285">
        <f t="shared" si="159"/>
        <v>0</v>
      </c>
      <c r="AD331" s="285">
        <f t="shared" si="159"/>
        <v>0</v>
      </c>
      <c r="AE331" s="285">
        <f t="shared" si="159"/>
        <v>0</v>
      </c>
      <c r="AF331" s="285">
        <f t="shared" si="159"/>
        <v>8000</v>
      </c>
      <c r="AG331" s="285">
        <f t="shared" si="159"/>
        <v>0</v>
      </c>
      <c r="AH331" s="285">
        <f t="shared" si="159"/>
        <v>12500</v>
      </c>
      <c r="AI331" s="285">
        <f t="shared" si="159"/>
        <v>12500</v>
      </c>
      <c r="AJ331" s="285">
        <f t="shared" si="159"/>
        <v>0</v>
      </c>
      <c r="AK331" s="285">
        <f t="shared" si="159"/>
        <v>0</v>
      </c>
      <c r="AL331" s="285">
        <f t="shared" si="159"/>
        <v>12500</v>
      </c>
      <c r="AM331" s="285">
        <f t="shared" si="159"/>
        <v>8000</v>
      </c>
      <c r="AN331" s="285">
        <f t="shared" si="159"/>
        <v>0</v>
      </c>
      <c r="AO331" s="285">
        <f t="shared" si="159"/>
        <v>8000</v>
      </c>
      <c r="AP331" s="285">
        <f t="shared" si="159"/>
        <v>4500</v>
      </c>
      <c r="AQ331" s="285">
        <f t="shared" si="159"/>
        <v>4500</v>
      </c>
      <c r="AR331" s="285">
        <f t="shared" si="159"/>
        <v>8000</v>
      </c>
      <c r="AS331" s="285">
        <f t="shared" si="159"/>
        <v>3000</v>
      </c>
      <c r="AT331" s="296"/>
    </row>
    <row r="332" spans="1:46" s="265" customFormat="1" ht="47.25" customHeight="1">
      <c r="A332" s="298">
        <v>1</v>
      </c>
      <c r="B332" s="314" t="s">
        <v>1265</v>
      </c>
      <c r="C332" s="300" t="s">
        <v>675</v>
      </c>
      <c r="D332" s="300" t="s">
        <v>675</v>
      </c>
      <c r="E332" s="300"/>
      <c r="F332" s="312" t="s">
        <v>727</v>
      </c>
      <c r="G332" s="300" t="s">
        <v>1266</v>
      </c>
      <c r="H332" s="295">
        <v>14317.995951999999</v>
      </c>
      <c r="I332" s="295"/>
      <c r="J332" s="295">
        <f>I332*90%</f>
        <v>0</v>
      </c>
      <c r="K332" s="295"/>
      <c r="L332" s="295">
        <v>40000</v>
      </c>
      <c r="M332" s="295">
        <v>40000</v>
      </c>
      <c r="N332" s="295">
        <f>P332+R332</f>
        <v>0</v>
      </c>
      <c r="O332" s="295"/>
      <c r="P332" s="295"/>
      <c r="Q332" s="295"/>
      <c r="R332" s="295"/>
      <c r="S332" s="295"/>
      <c r="T332" s="295">
        <f>V332+X332+Z332+AB332+AD332</f>
        <v>0</v>
      </c>
      <c r="U332" s="295">
        <f>W332+Y332+AA332+AC332+AE332</f>
        <v>0</v>
      </c>
      <c r="V332" s="295"/>
      <c r="W332" s="295"/>
      <c r="X332" s="295"/>
      <c r="Y332" s="295"/>
      <c r="Z332" s="295"/>
      <c r="AA332" s="295"/>
      <c r="AB332" s="295"/>
      <c r="AC332" s="295"/>
      <c r="AD332" s="295"/>
      <c r="AE332" s="295"/>
      <c r="AF332" s="295">
        <v>8000</v>
      </c>
      <c r="AG332" s="295"/>
      <c r="AH332" s="295">
        <f>AI332+AJ332+AK332</f>
        <v>12500</v>
      </c>
      <c r="AI332" s="295">
        <v>12500</v>
      </c>
      <c r="AJ332" s="295">
        <f>R332+X332+Z332+AB332+AD332</f>
        <v>0</v>
      </c>
      <c r="AK332" s="295"/>
      <c r="AL332" s="285">
        <f t="shared" si="154"/>
        <v>12500</v>
      </c>
      <c r="AM332" s="295">
        <f>N332+T332+AF332</f>
        <v>8000</v>
      </c>
      <c r="AN332" s="295">
        <f>O332+U332+AG332</f>
        <v>0</v>
      </c>
      <c r="AO332" s="295">
        <f t="shared" si="156"/>
        <v>8000</v>
      </c>
      <c r="AP332" s="295">
        <f>AH332-AM332</f>
        <v>4500</v>
      </c>
      <c r="AQ332" s="285">
        <f>AP332-AK332</f>
        <v>4500</v>
      </c>
      <c r="AR332" s="295">
        <v>8000</v>
      </c>
      <c r="AS332" s="295">
        <v>3000</v>
      </c>
      <c r="AT332" s="318"/>
    </row>
    <row r="333" spans="1:46" s="265" customFormat="1" ht="47.25" customHeight="1">
      <c r="A333" s="290" t="s">
        <v>340</v>
      </c>
      <c r="B333" s="297" t="s">
        <v>682</v>
      </c>
      <c r="C333" s="292"/>
      <c r="D333" s="279"/>
      <c r="E333" s="293"/>
      <c r="F333" s="279"/>
      <c r="G333" s="294"/>
      <c r="H333" s="285">
        <f t="shared" ref="H333:AS333" si="160">SUM(H334:H334)</f>
        <v>0</v>
      </c>
      <c r="I333" s="285">
        <f t="shared" si="160"/>
        <v>0</v>
      </c>
      <c r="J333" s="285">
        <f t="shared" si="160"/>
        <v>27500</v>
      </c>
      <c r="K333" s="285">
        <f t="shared" si="160"/>
        <v>0</v>
      </c>
      <c r="L333" s="285">
        <f t="shared" si="160"/>
        <v>0</v>
      </c>
      <c r="M333" s="285">
        <f t="shared" si="160"/>
        <v>0</v>
      </c>
      <c r="N333" s="285">
        <f t="shared" si="160"/>
        <v>0</v>
      </c>
      <c r="O333" s="285">
        <f t="shared" si="160"/>
        <v>0</v>
      </c>
      <c r="P333" s="285">
        <f t="shared" si="160"/>
        <v>0</v>
      </c>
      <c r="Q333" s="285">
        <f t="shared" si="160"/>
        <v>0</v>
      </c>
      <c r="R333" s="285">
        <f t="shared" si="160"/>
        <v>0</v>
      </c>
      <c r="S333" s="285">
        <f t="shared" si="160"/>
        <v>0</v>
      </c>
      <c r="T333" s="285">
        <f t="shared" si="160"/>
        <v>0</v>
      </c>
      <c r="U333" s="285">
        <f t="shared" si="160"/>
        <v>0</v>
      </c>
      <c r="V333" s="285">
        <f t="shared" si="160"/>
        <v>0</v>
      </c>
      <c r="W333" s="285">
        <f t="shared" si="160"/>
        <v>0</v>
      </c>
      <c r="X333" s="285">
        <f t="shared" si="160"/>
        <v>0</v>
      </c>
      <c r="Y333" s="285">
        <f t="shared" si="160"/>
        <v>0</v>
      </c>
      <c r="Z333" s="285">
        <f t="shared" si="160"/>
        <v>0</v>
      </c>
      <c r="AA333" s="285">
        <f t="shared" si="160"/>
        <v>0</v>
      </c>
      <c r="AB333" s="285">
        <f t="shared" si="160"/>
        <v>0</v>
      </c>
      <c r="AC333" s="285">
        <f t="shared" si="160"/>
        <v>0</v>
      </c>
      <c r="AD333" s="285">
        <f t="shared" si="160"/>
        <v>0</v>
      </c>
      <c r="AE333" s="285">
        <f t="shared" si="160"/>
        <v>0</v>
      </c>
      <c r="AF333" s="285">
        <f t="shared" si="160"/>
        <v>0</v>
      </c>
      <c r="AG333" s="285">
        <f t="shared" si="160"/>
        <v>0</v>
      </c>
      <c r="AH333" s="285">
        <f t="shared" si="160"/>
        <v>22500</v>
      </c>
      <c r="AI333" s="285">
        <f t="shared" si="160"/>
        <v>22500</v>
      </c>
      <c r="AJ333" s="285">
        <f t="shared" si="160"/>
        <v>0</v>
      </c>
      <c r="AK333" s="285">
        <f t="shared" si="160"/>
        <v>0</v>
      </c>
      <c r="AL333" s="285">
        <f t="shared" si="160"/>
        <v>22500</v>
      </c>
      <c r="AM333" s="285">
        <f t="shared" si="160"/>
        <v>0</v>
      </c>
      <c r="AN333" s="285">
        <f t="shared" si="160"/>
        <v>0</v>
      </c>
      <c r="AO333" s="285">
        <f t="shared" si="160"/>
        <v>0</v>
      </c>
      <c r="AP333" s="285">
        <f t="shared" si="160"/>
        <v>22500</v>
      </c>
      <c r="AQ333" s="285">
        <f t="shared" si="160"/>
        <v>22500</v>
      </c>
      <c r="AR333" s="285">
        <f t="shared" si="160"/>
        <v>0</v>
      </c>
      <c r="AS333" s="285">
        <f t="shared" si="160"/>
        <v>6000</v>
      </c>
      <c r="AT333" s="296"/>
    </row>
    <row r="334" spans="1:46" s="265" customFormat="1" ht="47.25" customHeight="1">
      <c r="A334" s="298">
        <v>1</v>
      </c>
      <c r="B334" s="314" t="s">
        <v>1267</v>
      </c>
      <c r="C334" s="300" t="s">
        <v>1268</v>
      </c>
      <c r="D334" s="300" t="s">
        <v>711</v>
      </c>
      <c r="E334" s="300"/>
      <c r="F334" s="312"/>
      <c r="G334" s="300"/>
      <c r="H334" s="295">
        <v>0</v>
      </c>
      <c r="I334" s="295"/>
      <c r="J334" s="295">
        <v>27500</v>
      </c>
      <c r="K334" s="295"/>
      <c r="L334" s="295"/>
      <c r="M334" s="295"/>
      <c r="N334" s="295">
        <f>P334+R334</f>
        <v>0</v>
      </c>
      <c r="O334" s="295"/>
      <c r="P334" s="295"/>
      <c r="Q334" s="295"/>
      <c r="R334" s="295"/>
      <c r="S334" s="295"/>
      <c r="T334" s="295">
        <f>V334+X334+Z334+AB334+AD334</f>
        <v>0</v>
      </c>
      <c r="U334" s="295">
        <f t="shared" si="157"/>
        <v>0</v>
      </c>
      <c r="V334" s="295"/>
      <c r="W334" s="295"/>
      <c r="X334" s="295"/>
      <c r="Y334" s="295"/>
      <c r="Z334" s="295"/>
      <c r="AA334" s="295"/>
      <c r="AB334" s="295"/>
      <c r="AC334" s="295"/>
      <c r="AD334" s="295"/>
      <c r="AE334" s="295"/>
      <c r="AF334" s="295"/>
      <c r="AG334" s="295"/>
      <c r="AH334" s="295">
        <f>AI334+AJ334+AK334</f>
        <v>22500</v>
      </c>
      <c r="AI334" s="295">
        <f>27500-5000</f>
        <v>22500</v>
      </c>
      <c r="AJ334" s="295">
        <f>R334+X334+Z334+AB334+AD334</f>
        <v>0</v>
      </c>
      <c r="AK334" s="295"/>
      <c r="AL334" s="285">
        <f t="shared" si="154"/>
        <v>22500</v>
      </c>
      <c r="AM334" s="295">
        <f>N334+T334+AF334</f>
        <v>0</v>
      </c>
      <c r="AN334" s="295">
        <f>O334+U334+AG334</f>
        <v>0</v>
      </c>
      <c r="AO334" s="285">
        <f t="shared" si="156"/>
        <v>0</v>
      </c>
      <c r="AP334" s="295">
        <f>AH334-AM334</f>
        <v>22500</v>
      </c>
      <c r="AQ334" s="285">
        <f>AP334-AK334</f>
        <v>22500</v>
      </c>
      <c r="AR334" s="295">
        <v>0</v>
      </c>
      <c r="AS334" s="295">
        <v>6000</v>
      </c>
      <c r="AT334" s="313"/>
    </row>
    <row r="335" spans="1:46" s="265" customFormat="1" ht="47.25" hidden="1" customHeight="1">
      <c r="A335" s="390"/>
      <c r="B335" s="305"/>
      <c r="C335" s="390"/>
      <c r="D335" s="391"/>
      <c r="E335" s="392"/>
      <c r="F335" s="323"/>
      <c r="G335" s="393"/>
      <c r="H335" s="295"/>
      <c r="I335" s="295"/>
      <c r="J335" s="295"/>
      <c r="K335" s="295"/>
      <c r="L335" s="295"/>
      <c r="M335" s="295"/>
      <c r="N335" s="295"/>
      <c r="O335" s="295"/>
      <c r="P335" s="295"/>
      <c r="Q335" s="295"/>
      <c r="R335" s="295"/>
      <c r="S335" s="295"/>
      <c r="T335" s="295"/>
      <c r="U335" s="295">
        <f t="shared" si="157"/>
        <v>0</v>
      </c>
      <c r="V335" s="295"/>
      <c r="W335" s="295"/>
      <c r="X335" s="295"/>
      <c r="Y335" s="295"/>
      <c r="Z335" s="295"/>
      <c r="AA335" s="295"/>
      <c r="AB335" s="295"/>
      <c r="AC335" s="295"/>
      <c r="AD335" s="295"/>
      <c r="AE335" s="295"/>
      <c r="AF335" s="295"/>
      <c r="AG335" s="295"/>
      <c r="AH335" s="295"/>
      <c r="AI335" s="295"/>
      <c r="AJ335" s="295"/>
      <c r="AK335" s="295"/>
      <c r="AL335" s="285">
        <f t="shared" si="154"/>
        <v>0</v>
      </c>
      <c r="AM335" s="295">
        <f>N335+T335+AF335</f>
        <v>0</v>
      </c>
      <c r="AN335" s="295">
        <f>O335+U335+AG335</f>
        <v>0</v>
      </c>
      <c r="AO335" s="285">
        <f t="shared" si="156"/>
        <v>0</v>
      </c>
      <c r="AP335" s="295">
        <f>AH335-AM335</f>
        <v>0</v>
      </c>
      <c r="AQ335" s="285">
        <f>AP335-AK335</f>
        <v>0</v>
      </c>
      <c r="AR335" s="295">
        <v>0</v>
      </c>
      <c r="AS335" s="295"/>
      <c r="AT335" s="310"/>
    </row>
    <row r="336" spans="1:46" s="265" customFormat="1" ht="15.75">
      <c r="A336" s="394" t="s">
        <v>1269</v>
      </c>
      <c r="B336" s="297" t="s">
        <v>855</v>
      </c>
      <c r="C336" s="395"/>
      <c r="D336" s="282"/>
      <c r="E336" s="282"/>
      <c r="F336" s="282"/>
      <c r="G336" s="282"/>
      <c r="H336" s="285">
        <f t="shared" ref="H336:AS336" si="161">SUM(H337:H338)</f>
        <v>4100</v>
      </c>
      <c r="I336" s="285">
        <f t="shared" si="161"/>
        <v>0</v>
      </c>
      <c r="J336" s="285">
        <f t="shared" si="161"/>
        <v>0</v>
      </c>
      <c r="K336" s="285">
        <f t="shared" si="161"/>
        <v>0</v>
      </c>
      <c r="L336" s="285">
        <f t="shared" si="161"/>
        <v>34838</v>
      </c>
      <c r="M336" s="285">
        <f t="shared" si="161"/>
        <v>34838</v>
      </c>
      <c r="N336" s="285">
        <f t="shared" si="161"/>
        <v>18693</v>
      </c>
      <c r="O336" s="285">
        <f t="shared" si="161"/>
        <v>17720</v>
      </c>
      <c r="P336" s="285">
        <f t="shared" si="161"/>
        <v>2335</v>
      </c>
      <c r="Q336" s="285">
        <f t="shared" si="161"/>
        <v>2335</v>
      </c>
      <c r="R336" s="285">
        <f t="shared" si="161"/>
        <v>16358</v>
      </c>
      <c r="S336" s="285">
        <f t="shared" si="161"/>
        <v>15385</v>
      </c>
      <c r="T336" s="285">
        <f t="shared" si="161"/>
        <v>76383</v>
      </c>
      <c r="U336" s="285">
        <f t="shared" si="161"/>
        <v>60511</v>
      </c>
      <c r="V336" s="285">
        <f t="shared" si="161"/>
        <v>17363</v>
      </c>
      <c r="W336" s="285">
        <f t="shared" si="161"/>
        <v>13666</v>
      </c>
      <c r="X336" s="285">
        <f t="shared" si="161"/>
        <v>19952</v>
      </c>
      <c r="Y336" s="285">
        <f t="shared" si="161"/>
        <v>12099</v>
      </c>
      <c r="Z336" s="285">
        <f t="shared" si="161"/>
        <v>39068</v>
      </c>
      <c r="AA336" s="285">
        <f t="shared" si="161"/>
        <v>34746</v>
      </c>
      <c r="AB336" s="285">
        <f t="shared" si="161"/>
        <v>0</v>
      </c>
      <c r="AC336" s="285">
        <f t="shared" si="161"/>
        <v>0</v>
      </c>
      <c r="AD336" s="285">
        <f t="shared" si="161"/>
        <v>0</v>
      </c>
      <c r="AE336" s="285">
        <f t="shared" si="161"/>
        <v>0</v>
      </c>
      <c r="AF336" s="285">
        <f t="shared" si="161"/>
        <v>8500</v>
      </c>
      <c r="AG336" s="285">
        <f t="shared" si="161"/>
        <v>0</v>
      </c>
      <c r="AH336" s="285">
        <f t="shared" si="161"/>
        <v>140453</v>
      </c>
      <c r="AI336" s="285">
        <f t="shared" si="161"/>
        <v>35075</v>
      </c>
      <c r="AJ336" s="285">
        <f t="shared" si="161"/>
        <v>75378</v>
      </c>
      <c r="AK336" s="285">
        <f t="shared" si="161"/>
        <v>30000</v>
      </c>
      <c r="AL336" s="285">
        <f t="shared" si="161"/>
        <v>110453</v>
      </c>
      <c r="AM336" s="285">
        <f t="shared" si="161"/>
        <v>103576</v>
      </c>
      <c r="AN336" s="285">
        <f t="shared" si="161"/>
        <v>78231</v>
      </c>
      <c r="AO336" s="285">
        <f t="shared" si="161"/>
        <v>103576</v>
      </c>
      <c r="AP336" s="285">
        <f t="shared" si="161"/>
        <v>36877</v>
      </c>
      <c r="AQ336" s="285">
        <f t="shared" si="161"/>
        <v>6877</v>
      </c>
      <c r="AR336" s="285">
        <f t="shared" si="161"/>
        <v>0</v>
      </c>
      <c r="AS336" s="285">
        <f t="shared" si="161"/>
        <v>12290</v>
      </c>
      <c r="AT336" s="349"/>
    </row>
    <row r="337" spans="1:49" ht="47.25" customHeight="1">
      <c r="A337" s="396" t="s">
        <v>1125</v>
      </c>
      <c r="B337" s="369" t="s">
        <v>1270</v>
      </c>
      <c r="C337" s="300" t="s">
        <v>744</v>
      </c>
      <c r="D337" s="300" t="s">
        <v>744</v>
      </c>
      <c r="E337" s="300"/>
      <c r="F337" s="300" t="s">
        <v>684</v>
      </c>
      <c r="G337" s="300" t="s">
        <v>1271</v>
      </c>
      <c r="H337" s="295">
        <v>4100</v>
      </c>
      <c r="I337" s="295"/>
      <c r="J337" s="295"/>
      <c r="K337" s="295"/>
      <c r="L337" s="295"/>
      <c r="M337" s="295"/>
      <c r="N337" s="295"/>
      <c r="O337" s="295"/>
      <c r="P337" s="295"/>
      <c r="Q337" s="295"/>
      <c r="R337" s="295"/>
      <c r="S337" s="295"/>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v>0</v>
      </c>
      <c r="AS337" s="295">
        <v>2000</v>
      </c>
      <c r="AT337" s="313"/>
    </row>
    <row r="338" spans="1:49" ht="47.25" customHeight="1">
      <c r="A338" s="389">
        <v>2</v>
      </c>
      <c r="B338" s="369" t="s">
        <v>1272</v>
      </c>
      <c r="C338" s="319" t="s">
        <v>907</v>
      </c>
      <c r="D338" s="300" t="s">
        <v>711</v>
      </c>
      <c r="E338" s="300"/>
      <c r="F338" s="300"/>
      <c r="G338" s="300"/>
      <c r="H338" s="295">
        <v>0</v>
      </c>
      <c r="I338" s="295"/>
      <c r="J338" s="295">
        <f>I338*90%</f>
        <v>0</v>
      </c>
      <c r="K338" s="295"/>
      <c r="L338" s="295">
        <f>34838</f>
        <v>34838</v>
      </c>
      <c r="M338" s="295">
        <f>34838</f>
        <v>34838</v>
      </c>
      <c r="N338" s="295">
        <f>P338+R338</f>
        <v>18693</v>
      </c>
      <c r="O338" s="295">
        <f>Q338+S338</f>
        <v>17720</v>
      </c>
      <c r="P338" s="295">
        <v>2335</v>
      </c>
      <c r="Q338" s="295">
        <v>2335</v>
      </c>
      <c r="R338" s="295">
        <f>(5000+2000)+9800-442</f>
        <v>16358</v>
      </c>
      <c r="S338" s="295">
        <v>15385</v>
      </c>
      <c r="T338" s="295">
        <f>V338+X338+Z338+AB338+AD338</f>
        <v>76383</v>
      </c>
      <c r="U338" s="295">
        <f t="shared" si="157"/>
        <v>60511</v>
      </c>
      <c r="V338" s="295">
        <v>17363</v>
      </c>
      <c r="W338" s="295">
        <v>13666</v>
      </c>
      <c r="X338" s="295">
        <f>18350-3875+5434+43</f>
        <v>19952</v>
      </c>
      <c r="Y338" s="295">
        <f>11332-3875+4642</f>
        <v>12099</v>
      </c>
      <c r="Z338" s="295">
        <f>39068</f>
        <v>39068</v>
      </c>
      <c r="AA338" s="295">
        <v>34746</v>
      </c>
      <c r="AB338" s="295"/>
      <c r="AC338" s="295"/>
      <c r="AD338" s="295"/>
      <c r="AE338" s="295"/>
      <c r="AF338" s="295">
        <v>8500</v>
      </c>
      <c r="AG338" s="295">
        <v>0</v>
      </c>
      <c r="AH338" s="295">
        <f>AI338+AJ338+AK338</f>
        <v>140453</v>
      </c>
      <c r="AI338" s="295">
        <v>35075</v>
      </c>
      <c r="AJ338" s="295">
        <f>R338+X338+Z338+AB338+AD338</f>
        <v>75378</v>
      </c>
      <c r="AK338" s="295">
        <v>30000</v>
      </c>
      <c r="AL338" s="285">
        <f t="shared" si="154"/>
        <v>110453</v>
      </c>
      <c r="AM338" s="295">
        <f>N338+T338+AF338</f>
        <v>103576</v>
      </c>
      <c r="AN338" s="295">
        <f>O338+U338+AG338</f>
        <v>78231</v>
      </c>
      <c r="AO338" s="295">
        <f t="shared" si="156"/>
        <v>103576</v>
      </c>
      <c r="AP338" s="295">
        <f>AH338-AM338</f>
        <v>36877</v>
      </c>
      <c r="AQ338" s="285">
        <f>AP338-AK338</f>
        <v>6877</v>
      </c>
      <c r="AR338" s="295">
        <v>0</v>
      </c>
      <c r="AS338" s="295">
        <f>7200+3090</f>
        <v>10290</v>
      </c>
      <c r="AT338" s="310"/>
    </row>
    <row r="339" spans="1:49" ht="47.25" hidden="1" customHeight="1">
      <c r="A339" s="389"/>
      <c r="B339" s="369"/>
      <c r="C339" s="319"/>
      <c r="D339" s="300"/>
      <c r="E339" s="300"/>
      <c r="F339" s="300"/>
      <c r="G339" s="300"/>
      <c r="H339" s="295"/>
      <c r="I339" s="295"/>
      <c r="J339" s="295">
        <f>I339*90%</f>
        <v>0</v>
      </c>
      <c r="K339" s="295"/>
      <c r="L339" s="295"/>
      <c r="M339" s="295"/>
      <c r="N339" s="295"/>
      <c r="O339" s="295"/>
      <c r="P339" s="295"/>
      <c r="Q339" s="295"/>
      <c r="R339" s="295"/>
      <c r="S339" s="295"/>
      <c r="T339" s="295">
        <f>V339+X339+Z339+AB339+AD339</f>
        <v>0</v>
      </c>
      <c r="U339" s="295">
        <f t="shared" si="157"/>
        <v>0</v>
      </c>
      <c r="V339" s="295"/>
      <c r="W339" s="295"/>
      <c r="X339" s="295"/>
      <c r="Y339" s="295"/>
      <c r="Z339" s="295"/>
      <c r="AA339" s="295"/>
      <c r="AB339" s="295"/>
      <c r="AC339" s="295"/>
      <c r="AD339" s="295"/>
      <c r="AE339" s="295"/>
      <c r="AF339" s="295"/>
      <c r="AG339" s="295"/>
      <c r="AH339" s="295">
        <f>AI339+AJ339</f>
        <v>0</v>
      </c>
      <c r="AI339" s="295"/>
      <c r="AJ339" s="295"/>
      <c r="AK339" s="295"/>
      <c r="AL339" s="285">
        <f t="shared" si="154"/>
        <v>0</v>
      </c>
      <c r="AM339" s="295">
        <f>N339+T339+AF339</f>
        <v>0</v>
      </c>
      <c r="AN339" s="295">
        <f>O339+U339+AG339</f>
        <v>0</v>
      </c>
      <c r="AO339" s="285">
        <f t="shared" si="156"/>
        <v>0</v>
      </c>
      <c r="AP339" s="295">
        <f>AH339-AM339</f>
        <v>0</v>
      </c>
      <c r="AQ339" s="285">
        <f t="shared" ref="AQ339:AQ376" si="162">AP339-AK339</f>
        <v>0</v>
      </c>
      <c r="AR339" s="295"/>
      <c r="AS339" s="295"/>
      <c r="AT339" s="310"/>
    </row>
    <row r="340" spans="1:49" s="265" customFormat="1" ht="47.25" customHeight="1">
      <c r="A340" s="290" t="s">
        <v>12</v>
      </c>
      <c r="B340" s="297" t="s">
        <v>1273</v>
      </c>
      <c r="C340" s="292"/>
      <c r="D340" s="279"/>
      <c r="E340" s="293"/>
      <c r="F340" s="279"/>
      <c r="G340" s="294"/>
      <c r="H340" s="285">
        <f t="shared" ref="H340:AS340" si="163">H341+H381+H385</f>
        <v>8607895</v>
      </c>
      <c r="I340" s="285">
        <f t="shared" si="163"/>
        <v>2252055</v>
      </c>
      <c r="J340" s="285">
        <f t="shared" si="163"/>
        <v>2026849.5</v>
      </c>
      <c r="K340" s="285">
        <f t="shared" si="163"/>
        <v>318902</v>
      </c>
      <c r="L340" s="285">
        <f t="shared" si="163"/>
        <v>1888581</v>
      </c>
      <c r="M340" s="285">
        <f t="shared" si="163"/>
        <v>2091841</v>
      </c>
      <c r="N340" s="285">
        <f t="shared" si="163"/>
        <v>333954</v>
      </c>
      <c r="O340" s="285">
        <f t="shared" si="163"/>
        <v>159978</v>
      </c>
      <c r="P340" s="285">
        <f t="shared" si="163"/>
        <v>333954</v>
      </c>
      <c r="Q340" s="285">
        <f t="shared" si="163"/>
        <v>159978</v>
      </c>
      <c r="R340" s="285">
        <f t="shared" si="163"/>
        <v>0</v>
      </c>
      <c r="S340" s="285">
        <f t="shared" si="163"/>
        <v>0</v>
      </c>
      <c r="T340" s="285">
        <f t="shared" si="163"/>
        <v>550161</v>
      </c>
      <c r="U340" s="285">
        <f t="shared" si="163"/>
        <v>511360.92190042301</v>
      </c>
      <c r="V340" s="285">
        <f t="shared" si="163"/>
        <v>357019</v>
      </c>
      <c r="W340" s="285">
        <f t="shared" si="163"/>
        <v>345405.92190042301</v>
      </c>
      <c r="X340" s="285">
        <f t="shared" si="163"/>
        <v>0</v>
      </c>
      <c r="Y340" s="285">
        <f t="shared" si="163"/>
        <v>0</v>
      </c>
      <c r="Z340" s="285">
        <f t="shared" si="163"/>
        <v>0</v>
      </c>
      <c r="AA340" s="285">
        <f t="shared" si="163"/>
        <v>0</v>
      </c>
      <c r="AB340" s="285">
        <f t="shared" si="163"/>
        <v>33920</v>
      </c>
      <c r="AC340" s="285">
        <f t="shared" si="163"/>
        <v>29920</v>
      </c>
      <c r="AD340" s="285">
        <f t="shared" si="163"/>
        <v>159222</v>
      </c>
      <c r="AE340" s="285">
        <f t="shared" si="163"/>
        <v>136035</v>
      </c>
      <c r="AF340" s="285">
        <f t="shared" si="163"/>
        <v>893751</v>
      </c>
      <c r="AG340" s="285">
        <f t="shared" si="163"/>
        <v>263605</v>
      </c>
      <c r="AH340" s="285">
        <f t="shared" si="163"/>
        <v>4121053</v>
      </c>
      <c r="AI340" s="285">
        <f t="shared" si="163"/>
        <v>4121053</v>
      </c>
      <c r="AJ340" s="285">
        <f t="shared" si="163"/>
        <v>0</v>
      </c>
      <c r="AK340" s="285">
        <f t="shared" si="163"/>
        <v>0</v>
      </c>
      <c r="AL340" s="285">
        <f t="shared" si="163"/>
        <v>4121053</v>
      </c>
      <c r="AM340" s="285">
        <f t="shared" si="163"/>
        <v>1777866</v>
      </c>
      <c r="AN340" s="285">
        <f t="shared" si="163"/>
        <v>934943.92190042301</v>
      </c>
      <c r="AO340" s="285">
        <f t="shared" si="163"/>
        <v>2096768</v>
      </c>
      <c r="AP340" s="285">
        <f t="shared" si="163"/>
        <v>2379344</v>
      </c>
      <c r="AQ340" s="285">
        <f t="shared" si="163"/>
        <v>2379344</v>
      </c>
      <c r="AR340" s="285">
        <f t="shared" si="163"/>
        <v>2116768</v>
      </c>
      <c r="AS340" s="285">
        <f t="shared" si="163"/>
        <v>1185965</v>
      </c>
      <c r="AT340" s="296"/>
    </row>
    <row r="341" spans="1:49" s="265" customFormat="1" ht="15.75">
      <c r="A341" s="290" t="s">
        <v>1274</v>
      </c>
      <c r="B341" s="297" t="s">
        <v>1275</v>
      </c>
      <c r="C341" s="292"/>
      <c r="D341" s="279"/>
      <c r="E341" s="293"/>
      <c r="F341" s="279"/>
      <c r="G341" s="294"/>
      <c r="H341" s="285">
        <f t="shared" ref="H341:AR341" si="164">H342+H346</f>
        <v>5014810</v>
      </c>
      <c r="I341" s="285">
        <f t="shared" si="164"/>
        <v>1902055</v>
      </c>
      <c r="J341" s="285">
        <f t="shared" si="164"/>
        <v>1711849.5</v>
      </c>
      <c r="K341" s="285">
        <f t="shared" si="164"/>
        <v>318902</v>
      </c>
      <c r="L341" s="285">
        <f t="shared" si="164"/>
        <v>1888581</v>
      </c>
      <c r="M341" s="285">
        <f t="shared" si="164"/>
        <v>2091841</v>
      </c>
      <c r="N341" s="285">
        <f t="shared" si="164"/>
        <v>163642</v>
      </c>
      <c r="O341" s="285">
        <f t="shared" si="164"/>
        <v>159978</v>
      </c>
      <c r="P341" s="285">
        <f t="shared" si="164"/>
        <v>163642</v>
      </c>
      <c r="Q341" s="285">
        <f t="shared" si="164"/>
        <v>159978</v>
      </c>
      <c r="R341" s="285">
        <f t="shared" si="164"/>
        <v>0</v>
      </c>
      <c r="S341" s="285">
        <f t="shared" si="164"/>
        <v>0</v>
      </c>
      <c r="T341" s="285">
        <f t="shared" si="164"/>
        <v>405692</v>
      </c>
      <c r="U341" s="285">
        <f t="shared" si="164"/>
        <v>366891.92190042301</v>
      </c>
      <c r="V341" s="285">
        <f t="shared" si="164"/>
        <v>212550</v>
      </c>
      <c r="W341" s="285">
        <f t="shared" si="164"/>
        <v>200936.92190042304</v>
      </c>
      <c r="X341" s="285">
        <f t="shared" si="164"/>
        <v>0</v>
      </c>
      <c r="Y341" s="285">
        <f t="shared" si="164"/>
        <v>0</v>
      </c>
      <c r="Z341" s="285">
        <f t="shared" si="164"/>
        <v>0</v>
      </c>
      <c r="AA341" s="285">
        <f t="shared" si="164"/>
        <v>0</v>
      </c>
      <c r="AB341" s="285">
        <f t="shared" si="164"/>
        <v>33920</v>
      </c>
      <c r="AC341" s="285">
        <f t="shared" si="164"/>
        <v>29920</v>
      </c>
      <c r="AD341" s="285">
        <f t="shared" si="164"/>
        <v>159222</v>
      </c>
      <c r="AE341" s="285">
        <f t="shared" si="164"/>
        <v>136035</v>
      </c>
      <c r="AF341" s="285">
        <f t="shared" si="164"/>
        <v>298100</v>
      </c>
      <c r="AG341" s="285">
        <f t="shared" si="164"/>
        <v>171212</v>
      </c>
      <c r="AH341" s="285">
        <f t="shared" si="164"/>
        <v>2165041</v>
      </c>
      <c r="AI341" s="285">
        <f t="shared" si="164"/>
        <v>2165041</v>
      </c>
      <c r="AJ341" s="285">
        <f t="shared" si="164"/>
        <v>0</v>
      </c>
      <c r="AK341" s="285">
        <f t="shared" si="164"/>
        <v>0</v>
      </c>
      <c r="AL341" s="285">
        <f t="shared" si="164"/>
        <v>2165041</v>
      </c>
      <c r="AM341" s="285">
        <f t="shared" si="164"/>
        <v>867434</v>
      </c>
      <c r="AN341" s="285">
        <f t="shared" si="164"/>
        <v>698081.92190042301</v>
      </c>
      <c r="AO341" s="285">
        <f t="shared" si="164"/>
        <v>1186336</v>
      </c>
      <c r="AP341" s="285">
        <f t="shared" si="164"/>
        <v>1297607</v>
      </c>
      <c r="AQ341" s="285">
        <f t="shared" si="164"/>
        <v>1297607</v>
      </c>
      <c r="AR341" s="285">
        <f t="shared" si="164"/>
        <v>1186336</v>
      </c>
      <c r="AS341" s="285">
        <f>AS342+AS346</f>
        <v>541779</v>
      </c>
      <c r="AT341" s="296"/>
    </row>
    <row r="342" spans="1:49" s="401" customFormat="1" ht="47.25" customHeight="1">
      <c r="A342" s="296" t="s">
        <v>16</v>
      </c>
      <c r="B342" s="397" t="s">
        <v>1276</v>
      </c>
      <c r="C342" s="398"/>
      <c r="D342" s="399"/>
      <c r="E342" s="399"/>
      <c r="F342" s="399"/>
      <c r="G342" s="399"/>
      <c r="H342" s="285">
        <f t="shared" ref="H342:AR342" si="165">H343+H344</f>
        <v>0</v>
      </c>
      <c r="I342" s="285">
        <f t="shared" si="165"/>
        <v>0</v>
      </c>
      <c r="J342" s="285">
        <f t="shared" si="165"/>
        <v>0</v>
      </c>
      <c r="K342" s="285">
        <f t="shared" si="165"/>
        <v>0</v>
      </c>
      <c r="L342" s="285">
        <f t="shared" si="165"/>
        <v>645537</v>
      </c>
      <c r="M342" s="285">
        <f t="shared" si="165"/>
        <v>658797</v>
      </c>
      <c r="N342" s="285">
        <f t="shared" si="165"/>
        <v>41200</v>
      </c>
      <c r="O342" s="285">
        <f t="shared" si="165"/>
        <v>37537</v>
      </c>
      <c r="P342" s="285">
        <f t="shared" si="165"/>
        <v>41200</v>
      </c>
      <c r="Q342" s="285">
        <f t="shared" si="165"/>
        <v>37537</v>
      </c>
      <c r="R342" s="285">
        <f t="shared" si="165"/>
        <v>0</v>
      </c>
      <c r="S342" s="285">
        <f t="shared" si="165"/>
        <v>0</v>
      </c>
      <c r="T342" s="285">
        <f t="shared" si="165"/>
        <v>293142</v>
      </c>
      <c r="U342" s="285">
        <f t="shared" si="165"/>
        <v>254341.92190042304</v>
      </c>
      <c r="V342" s="285">
        <f t="shared" si="165"/>
        <v>100000</v>
      </c>
      <c r="W342" s="285">
        <f t="shared" si="165"/>
        <v>88386.92190042304</v>
      </c>
      <c r="X342" s="285">
        <f t="shared" si="165"/>
        <v>0</v>
      </c>
      <c r="Y342" s="285">
        <f t="shared" si="165"/>
        <v>0</v>
      </c>
      <c r="Z342" s="285">
        <f t="shared" si="165"/>
        <v>0</v>
      </c>
      <c r="AA342" s="285">
        <f t="shared" si="165"/>
        <v>0</v>
      </c>
      <c r="AB342" s="285">
        <f t="shared" si="165"/>
        <v>33920</v>
      </c>
      <c r="AC342" s="285">
        <f t="shared" si="165"/>
        <v>29920</v>
      </c>
      <c r="AD342" s="285">
        <f t="shared" si="165"/>
        <v>159222</v>
      </c>
      <c r="AE342" s="285">
        <f t="shared" si="165"/>
        <v>136035</v>
      </c>
      <c r="AF342" s="285">
        <f t="shared" si="165"/>
        <v>100100</v>
      </c>
      <c r="AG342" s="285">
        <f t="shared" si="165"/>
        <v>34850</v>
      </c>
      <c r="AH342" s="285">
        <f t="shared" si="165"/>
        <v>731997</v>
      </c>
      <c r="AI342" s="285">
        <f t="shared" si="165"/>
        <v>731997</v>
      </c>
      <c r="AJ342" s="285">
        <f t="shared" si="165"/>
        <v>0</v>
      </c>
      <c r="AK342" s="285">
        <f t="shared" si="165"/>
        <v>0</v>
      </c>
      <c r="AL342" s="285">
        <f t="shared" si="165"/>
        <v>731997</v>
      </c>
      <c r="AM342" s="285">
        <f t="shared" si="165"/>
        <v>434442</v>
      </c>
      <c r="AN342" s="285">
        <f t="shared" si="165"/>
        <v>326728.92190042301</v>
      </c>
      <c r="AO342" s="285">
        <f t="shared" si="165"/>
        <v>434442</v>
      </c>
      <c r="AP342" s="285">
        <f t="shared" si="165"/>
        <v>297555</v>
      </c>
      <c r="AQ342" s="285">
        <f t="shared" si="165"/>
        <v>297555</v>
      </c>
      <c r="AR342" s="285">
        <f t="shared" si="165"/>
        <v>434442</v>
      </c>
      <c r="AS342" s="285">
        <f>AS343+AS344</f>
        <v>215709</v>
      </c>
      <c r="AT342" s="400"/>
    </row>
    <row r="343" spans="1:49" s="265" customFormat="1" ht="47.25" customHeight="1">
      <c r="A343" s="298">
        <v>1</v>
      </c>
      <c r="B343" s="314" t="s">
        <v>1277</v>
      </c>
      <c r="C343" s="300" t="s">
        <v>1278</v>
      </c>
      <c r="D343" s="300" t="s">
        <v>1278</v>
      </c>
      <c r="E343" s="300"/>
      <c r="F343" s="312"/>
      <c r="G343" s="300"/>
      <c r="H343" s="295"/>
      <c r="I343" s="295"/>
      <c r="J343" s="295">
        <f>I343*90%</f>
        <v>0</v>
      </c>
      <c r="K343" s="295"/>
      <c r="L343" s="295">
        <v>68637</v>
      </c>
      <c r="M343" s="295">
        <v>66921</v>
      </c>
      <c r="N343" s="295">
        <f>P343+R343</f>
        <v>24600</v>
      </c>
      <c r="O343" s="295">
        <f>Q343+S343</f>
        <v>22062</v>
      </c>
      <c r="P343" s="295">
        <v>24600</v>
      </c>
      <c r="Q343" s="295">
        <v>22062</v>
      </c>
      <c r="R343" s="295"/>
      <c r="S343" s="295"/>
      <c r="T343" s="295">
        <f>V343+X343+Z343+AB343+AD343</f>
        <v>11000</v>
      </c>
      <c r="U343" s="295">
        <f t="shared" si="157"/>
        <v>9882</v>
      </c>
      <c r="V343" s="295">
        <v>11000</v>
      </c>
      <c r="W343" s="295">
        <v>9882</v>
      </c>
      <c r="X343" s="295"/>
      <c r="Y343" s="295"/>
      <c r="Z343" s="295"/>
      <c r="AA343" s="295"/>
      <c r="AB343" s="295"/>
      <c r="AC343" s="295"/>
      <c r="AD343" s="295">
        <v>0</v>
      </c>
      <c r="AE343" s="295"/>
      <c r="AF343" s="295">
        <v>11000</v>
      </c>
      <c r="AG343" s="295">
        <v>1836</v>
      </c>
      <c r="AH343" s="295">
        <f>AI343+AJ343</f>
        <v>74357</v>
      </c>
      <c r="AI343" s="295">
        <v>74357</v>
      </c>
      <c r="AJ343" s="295">
        <f>R343+X343+Z343+AB343+AD343</f>
        <v>0</v>
      </c>
      <c r="AK343" s="295"/>
      <c r="AL343" s="285">
        <f t="shared" si="154"/>
        <v>74357</v>
      </c>
      <c r="AM343" s="295">
        <f t="shared" ref="AM343:AN379" si="166">N343+T343+AF343</f>
        <v>46600</v>
      </c>
      <c r="AN343" s="295">
        <f t="shared" si="166"/>
        <v>33780</v>
      </c>
      <c r="AO343" s="295">
        <f t="shared" si="156"/>
        <v>46600</v>
      </c>
      <c r="AP343" s="295">
        <f t="shared" ref="AP343:AP387" si="167">AH343-AM343</f>
        <v>27757</v>
      </c>
      <c r="AQ343" s="285">
        <f t="shared" si="162"/>
        <v>27757</v>
      </c>
      <c r="AR343" s="295">
        <v>46600</v>
      </c>
      <c r="AS343" s="295">
        <v>53409</v>
      </c>
      <c r="AT343" s="313"/>
    </row>
    <row r="344" spans="1:49" s="265" customFormat="1" ht="47.25" customHeight="1">
      <c r="A344" s="298">
        <v>2</v>
      </c>
      <c r="B344" s="314" t="s">
        <v>1279</v>
      </c>
      <c r="C344" s="300" t="s">
        <v>659</v>
      </c>
      <c r="D344" s="300" t="s">
        <v>659</v>
      </c>
      <c r="E344" s="300"/>
      <c r="F344" s="312"/>
      <c r="G344" s="300"/>
      <c r="H344" s="295"/>
      <c r="I344" s="295"/>
      <c r="J344" s="295">
        <f>I344*90%</f>
        <v>0</v>
      </c>
      <c r="K344" s="295"/>
      <c r="L344" s="295">
        <v>576900</v>
      </c>
      <c r="M344" s="295">
        <v>591876</v>
      </c>
      <c r="N344" s="295">
        <f>P344+R344</f>
        <v>16600</v>
      </c>
      <c r="O344" s="295">
        <f>Q344+S344</f>
        <v>15475</v>
      </c>
      <c r="P344" s="295">
        <v>16600</v>
      </c>
      <c r="Q344" s="295">
        <v>15475</v>
      </c>
      <c r="R344" s="295"/>
      <c r="S344" s="295"/>
      <c r="T344" s="295">
        <f>V344+X344+Z344+AB344+AD344</f>
        <v>282142</v>
      </c>
      <c r="U344" s="295">
        <f t="shared" si="157"/>
        <v>244459.92190042304</v>
      </c>
      <c r="V344" s="295">
        <f>122920-33920</f>
        <v>89000</v>
      </c>
      <c r="W344" s="295">
        <f>108425*89000/122920</f>
        <v>78504.92190042304</v>
      </c>
      <c r="X344" s="295"/>
      <c r="Y344" s="295"/>
      <c r="Z344" s="295"/>
      <c r="AA344" s="295"/>
      <c r="AB344" s="295">
        <v>33920</v>
      </c>
      <c r="AC344" s="295">
        <f>108425-78505</f>
        <v>29920</v>
      </c>
      <c r="AD344" s="295">
        <v>159222</v>
      </c>
      <c r="AE344" s="295">
        <v>136035</v>
      </c>
      <c r="AF344" s="295">
        <v>89100</v>
      </c>
      <c r="AG344" s="295">
        <v>33014</v>
      </c>
      <c r="AH344" s="295">
        <f>AI344+AJ344</f>
        <v>657640</v>
      </c>
      <c r="AI344" s="295">
        <v>657640</v>
      </c>
      <c r="AJ344" s="295"/>
      <c r="AK344" s="295"/>
      <c r="AL344" s="285">
        <f t="shared" si="154"/>
        <v>657640</v>
      </c>
      <c r="AM344" s="295">
        <f t="shared" si="166"/>
        <v>387842</v>
      </c>
      <c r="AN344" s="295">
        <f t="shared" si="166"/>
        <v>292948.92190042301</v>
      </c>
      <c r="AO344" s="295">
        <f t="shared" si="156"/>
        <v>387842</v>
      </c>
      <c r="AP344" s="295">
        <f t="shared" si="167"/>
        <v>269798</v>
      </c>
      <c r="AQ344" s="285">
        <f t="shared" si="162"/>
        <v>269798</v>
      </c>
      <c r="AR344" s="295">
        <v>387842</v>
      </c>
      <c r="AS344" s="295">
        <v>162300</v>
      </c>
      <c r="AT344" s="313"/>
    </row>
    <row r="345" spans="1:49" s="406" customFormat="1" ht="47.25" hidden="1" customHeight="1">
      <c r="A345" s="304"/>
      <c r="B345" s="402"/>
      <c r="C345" s="403"/>
      <c r="D345" s="404"/>
      <c r="E345" s="404"/>
      <c r="F345" s="404"/>
      <c r="G345" s="404"/>
      <c r="H345" s="295"/>
      <c r="I345" s="295"/>
      <c r="J345" s="295">
        <f>I345*90%</f>
        <v>0</v>
      </c>
      <c r="K345" s="295"/>
      <c r="L345" s="295"/>
      <c r="M345" s="295"/>
      <c r="N345" s="295"/>
      <c r="O345" s="295"/>
      <c r="P345" s="295"/>
      <c r="Q345" s="295"/>
      <c r="R345" s="295"/>
      <c r="S345" s="295"/>
      <c r="T345" s="295">
        <f>V345+X345+Z345+AB345+AD345</f>
        <v>0</v>
      </c>
      <c r="U345" s="295">
        <f t="shared" si="157"/>
        <v>0</v>
      </c>
      <c r="V345" s="295"/>
      <c r="W345" s="295"/>
      <c r="X345" s="295"/>
      <c r="Y345" s="295"/>
      <c r="Z345" s="295"/>
      <c r="AA345" s="295"/>
      <c r="AB345" s="295"/>
      <c r="AC345" s="295"/>
      <c r="AD345" s="295"/>
      <c r="AE345" s="295"/>
      <c r="AF345" s="295"/>
      <c r="AG345" s="295"/>
      <c r="AH345" s="295"/>
      <c r="AI345" s="295"/>
      <c r="AJ345" s="295"/>
      <c r="AK345" s="295"/>
      <c r="AL345" s="285">
        <f t="shared" si="154"/>
        <v>0</v>
      </c>
      <c r="AM345" s="295">
        <f t="shared" si="166"/>
        <v>0</v>
      </c>
      <c r="AN345" s="295">
        <f t="shared" si="166"/>
        <v>0</v>
      </c>
      <c r="AO345" s="285">
        <f t="shared" si="156"/>
        <v>0</v>
      </c>
      <c r="AP345" s="295">
        <f t="shared" si="167"/>
        <v>0</v>
      </c>
      <c r="AQ345" s="285">
        <f t="shared" si="162"/>
        <v>0</v>
      </c>
      <c r="AR345" s="295">
        <v>0</v>
      </c>
      <c r="AS345" s="295"/>
      <c r="AT345" s="405"/>
    </row>
    <row r="346" spans="1:49" s="401" customFormat="1" ht="47.25" customHeight="1">
      <c r="A346" s="296" t="s">
        <v>26</v>
      </c>
      <c r="B346" s="397" t="s">
        <v>1280</v>
      </c>
      <c r="C346" s="398"/>
      <c r="D346" s="399"/>
      <c r="E346" s="399"/>
      <c r="F346" s="399"/>
      <c r="G346" s="399"/>
      <c r="H346" s="285">
        <f t="shared" ref="H346:AR346" si="168">H347+H356+H360+H364+H369+H373+H377</f>
        <v>5014810</v>
      </c>
      <c r="I346" s="285">
        <f t="shared" si="168"/>
        <v>1902055</v>
      </c>
      <c r="J346" s="285">
        <f t="shared" si="168"/>
        <v>1711849.5</v>
      </c>
      <c r="K346" s="285">
        <f t="shared" si="168"/>
        <v>318902</v>
      </c>
      <c r="L346" s="285">
        <f t="shared" si="168"/>
        <v>1243044</v>
      </c>
      <c r="M346" s="285">
        <f t="shared" si="168"/>
        <v>1433044</v>
      </c>
      <c r="N346" s="285">
        <f t="shared" si="168"/>
        <v>122442</v>
      </c>
      <c r="O346" s="285">
        <f t="shared" si="168"/>
        <v>122441</v>
      </c>
      <c r="P346" s="285">
        <f t="shared" si="168"/>
        <v>122442</v>
      </c>
      <c r="Q346" s="285">
        <f t="shared" si="168"/>
        <v>122441</v>
      </c>
      <c r="R346" s="285">
        <f t="shared" si="168"/>
        <v>0</v>
      </c>
      <c r="S346" s="285">
        <f t="shared" si="168"/>
        <v>0</v>
      </c>
      <c r="T346" s="285">
        <f t="shared" si="168"/>
        <v>112550</v>
      </c>
      <c r="U346" s="285">
        <f t="shared" si="168"/>
        <v>112550</v>
      </c>
      <c r="V346" s="285">
        <f t="shared" si="168"/>
        <v>112550</v>
      </c>
      <c r="W346" s="285">
        <f t="shared" si="168"/>
        <v>112550</v>
      </c>
      <c r="X346" s="285">
        <f t="shared" si="168"/>
        <v>0</v>
      </c>
      <c r="Y346" s="285">
        <f t="shared" si="168"/>
        <v>0</v>
      </c>
      <c r="Z346" s="285">
        <f t="shared" si="168"/>
        <v>0</v>
      </c>
      <c r="AA346" s="285">
        <f t="shared" si="168"/>
        <v>0</v>
      </c>
      <c r="AB346" s="285">
        <f t="shared" si="168"/>
        <v>0</v>
      </c>
      <c r="AC346" s="285">
        <f t="shared" si="168"/>
        <v>0</v>
      </c>
      <c r="AD346" s="285">
        <f t="shared" si="168"/>
        <v>0</v>
      </c>
      <c r="AE346" s="285">
        <f t="shared" si="168"/>
        <v>0</v>
      </c>
      <c r="AF346" s="285">
        <f t="shared" si="168"/>
        <v>198000</v>
      </c>
      <c r="AG346" s="285">
        <f t="shared" si="168"/>
        <v>136362</v>
      </c>
      <c r="AH346" s="285">
        <f t="shared" si="168"/>
        <v>1433044</v>
      </c>
      <c r="AI346" s="285">
        <f t="shared" si="168"/>
        <v>1433044</v>
      </c>
      <c r="AJ346" s="285">
        <f t="shared" si="168"/>
        <v>0</v>
      </c>
      <c r="AK346" s="285">
        <f t="shared" si="168"/>
        <v>0</v>
      </c>
      <c r="AL346" s="285">
        <f t="shared" si="168"/>
        <v>1433044</v>
      </c>
      <c r="AM346" s="285">
        <f t="shared" si="168"/>
        <v>432992</v>
      </c>
      <c r="AN346" s="285">
        <f t="shared" si="168"/>
        <v>371353</v>
      </c>
      <c r="AO346" s="285">
        <f t="shared" si="168"/>
        <v>751894</v>
      </c>
      <c r="AP346" s="285">
        <f t="shared" si="168"/>
        <v>1000052</v>
      </c>
      <c r="AQ346" s="285">
        <f t="shared" si="168"/>
        <v>1000052</v>
      </c>
      <c r="AR346" s="285">
        <f t="shared" si="168"/>
        <v>751894</v>
      </c>
      <c r="AS346" s="285">
        <f>AS347+AS356+AS360+AS364+AS369+AS373+AS377</f>
        <v>326070</v>
      </c>
      <c r="AT346" s="400"/>
      <c r="AU346" s="401">
        <v>326070</v>
      </c>
      <c r="AV346" s="401">
        <f>AS346-AU346</f>
        <v>0</v>
      </c>
      <c r="AW346" s="401">
        <f>AV346-148000</f>
        <v>-148000</v>
      </c>
    </row>
    <row r="347" spans="1:49" s="265" customFormat="1" ht="47.25" customHeight="1">
      <c r="A347" s="290" t="s">
        <v>1281</v>
      </c>
      <c r="B347" s="297" t="s">
        <v>1282</v>
      </c>
      <c r="C347" s="292"/>
      <c r="D347" s="279"/>
      <c r="E347" s="293"/>
      <c r="F347" s="279"/>
      <c r="G347" s="294"/>
      <c r="H347" s="285">
        <f t="shared" ref="H347:AS347" si="169">H348</f>
        <v>2159506</v>
      </c>
      <c r="I347" s="285">
        <f t="shared" si="169"/>
        <v>938544</v>
      </c>
      <c r="J347" s="285">
        <f t="shared" si="169"/>
        <v>844689.6</v>
      </c>
      <c r="K347" s="285">
        <f t="shared" si="169"/>
        <v>40000</v>
      </c>
      <c r="L347" s="285">
        <f t="shared" si="169"/>
        <v>748544</v>
      </c>
      <c r="M347" s="285">
        <f t="shared" si="169"/>
        <v>748706</v>
      </c>
      <c r="N347" s="285">
        <f t="shared" si="169"/>
        <v>50000</v>
      </c>
      <c r="O347" s="285">
        <f t="shared" si="169"/>
        <v>50000</v>
      </c>
      <c r="P347" s="285">
        <f t="shared" si="169"/>
        <v>50000</v>
      </c>
      <c r="Q347" s="285">
        <f t="shared" si="169"/>
        <v>50000</v>
      </c>
      <c r="R347" s="285">
        <f t="shared" si="169"/>
        <v>0</v>
      </c>
      <c r="S347" s="285">
        <f t="shared" si="169"/>
        <v>0</v>
      </c>
      <c r="T347" s="285">
        <f t="shared" si="169"/>
        <v>57550</v>
      </c>
      <c r="U347" s="285">
        <f t="shared" si="169"/>
        <v>57550</v>
      </c>
      <c r="V347" s="285">
        <f t="shared" si="169"/>
        <v>57550</v>
      </c>
      <c r="W347" s="285">
        <f t="shared" si="169"/>
        <v>57550</v>
      </c>
      <c r="X347" s="285">
        <f t="shared" si="169"/>
        <v>0</v>
      </c>
      <c r="Y347" s="285">
        <f t="shared" si="169"/>
        <v>0</v>
      </c>
      <c r="Z347" s="285">
        <f t="shared" si="169"/>
        <v>0</v>
      </c>
      <c r="AA347" s="285">
        <f t="shared" si="169"/>
        <v>0</v>
      </c>
      <c r="AB347" s="285">
        <f t="shared" si="169"/>
        <v>0</v>
      </c>
      <c r="AC347" s="285">
        <f t="shared" si="169"/>
        <v>0</v>
      </c>
      <c r="AD347" s="285">
        <f t="shared" si="169"/>
        <v>0</v>
      </c>
      <c r="AE347" s="285">
        <f t="shared" si="169"/>
        <v>0</v>
      </c>
      <c r="AF347" s="285">
        <f t="shared" si="169"/>
        <v>94000</v>
      </c>
      <c r="AG347" s="285">
        <f t="shared" si="169"/>
        <v>57979</v>
      </c>
      <c r="AH347" s="285">
        <f t="shared" si="169"/>
        <v>748706</v>
      </c>
      <c r="AI347" s="285">
        <f t="shared" si="169"/>
        <v>748706</v>
      </c>
      <c r="AJ347" s="285">
        <f t="shared" si="169"/>
        <v>0</v>
      </c>
      <c r="AK347" s="285">
        <f t="shared" si="169"/>
        <v>0</v>
      </c>
      <c r="AL347" s="285">
        <f t="shared" si="169"/>
        <v>748706</v>
      </c>
      <c r="AM347" s="285">
        <f t="shared" si="169"/>
        <v>201550</v>
      </c>
      <c r="AN347" s="285">
        <f t="shared" si="169"/>
        <v>165529</v>
      </c>
      <c r="AO347" s="285">
        <f t="shared" si="169"/>
        <v>241550</v>
      </c>
      <c r="AP347" s="285">
        <f t="shared" si="169"/>
        <v>547156</v>
      </c>
      <c r="AQ347" s="285">
        <f t="shared" si="169"/>
        <v>547156</v>
      </c>
      <c r="AR347" s="285">
        <f t="shared" si="169"/>
        <v>241550</v>
      </c>
      <c r="AS347" s="285">
        <f t="shared" si="169"/>
        <v>165100</v>
      </c>
      <c r="AT347" s="296"/>
    </row>
    <row r="348" spans="1:49" s="265" customFormat="1" ht="15.75">
      <c r="A348" s="290" t="s">
        <v>337</v>
      </c>
      <c r="B348" s="297" t="s">
        <v>1283</v>
      </c>
      <c r="C348" s="292"/>
      <c r="D348" s="279"/>
      <c r="E348" s="293"/>
      <c r="F348" s="279"/>
      <c r="G348" s="294"/>
      <c r="H348" s="285">
        <f t="shared" ref="H348:AR348" si="170">SUM(H349:H354)</f>
        <v>2159506</v>
      </c>
      <c r="I348" s="285">
        <f t="shared" si="170"/>
        <v>938544</v>
      </c>
      <c r="J348" s="285">
        <f t="shared" si="170"/>
        <v>844689.6</v>
      </c>
      <c r="K348" s="285">
        <f t="shared" si="170"/>
        <v>40000</v>
      </c>
      <c r="L348" s="285">
        <f t="shared" si="170"/>
        <v>748544</v>
      </c>
      <c r="M348" s="285">
        <f t="shared" si="170"/>
        <v>748706</v>
      </c>
      <c r="N348" s="285">
        <f t="shared" si="170"/>
        <v>50000</v>
      </c>
      <c r="O348" s="285">
        <f t="shared" si="170"/>
        <v>50000</v>
      </c>
      <c r="P348" s="285">
        <f t="shared" si="170"/>
        <v>50000</v>
      </c>
      <c r="Q348" s="285">
        <f t="shared" si="170"/>
        <v>50000</v>
      </c>
      <c r="R348" s="285">
        <f t="shared" si="170"/>
        <v>0</v>
      </c>
      <c r="S348" s="285">
        <f t="shared" si="170"/>
        <v>0</v>
      </c>
      <c r="T348" s="285">
        <f t="shared" si="170"/>
        <v>57550</v>
      </c>
      <c r="U348" s="285">
        <f t="shared" si="170"/>
        <v>57550</v>
      </c>
      <c r="V348" s="285">
        <f t="shared" si="170"/>
        <v>57550</v>
      </c>
      <c r="W348" s="285">
        <f t="shared" si="170"/>
        <v>57550</v>
      </c>
      <c r="X348" s="285">
        <f t="shared" si="170"/>
        <v>0</v>
      </c>
      <c r="Y348" s="285">
        <f t="shared" si="170"/>
        <v>0</v>
      </c>
      <c r="Z348" s="285">
        <f t="shared" si="170"/>
        <v>0</v>
      </c>
      <c r="AA348" s="285">
        <f t="shared" si="170"/>
        <v>0</v>
      </c>
      <c r="AB348" s="285">
        <f t="shared" si="170"/>
        <v>0</v>
      </c>
      <c r="AC348" s="285">
        <f t="shared" si="170"/>
        <v>0</v>
      </c>
      <c r="AD348" s="285">
        <f t="shared" si="170"/>
        <v>0</v>
      </c>
      <c r="AE348" s="285">
        <f t="shared" si="170"/>
        <v>0</v>
      </c>
      <c r="AF348" s="285">
        <f t="shared" si="170"/>
        <v>94000</v>
      </c>
      <c r="AG348" s="285">
        <f t="shared" si="170"/>
        <v>57979</v>
      </c>
      <c r="AH348" s="285">
        <f t="shared" si="170"/>
        <v>748706</v>
      </c>
      <c r="AI348" s="285">
        <f t="shared" si="170"/>
        <v>748706</v>
      </c>
      <c r="AJ348" s="285">
        <f t="shared" si="170"/>
        <v>0</v>
      </c>
      <c r="AK348" s="285">
        <f t="shared" si="170"/>
        <v>0</v>
      </c>
      <c r="AL348" s="285">
        <f t="shared" si="170"/>
        <v>748706</v>
      </c>
      <c r="AM348" s="285">
        <f t="shared" si="170"/>
        <v>201550</v>
      </c>
      <c r="AN348" s="285">
        <f t="shared" si="170"/>
        <v>165529</v>
      </c>
      <c r="AO348" s="285">
        <f t="shared" si="170"/>
        <v>241550</v>
      </c>
      <c r="AP348" s="285">
        <f t="shared" si="170"/>
        <v>547156</v>
      </c>
      <c r="AQ348" s="285">
        <f t="shared" si="170"/>
        <v>547156</v>
      </c>
      <c r="AR348" s="285">
        <f t="shared" si="170"/>
        <v>241550</v>
      </c>
      <c r="AS348" s="285">
        <f>SUM(AS349:AS354)</f>
        <v>165100</v>
      </c>
      <c r="AT348" s="296"/>
    </row>
    <row r="349" spans="1:49" s="265" customFormat="1" ht="47.25" customHeight="1">
      <c r="A349" s="298">
        <v>1</v>
      </c>
      <c r="B349" s="314" t="s">
        <v>889</v>
      </c>
      <c r="C349" s="300" t="s">
        <v>700</v>
      </c>
      <c r="D349" s="300" t="s">
        <v>700</v>
      </c>
      <c r="E349" s="300" t="s">
        <v>890</v>
      </c>
      <c r="F349" s="312" t="s">
        <v>666</v>
      </c>
      <c r="G349" s="300" t="s">
        <v>891</v>
      </c>
      <c r="H349" s="295">
        <v>486309</v>
      </c>
      <c r="I349" s="295">
        <v>250000</v>
      </c>
      <c r="J349" s="295">
        <f>I349*90%</f>
        <v>225000</v>
      </c>
      <c r="K349" s="295">
        <v>40000</v>
      </c>
      <c r="L349" s="295">
        <v>210000</v>
      </c>
      <c r="M349" s="295">
        <v>210000</v>
      </c>
      <c r="N349" s="295">
        <f t="shared" ref="N349:O354" si="171">P349+R349</f>
        <v>30000</v>
      </c>
      <c r="O349" s="295">
        <f t="shared" si="171"/>
        <v>30000</v>
      </c>
      <c r="P349" s="295">
        <v>30000</v>
      </c>
      <c r="Q349" s="295">
        <v>30000</v>
      </c>
      <c r="R349" s="295"/>
      <c r="S349" s="295"/>
      <c r="T349" s="295">
        <f>V349+X349+Z349+AB349+AD349</f>
        <v>27550</v>
      </c>
      <c r="U349" s="295">
        <f t="shared" si="157"/>
        <v>27550</v>
      </c>
      <c r="V349" s="295">
        <v>27550</v>
      </c>
      <c r="W349" s="295">
        <v>27550</v>
      </c>
      <c r="X349" s="295"/>
      <c r="Y349" s="295"/>
      <c r="Z349" s="295"/>
      <c r="AA349" s="295"/>
      <c r="AB349" s="295"/>
      <c r="AC349" s="295"/>
      <c r="AD349" s="295"/>
      <c r="AE349" s="295"/>
      <c r="AF349" s="295">
        <v>22000</v>
      </c>
      <c r="AG349" s="295">
        <v>15978</v>
      </c>
      <c r="AH349" s="295">
        <f>AI349+AJ349</f>
        <v>210000</v>
      </c>
      <c r="AI349" s="295">
        <v>210000</v>
      </c>
      <c r="AJ349" s="295">
        <f>R349+X349+Z349+AB349+AD349</f>
        <v>0</v>
      </c>
      <c r="AK349" s="295"/>
      <c r="AL349" s="285">
        <f t="shared" si="154"/>
        <v>210000</v>
      </c>
      <c r="AM349" s="295">
        <f t="shared" si="166"/>
        <v>79550</v>
      </c>
      <c r="AN349" s="295">
        <f t="shared" si="166"/>
        <v>73528</v>
      </c>
      <c r="AO349" s="295">
        <f t="shared" si="156"/>
        <v>119550</v>
      </c>
      <c r="AP349" s="295">
        <f t="shared" si="167"/>
        <v>130450</v>
      </c>
      <c r="AQ349" s="285">
        <f t="shared" si="162"/>
        <v>130450</v>
      </c>
      <c r="AR349" s="295">
        <v>119550</v>
      </c>
      <c r="AS349" s="295">
        <v>45000</v>
      </c>
      <c r="AT349" s="313"/>
    </row>
    <row r="350" spans="1:49" s="265" customFormat="1" ht="47.25" customHeight="1">
      <c r="A350" s="298">
        <v>2</v>
      </c>
      <c r="B350" s="314" t="s">
        <v>882</v>
      </c>
      <c r="C350" s="300" t="s">
        <v>714</v>
      </c>
      <c r="D350" s="300" t="s">
        <v>705</v>
      </c>
      <c r="E350" s="300" t="s">
        <v>883</v>
      </c>
      <c r="F350" s="312" t="s">
        <v>666</v>
      </c>
      <c r="G350" s="300" t="s">
        <v>884</v>
      </c>
      <c r="H350" s="295">
        <v>984319</v>
      </c>
      <c r="I350" s="295">
        <v>400000</v>
      </c>
      <c r="J350" s="295">
        <f>I350*90%</f>
        <v>360000</v>
      </c>
      <c r="K350" s="295"/>
      <c r="L350" s="295">
        <v>250000</v>
      </c>
      <c r="M350" s="295">
        <f>250000+162</f>
        <v>250162</v>
      </c>
      <c r="N350" s="295">
        <f t="shared" si="171"/>
        <v>20000</v>
      </c>
      <c r="O350" s="295">
        <f t="shared" si="171"/>
        <v>20000</v>
      </c>
      <c r="P350" s="295">
        <v>20000</v>
      </c>
      <c r="Q350" s="295">
        <v>20000</v>
      </c>
      <c r="R350" s="295"/>
      <c r="S350" s="295"/>
      <c r="T350" s="295">
        <f t="shared" ref="T350:T355" si="172">V350+X350+Z350+AB350+AD350</f>
        <v>30000</v>
      </c>
      <c r="U350" s="295">
        <f t="shared" si="157"/>
        <v>30000</v>
      </c>
      <c r="V350" s="295">
        <v>30000</v>
      </c>
      <c r="W350" s="295">
        <v>30000</v>
      </c>
      <c r="X350" s="295"/>
      <c r="Y350" s="295"/>
      <c r="Z350" s="295"/>
      <c r="AA350" s="295"/>
      <c r="AB350" s="295"/>
      <c r="AC350" s="295"/>
      <c r="AD350" s="295"/>
      <c r="AE350" s="295"/>
      <c r="AF350" s="295">
        <v>22000</v>
      </c>
      <c r="AG350" s="295">
        <v>12834</v>
      </c>
      <c r="AH350" s="295">
        <f>AI350+AJ350</f>
        <v>250162</v>
      </c>
      <c r="AI350" s="295">
        <f>250000+162</f>
        <v>250162</v>
      </c>
      <c r="AJ350" s="295">
        <f t="shared" ref="AJ350:AJ355" si="173">R350+X350+Z350+AB350+AD350</f>
        <v>0</v>
      </c>
      <c r="AK350" s="295"/>
      <c r="AL350" s="285">
        <f t="shared" si="154"/>
        <v>250162</v>
      </c>
      <c r="AM350" s="295">
        <f t="shared" si="166"/>
        <v>72000</v>
      </c>
      <c r="AN350" s="295">
        <f t="shared" si="166"/>
        <v>62834</v>
      </c>
      <c r="AO350" s="295">
        <f t="shared" si="156"/>
        <v>72000</v>
      </c>
      <c r="AP350" s="295">
        <f t="shared" si="167"/>
        <v>178162</v>
      </c>
      <c r="AQ350" s="285">
        <f t="shared" si="162"/>
        <v>178162</v>
      </c>
      <c r="AR350" s="295">
        <v>72000</v>
      </c>
      <c r="AS350" s="295">
        <v>40000</v>
      </c>
      <c r="AT350" s="313"/>
    </row>
    <row r="351" spans="1:49" s="265" customFormat="1" ht="47.25" customHeight="1">
      <c r="A351" s="298">
        <v>3</v>
      </c>
      <c r="B351" s="299" t="s">
        <v>662</v>
      </c>
      <c r="C351" s="300" t="s">
        <v>663</v>
      </c>
      <c r="D351" s="301" t="s">
        <v>1284</v>
      </c>
      <c r="E351" s="302" t="s">
        <v>665</v>
      </c>
      <c r="F351" s="298" t="s">
        <v>666</v>
      </c>
      <c r="G351" s="303" t="s">
        <v>667</v>
      </c>
      <c r="H351" s="295">
        <v>267516</v>
      </c>
      <c r="I351" s="295">
        <v>140000</v>
      </c>
      <c r="J351" s="295">
        <f t="shared" ref="J351:J380" si="174">I351*90%</f>
        <v>126000</v>
      </c>
      <c r="K351" s="295"/>
      <c r="L351" s="295">
        <v>140000</v>
      </c>
      <c r="M351" s="295">
        <v>140000</v>
      </c>
      <c r="N351" s="295">
        <f t="shared" si="171"/>
        <v>0</v>
      </c>
      <c r="O351" s="295">
        <f t="shared" si="171"/>
        <v>0</v>
      </c>
      <c r="P351" s="295">
        <v>0</v>
      </c>
      <c r="Q351" s="295"/>
      <c r="R351" s="295"/>
      <c r="S351" s="295"/>
      <c r="T351" s="295">
        <f t="shared" si="172"/>
        <v>0</v>
      </c>
      <c r="U351" s="295">
        <f t="shared" si="157"/>
        <v>0</v>
      </c>
      <c r="V351" s="295"/>
      <c r="W351" s="295"/>
      <c r="X351" s="295"/>
      <c r="Y351" s="295"/>
      <c r="Z351" s="295"/>
      <c r="AA351" s="295"/>
      <c r="AB351" s="295"/>
      <c r="AC351" s="295"/>
      <c r="AD351" s="295"/>
      <c r="AE351" s="295"/>
      <c r="AF351" s="295">
        <v>10000</v>
      </c>
      <c r="AG351" s="295">
        <v>1319</v>
      </c>
      <c r="AH351" s="295">
        <f t="shared" ref="AH351:AH380" si="175">AI351+AJ351</f>
        <v>140000</v>
      </c>
      <c r="AI351" s="295">
        <f>40000+100000</f>
        <v>140000</v>
      </c>
      <c r="AJ351" s="295">
        <f t="shared" si="173"/>
        <v>0</v>
      </c>
      <c r="AK351" s="295"/>
      <c r="AL351" s="285">
        <f t="shared" si="154"/>
        <v>140000</v>
      </c>
      <c r="AM351" s="295">
        <f t="shared" si="166"/>
        <v>10000</v>
      </c>
      <c r="AN351" s="295">
        <f t="shared" si="166"/>
        <v>1319</v>
      </c>
      <c r="AO351" s="295">
        <f t="shared" si="156"/>
        <v>10000</v>
      </c>
      <c r="AP351" s="295">
        <f t="shared" si="167"/>
        <v>130000</v>
      </c>
      <c r="AQ351" s="285">
        <f t="shared" si="162"/>
        <v>130000</v>
      </c>
      <c r="AR351" s="295">
        <v>10000</v>
      </c>
      <c r="AS351" s="295">
        <v>30100</v>
      </c>
      <c r="AT351" s="313"/>
    </row>
    <row r="352" spans="1:49" s="265" customFormat="1" ht="47.25" customHeight="1">
      <c r="A352" s="298">
        <v>4</v>
      </c>
      <c r="B352" s="314" t="s">
        <v>718</v>
      </c>
      <c r="C352" s="300" t="s">
        <v>714</v>
      </c>
      <c r="D352" s="300" t="s">
        <v>689</v>
      </c>
      <c r="E352" s="300" t="s">
        <v>1285</v>
      </c>
      <c r="F352" s="312" t="s">
        <v>716</v>
      </c>
      <c r="G352" s="300" t="s">
        <v>721</v>
      </c>
      <c r="H352" s="295">
        <v>140340</v>
      </c>
      <c r="I352" s="295">
        <v>50000</v>
      </c>
      <c r="J352" s="295">
        <f t="shared" si="174"/>
        <v>45000</v>
      </c>
      <c r="K352" s="295"/>
      <c r="L352" s="295">
        <v>50000</v>
      </c>
      <c r="M352" s="295">
        <v>50000</v>
      </c>
      <c r="N352" s="295">
        <f t="shared" si="171"/>
        <v>0</v>
      </c>
      <c r="O352" s="295">
        <f t="shared" si="171"/>
        <v>0</v>
      </c>
      <c r="P352" s="295">
        <v>0</v>
      </c>
      <c r="Q352" s="295"/>
      <c r="R352" s="295"/>
      <c r="S352" s="295"/>
      <c r="T352" s="295">
        <f t="shared" si="172"/>
        <v>0</v>
      </c>
      <c r="U352" s="295">
        <f t="shared" si="157"/>
        <v>0</v>
      </c>
      <c r="V352" s="295"/>
      <c r="W352" s="295"/>
      <c r="X352" s="295"/>
      <c r="Y352" s="295"/>
      <c r="Z352" s="295"/>
      <c r="AA352" s="295"/>
      <c r="AB352" s="295"/>
      <c r="AC352" s="295"/>
      <c r="AD352" s="295"/>
      <c r="AE352" s="295"/>
      <c r="AF352" s="295">
        <v>15000</v>
      </c>
      <c r="AG352" s="295">
        <v>15000</v>
      </c>
      <c r="AH352" s="295">
        <f t="shared" si="175"/>
        <v>50000</v>
      </c>
      <c r="AI352" s="295">
        <v>50000</v>
      </c>
      <c r="AJ352" s="295">
        <f t="shared" si="173"/>
        <v>0</v>
      </c>
      <c r="AK352" s="295"/>
      <c r="AL352" s="285">
        <f t="shared" si="154"/>
        <v>50000</v>
      </c>
      <c r="AM352" s="295">
        <f t="shared" si="166"/>
        <v>15000</v>
      </c>
      <c r="AN352" s="295">
        <f t="shared" si="166"/>
        <v>15000</v>
      </c>
      <c r="AO352" s="295">
        <f t="shared" si="156"/>
        <v>15000</v>
      </c>
      <c r="AP352" s="295">
        <f t="shared" si="167"/>
        <v>35000</v>
      </c>
      <c r="AQ352" s="285">
        <f t="shared" si="162"/>
        <v>35000</v>
      </c>
      <c r="AR352" s="295">
        <v>15000</v>
      </c>
      <c r="AS352" s="295">
        <v>20000</v>
      </c>
      <c r="AT352" s="313"/>
    </row>
    <row r="353" spans="1:46" s="265" customFormat="1" ht="47.25" customHeight="1">
      <c r="A353" s="298">
        <v>5</v>
      </c>
      <c r="B353" s="314" t="s">
        <v>722</v>
      </c>
      <c r="C353" s="300" t="s">
        <v>714</v>
      </c>
      <c r="D353" s="300" t="s">
        <v>700</v>
      </c>
      <c r="E353" s="300" t="s">
        <v>723</v>
      </c>
      <c r="F353" s="312" t="s">
        <v>720</v>
      </c>
      <c r="G353" s="300" t="s">
        <v>724</v>
      </c>
      <c r="H353" s="295">
        <v>199670</v>
      </c>
      <c r="I353" s="295">
        <v>50544</v>
      </c>
      <c r="J353" s="295">
        <f t="shared" si="174"/>
        <v>45489.599999999999</v>
      </c>
      <c r="K353" s="295"/>
      <c r="L353" s="295">
        <v>50544</v>
      </c>
      <c r="M353" s="295">
        <v>50544</v>
      </c>
      <c r="N353" s="295">
        <f t="shared" si="171"/>
        <v>0</v>
      </c>
      <c r="O353" s="295">
        <f t="shared" si="171"/>
        <v>0</v>
      </c>
      <c r="P353" s="295">
        <v>0</v>
      </c>
      <c r="Q353" s="295"/>
      <c r="R353" s="295"/>
      <c r="S353" s="295"/>
      <c r="T353" s="295">
        <f t="shared" si="172"/>
        <v>0</v>
      </c>
      <c r="U353" s="295">
        <f t="shared" si="157"/>
        <v>0</v>
      </c>
      <c r="V353" s="295"/>
      <c r="W353" s="295"/>
      <c r="X353" s="295"/>
      <c r="Y353" s="295"/>
      <c r="Z353" s="295"/>
      <c r="AA353" s="295"/>
      <c r="AB353" s="295"/>
      <c r="AC353" s="295"/>
      <c r="AD353" s="295"/>
      <c r="AE353" s="295"/>
      <c r="AF353" s="295">
        <v>15000</v>
      </c>
      <c r="AG353" s="295">
        <v>10731</v>
      </c>
      <c r="AH353" s="295">
        <f t="shared" si="175"/>
        <v>50544</v>
      </c>
      <c r="AI353" s="295">
        <v>50544</v>
      </c>
      <c r="AJ353" s="295">
        <f t="shared" si="173"/>
        <v>0</v>
      </c>
      <c r="AK353" s="295"/>
      <c r="AL353" s="285">
        <f t="shared" si="154"/>
        <v>50544</v>
      </c>
      <c r="AM353" s="295">
        <f t="shared" si="166"/>
        <v>15000</v>
      </c>
      <c r="AN353" s="295">
        <f t="shared" si="166"/>
        <v>10731</v>
      </c>
      <c r="AO353" s="295">
        <f t="shared" si="156"/>
        <v>15000</v>
      </c>
      <c r="AP353" s="295">
        <f t="shared" si="167"/>
        <v>35544</v>
      </c>
      <c r="AQ353" s="285">
        <f t="shared" si="162"/>
        <v>35544</v>
      </c>
      <c r="AR353" s="295">
        <v>15000</v>
      </c>
      <c r="AS353" s="295">
        <v>15000</v>
      </c>
      <c r="AT353" s="313"/>
    </row>
    <row r="354" spans="1:46" s="265" customFormat="1" ht="47.25" customHeight="1">
      <c r="A354" s="298">
        <v>6</v>
      </c>
      <c r="B354" s="314" t="s">
        <v>897</v>
      </c>
      <c r="C354" s="300" t="s">
        <v>726</v>
      </c>
      <c r="D354" s="300" t="s">
        <v>726</v>
      </c>
      <c r="E354" s="300" t="s">
        <v>1286</v>
      </c>
      <c r="F354" s="312" t="s">
        <v>727</v>
      </c>
      <c r="G354" s="300" t="s">
        <v>900</v>
      </c>
      <c r="H354" s="295">
        <v>81352</v>
      </c>
      <c r="I354" s="295">
        <v>48000</v>
      </c>
      <c r="J354" s="295">
        <f t="shared" si="174"/>
        <v>43200</v>
      </c>
      <c r="K354" s="295"/>
      <c r="L354" s="295">
        <v>48000</v>
      </c>
      <c r="M354" s="295">
        <v>48000</v>
      </c>
      <c r="N354" s="295">
        <f t="shared" si="171"/>
        <v>0</v>
      </c>
      <c r="O354" s="295">
        <f t="shared" si="171"/>
        <v>0</v>
      </c>
      <c r="P354" s="295">
        <v>0</v>
      </c>
      <c r="Q354" s="295"/>
      <c r="R354" s="295"/>
      <c r="S354" s="295"/>
      <c r="T354" s="295">
        <f t="shared" si="172"/>
        <v>0</v>
      </c>
      <c r="U354" s="295">
        <f t="shared" si="157"/>
        <v>0</v>
      </c>
      <c r="V354" s="295"/>
      <c r="W354" s="295"/>
      <c r="X354" s="295"/>
      <c r="Y354" s="295"/>
      <c r="Z354" s="295"/>
      <c r="AA354" s="295"/>
      <c r="AB354" s="295"/>
      <c r="AC354" s="295"/>
      <c r="AD354" s="295"/>
      <c r="AE354" s="295"/>
      <c r="AF354" s="295">
        <v>10000</v>
      </c>
      <c r="AG354" s="295">
        <v>2117</v>
      </c>
      <c r="AH354" s="295">
        <f t="shared" si="175"/>
        <v>48000</v>
      </c>
      <c r="AI354" s="295">
        <v>48000</v>
      </c>
      <c r="AJ354" s="295">
        <f t="shared" si="173"/>
        <v>0</v>
      </c>
      <c r="AK354" s="295"/>
      <c r="AL354" s="285">
        <f t="shared" si="154"/>
        <v>48000</v>
      </c>
      <c r="AM354" s="295">
        <f t="shared" si="166"/>
        <v>10000</v>
      </c>
      <c r="AN354" s="295">
        <f t="shared" si="166"/>
        <v>2117</v>
      </c>
      <c r="AO354" s="295">
        <f t="shared" si="156"/>
        <v>10000</v>
      </c>
      <c r="AP354" s="295">
        <f t="shared" si="167"/>
        <v>38000</v>
      </c>
      <c r="AQ354" s="285">
        <f t="shared" si="162"/>
        <v>38000</v>
      </c>
      <c r="AR354" s="295">
        <v>10000</v>
      </c>
      <c r="AS354" s="295">
        <v>15000</v>
      </c>
      <c r="AT354" s="313"/>
    </row>
    <row r="355" spans="1:46" s="265" customFormat="1" ht="47.25" customHeight="1">
      <c r="A355" s="298"/>
      <c r="B355" s="407"/>
      <c r="C355" s="408"/>
      <c r="D355" s="408"/>
      <c r="E355" s="409"/>
      <c r="F355" s="410"/>
      <c r="G355" s="411"/>
      <c r="H355" s="295"/>
      <c r="I355" s="295"/>
      <c r="J355" s="295">
        <f t="shared" si="174"/>
        <v>0</v>
      </c>
      <c r="K355" s="295"/>
      <c r="L355" s="295"/>
      <c r="M355" s="295"/>
      <c r="N355" s="295">
        <f>P355+R355</f>
        <v>0</v>
      </c>
      <c r="O355" s="295"/>
      <c r="P355" s="295"/>
      <c r="Q355" s="295"/>
      <c r="R355" s="295"/>
      <c r="S355" s="295"/>
      <c r="T355" s="295">
        <f t="shared" si="172"/>
        <v>0</v>
      </c>
      <c r="U355" s="295">
        <f t="shared" si="157"/>
        <v>0</v>
      </c>
      <c r="V355" s="295"/>
      <c r="W355" s="295"/>
      <c r="X355" s="295"/>
      <c r="Y355" s="295"/>
      <c r="Z355" s="295"/>
      <c r="AA355" s="295"/>
      <c r="AB355" s="295"/>
      <c r="AC355" s="295"/>
      <c r="AD355" s="295"/>
      <c r="AE355" s="295"/>
      <c r="AF355" s="295"/>
      <c r="AG355" s="295"/>
      <c r="AH355" s="295">
        <f t="shared" si="175"/>
        <v>0</v>
      </c>
      <c r="AI355" s="295"/>
      <c r="AJ355" s="295">
        <f t="shared" si="173"/>
        <v>0</v>
      </c>
      <c r="AK355" s="295"/>
      <c r="AL355" s="285">
        <f t="shared" si="154"/>
        <v>0</v>
      </c>
      <c r="AM355" s="295">
        <f t="shared" si="166"/>
        <v>0</v>
      </c>
      <c r="AN355" s="295">
        <f t="shared" si="166"/>
        <v>0</v>
      </c>
      <c r="AO355" s="285">
        <f t="shared" si="156"/>
        <v>0</v>
      </c>
      <c r="AP355" s="295">
        <f t="shared" si="167"/>
        <v>0</v>
      </c>
      <c r="AQ355" s="285">
        <f t="shared" si="162"/>
        <v>0</v>
      </c>
      <c r="AR355" s="295">
        <v>0</v>
      </c>
      <c r="AS355" s="295"/>
      <c r="AT355" s="313"/>
    </row>
    <row r="356" spans="1:46" s="265" customFormat="1" ht="47.25" customHeight="1">
      <c r="A356" s="279" t="s">
        <v>1287</v>
      </c>
      <c r="B356" s="286" t="s">
        <v>1288</v>
      </c>
      <c r="C356" s="287"/>
      <c r="D356" s="288"/>
      <c r="E356" s="288"/>
      <c r="F356" s="282"/>
      <c r="G356" s="282"/>
      <c r="H356" s="285">
        <f t="shared" ref="H356:AS357" si="176">H357</f>
        <v>1343809</v>
      </c>
      <c r="I356" s="285">
        <f t="shared" si="176"/>
        <v>169209</v>
      </c>
      <c r="J356" s="285">
        <f t="shared" si="176"/>
        <v>152288.1</v>
      </c>
      <c r="K356" s="285">
        <f t="shared" si="176"/>
        <v>123100</v>
      </c>
      <c r="L356" s="285">
        <f t="shared" si="176"/>
        <v>46000</v>
      </c>
      <c r="M356" s="285">
        <f t="shared" si="176"/>
        <v>46000</v>
      </c>
      <c r="N356" s="285">
        <f t="shared" si="176"/>
        <v>8500</v>
      </c>
      <c r="O356" s="285">
        <f t="shared" si="176"/>
        <v>8500</v>
      </c>
      <c r="P356" s="285">
        <f t="shared" si="176"/>
        <v>8500</v>
      </c>
      <c r="Q356" s="285">
        <f t="shared" si="176"/>
        <v>8500</v>
      </c>
      <c r="R356" s="285">
        <f t="shared" si="176"/>
        <v>0</v>
      </c>
      <c r="S356" s="285">
        <f t="shared" si="176"/>
        <v>0</v>
      </c>
      <c r="T356" s="285">
        <f t="shared" si="176"/>
        <v>0</v>
      </c>
      <c r="U356" s="285">
        <f t="shared" si="176"/>
        <v>0</v>
      </c>
      <c r="V356" s="285">
        <f t="shared" si="176"/>
        <v>0</v>
      </c>
      <c r="W356" s="285">
        <f t="shared" si="176"/>
        <v>0</v>
      </c>
      <c r="X356" s="285">
        <f t="shared" si="176"/>
        <v>0</v>
      </c>
      <c r="Y356" s="285">
        <f t="shared" si="176"/>
        <v>0</v>
      </c>
      <c r="Z356" s="285">
        <f t="shared" si="176"/>
        <v>0</v>
      </c>
      <c r="AA356" s="285">
        <f t="shared" si="176"/>
        <v>0</v>
      </c>
      <c r="AB356" s="285">
        <f t="shared" si="176"/>
        <v>0</v>
      </c>
      <c r="AC356" s="285">
        <f t="shared" si="176"/>
        <v>0</v>
      </c>
      <c r="AD356" s="285">
        <f t="shared" si="176"/>
        <v>0</v>
      </c>
      <c r="AE356" s="285">
        <f t="shared" si="176"/>
        <v>0</v>
      </c>
      <c r="AF356" s="285">
        <f t="shared" si="176"/>
        <v>20500</v>
      </c>
      <c r="AG356" s="285">
        <f t="shared" si="176"/>
        <v>20500</v>
      </c>
      <c r="AH356" s="285">
        <f t="shared" si="176"/>
        <v>46000</v>
      </c>
      <c r="AI356" s="285">
        <f t="shared" si="176"/>
        <v>46000</v>
      </c>
      <c r="AJ356" s="285">
        <f t="shared" si="176"/>
        <v>0</v>
      </c>
      <c r="AK356" s="285">
        <f t="shared" si="176"/>
        <v>0</v>
      </c>
      <c r="AL356" s="285">
        <f t="shared" si="176"/>
        <v>46000</v>
      </c>
      <c r="AM356" s="285">
        <f t="shared" si="176"/>
        <v>29000</v>
      </c>
      <c r="AN356" s="285">
        <f t="shared" si="176"/>
        <v>29000</v>
      </c>
      <c r="AO356" s="285">
        <f t="shared" si="176"/>
        <v>152100</v>
      </c>
      <c r="AP356" s="285">
        <f t="shared" si="176"/>
        <v>17000</v>
      </c>
      <c r="AQ356" s="285">
        <f t="shared" si="176"/>
        <v>17000</v>
      </c>
      <c r="AR356" s="285">
        <f t="shared" si="176"/>
        <v>152100</v>
      </c>
      <c r="AS356" s="285">
        <f t="shared" si="176"/>
        <v>17000</v>
      </c>
      <c r="AT356" s="313"/>
    </row>
    <row r="357" spans="1:46" s="265" customFormat="1" ht="47.25" customHeight="1">
      <c r="A357" s="290" t="s">
        <v>337</v>
      </c>
      <c r="B357" s="297" t="s">
        <v>1283</v>
      </c>
      <c r="C357" s="292"/>
      <c r="D357" s="279"/>
      <c r="E357" s="293"/>
      <c r="F357" s="279"/>
      <c r="G357" s="294"/>
      <c r="H357" s="285">
        <f t="shared" si="176"/>
        <v>1343809</v>
      </c>
      <c r="I357" s="285">
        <f t="shared" si="176"/>
        <v>169209</v>
      </c>
      <c r="J357" s="285">
        <f t="shared" si="176"/>
        <v>152288.1</v>
      </c>
      <c r="K357" s="285">
        <f t="shared" si="176"/>
        <v>123100</v>
      </c>
      <c r="L357" s="285">
        <f t="shared" si="176"/>
        <v>46000</v>
      </c>
      <c r="M357" s="285">
        <f t="shared" si="176"/>
        <v>46000</v>
      </c>
      <c r="N357" s="285">
        <f t="shared" si="176"/>
        <v>8500</v>
      </c>
      <c r="O357" s="285">
        <f t="shared" si="176"/>
        <v>8500</v>
      </c>
      <c r="P357" s="285">
        <f t="shared" si="176"/>
        <v>8500</v>
      </c>
      <c r="Q357" s="285">
        <f t="shared" si="176"/>
        <v>8500</v>
      </c>
      <c r="R357" s="285">
        <f t="shared" si="176"/>
        <v>0</v>
      </c>
      <c r="S357" s="285">
        <f t="shared" si="176"/>
        <v>0</v>
      </c>
      <c r="T357" s="285">
        <f t="shared" si="176"/>
        <v>0</v>
      </c>
      <c r="U357" s="285">
        <f t="shared" si="176"/>
        <v>0</v>
      </c>
      <c r="V357" s="285">
        <f t="shared" si="176"/>
        <v>0</v>
      </c>
      <c r="W357" s="285">
        <f t="shared" si="176"/>
        <v>0</v>
      </c>
      <c r="X357" s="285">
        <f t="shared" si="176"/>
        <v>0</v>
      </c>
      <c r="Y357" s="285">
        <f t="shared" si="176"/>
        <v>0</v>
      </c>
      <c r="Z357" s="285">
        <f t="shared" si="176"/>
        <v>0</v>
      </c>
      <c r="AA357" s="285">
        <f t="shared" si="176"/>
        <v>0</v>
      </c>
      <c r="AB357" s="285">
        <f t="shared" si="176"/>
        <v>0</v>
      </c>
      <c r="AC357" s="285">
        <f t="shared" si="176"/>
        <v>0</v>
      </c>
      <c r="AD357" s="285">
        <f t="shared" si="176"/>
        <v>0</v>
      </c>
      <c r="AE357" s="285">
        <f t="shared" si="176"/>
        <v>0</v>
      </c>
      <c r="AF357" s="285">
        <f t="shared" si="176"/>
        <v>20500</v>
      </c>
      <c r="AG357" s="285">
        <f t="shared" si="176"/>
        <v>20500</v>
      </c>
      <c r="AH357" s="285">
        <f t="shared" si="176"/>
        <v>46000</v>
      </c>
      <c r="AI357" s="285">
        <f t="shared" si="176"/>
        <v>46000</v>
      </c>
      <c r="AJ357" s="285">
        <f t="shared" si="176"/>
        <v>0</v>
      </c>
      <c r="AK357" s="285">
        <f t="shared" si="176"/>
        <v>0</v>
      </c>
      <c r="AL357" s="285">
        <f t="shared" si="176"/>
        <v>46000</v>
      </c>
      <c r="AM357" s="285">
        <f t="shared" si="176"/>
        <v>29000</v>
      </c>
      <c r="AN357" s="285">
        <f t="shared" si="176"/>
        <v>29000</v>
      </c>
      <c r="AO357" s="285">
        <f t="shared" si="176"/>
        <v>152100</v>
      </c>
      <c r="AP357" s="285">
        <f t="shared" si="176"/>
        <v>17000</v>
      </c>
      <c r="AQ357" s="285">
        <f t="shared" si="176"/>
        <v>17000</v>
      </c>
      <c r="AR357" s="285">
        <f t="shared" si="176"/>
        <v>152100</v>
      </c>
      <c r="AS357" s="285">
        <f t="shared" si="176"/>
        <v>17000</v>
      </c>
      <c r="AT357" s="313"/>
    </row>
    <row r="358" spans="1:46" s="265" customFormat="1" ht="47.25" customHeight="1">
      <c r="A358" s="298">
        <v>1</v>
      </c>
      <c r="B358" s="299" t="s">
        <v>874</v>
      </c>
      <c r="C358" s="300" t="s">
        <v>675</v>
      </c>
      <c r="D358" s="301" t="s">
        <v>675</v>
      </c>
      <c r="E358" s="302" t="s">
        <v>875</v>
      </c>
      <c r="F358" s="298" t="s">
        <v>876</v>
      </c>
      <c r="G358" s="303" t="s">
        <v>877</v>
      </c>
      <c r="H358" s="295">
        <v>1343809</v>
      </c>
      <c r="I358" s="295">
        <v>169209</v>
      </c>
      <c r="J358" s="295">
        <f t="shared" si="174"/>
        <v>152288.1</v>
      </c>
      <c r="K358" s="295">
        <f>47000+30500+27600+15000+3000</f>
        <v>123100</v>
      </c>
      <c r="L358" s="295">
        <v>46000</v>
      </c>
      <c r="M358" s="295">
        <v>46000</v>
      </c>
      <c r="N358" s="295">
        <f>P358+R358</f>
        <v>8500</v>
      </c>
      <c r="O358" s="295">
        <f>Q358+S358</f>
        <v>8500</v>
      </c>
      <c r="P358" s="295">
        <v>8500</v>
      </c>
      <c r="Q358" s="295">
        <v>8500</v>
      </c>
      <c r="R358" s="295"/>
      <c r="S358" s="295"/>
      <c r="T358" s="295">
        <f>V358+X358+Z358+AB358+AD358</f>
        <v>0</v>
      </c>
      <c r="U358" s="295">
        <f t="shared" si="157"/>
        <v>0</v>
      </c>
      <c r="V358" s="295"/>
      <c r="W358" s="295"/>
      <c r="X358" s="295"/>
      <c r="Y358" s="295"/>
      <c r="Z358" s="295"/>
      <c r="AA358" s="295"/>
      <c r="AB358" s="295"/>
      <c r="AC358" s="295"/>
      <c r="AD358" s="295"/>
      <c r="AE358" s="295"/>
      <c r="AF358" s="295">
        <v>20500</v>
      </c>
      <c r="AG358" s="295">
        <v>20500</v>
      </c>
      <c r="AH358" s="295">
        <f t="shared" si="175"/>
        <v>46000</v>
      </c>
      <c r="AI358" s="295">
        <v>46000</v>
      </c>
      <c r="AJ358" s="295">
        <f>R358+X358+Z358+AB358+AD358</f>
        <v>0</v>
      </c>
      <c r="AK358" s="295"/>
      <c r="AL358" s="285">
        <f t="shared" si="154"/>
        <v>46000</v>
      </c>
      <c r="AM358" s="295">
        <f t="shared" si="166"/>
        <v>29000</v>
      </c>
      <c r="AN358" s="295">
        <f t="shared" si="166"/>
        <v>29000</v>
      </c>
      <c r="AO358" s="295">
        <f t="shared" si="156"/>
        <v>152100</v>
      </c>
      <c r="AP358" s="295">
        <f t="shared" si="167"/>
        <v>17000</v>
      </c>
      <c r="AQ358" s="285">
        <f t="shared" si="162"/>
        <v>17000</v>
      </c>
      <c r="AR358" s="295">
        <v>152100</v>
      </c>
      <c r="AS358" s="295">
        <v>17000</v>
      </c>
      <c r="AT358" s="318"/>
    </row>
    <row r="359" spans="1:46" ht="47.25" hidden="1" customHeight="1">
      <c r="A359" s="298"/>
      <c r="B359" s="299"/>
      <c r="C359" s="412"/>
      <c r="D359" s="301"/>
      <c r="E359" s="302"/>
      <c r="F359" s="298"/>
      <c r="G359" s="307"/>
      <c r="H359" s="295"/>
      <c r="I359" s="295"/>
      <c r="J359" s="295">
        <f t="shared" si="174"/>
        <v>0</v>
      </c>
      <c r="K359" s="295"/>
      <c r="L359" s="295">
        <v>0</v>
      </c>
      <c r="M359" s="295">
        <v>0</v>
      </c>
      <c r="N359" s="295">
        <f>P359+R359</f>
        <v>0</v>
      </c>
      <c r="O359" s="295"/>
      <c r="P359" s="295"/>
      <c r="Q359" s="295"/>
      <c r="R359" s="295"/>
      <c r="S359" s="295"/>
      <c r="T359" s="295">
        <f>V359+X359+Z359+AB359+AD359</f>
        <v>0</v>
      </c>
      <c r="U359" s="295">
        <f t="shared" si="157"/>
        <v>0</v>
      </c>
      <c r="V359" s="295"/>
      <c r="W359" s="295"/>
      <c r="X359" s="295"/>
      <c r="Y359" s="295"/>
      <c r="Z359" s="295"/>
      <c r="AA359" s="295"/>
      <c r="AB359" s="295"/>
      <c r="AC359" s="295"/>
      <c r="AD359" s="295"/>
      <c r="AE359" s="295"/>
      <c r="AF359" s="295"/>
      <c r="AG359" s="295"/>
      <c r="AH359" s="295">
        <f t="shared" si="175"/>
        <v>0</v>
      </c>
      <c r="AI359" s="295"/>
      <c r="AJ359" s="295">
        <f>R359+X359+Z359+AB359+AD359</f>
        <v>0</v>
      </c>
      <c r="AK359" s="295"/>
      <c r="AL359" s="285">
        <f t="shared" si="154"/>
        <v>0</v>
      </c>
      <c r="AM359" s="295">
        <f t="shared" si="166"/>
        <v>0</v>
      </c>
      <c r="AN359" s="295">
        <f t="shared" si="166"/>
        <v>0</v>
      </c>
      <c r="AO359" s="285">
        <f t="shared" si="156"/>
        <v>0</v>
      </c>
      <c r="AP359" s="295">
        <f t="shared" si="167"/>
        <v>0</v>
      </c>
      <c r="AQ359" s="285">
        <f t="shared" si="162"/>
        <v>0</v>
      </c>
      <c r="AR359" s="295">
        <v>0</v>
      </c>
      <c r="AS359" s="295"/>
      <c r="AT359" s="313"/>
    </row>
    <row r="360" spans="1:46" s="265" customFormat="1" ht="47.25" customHeight="1">
      <c r="A360" s="279" t="s">
        <v>1289</v>
      </c>
      <c r="B360" s="286" t="s">
        <v>1290</v>
      </c>
      <c r="C360" s="287"/>
      <c r="D360" s="288"/>
      <c r="E360" s="288"/>
      <c r="F360" s="282"/>
      <c r="G360" s="282"/>
      <c r="H360" s="285">
        <f t="shared" ref="H360:AS361" si="177">H361</f>
        <v>157528</v>
      </c>
      <c r="I360" s="285">
        <f t="shared" si="177"/>
        <v>100000</v>
      </c>
      <c r="J360" s="285">
        <f t="shared" si="177"/>
        <v>90000</v>
      </c>
      <c r="K360" s="285">
        <f t="shared" si="177"/>
        <v>15000</v>
      </c>
      <c r="L360" s="285">
        <f t="shared" si="177"/>
        <v>85000</v>
      </c>
      <c r="M360" s="285">
        <f t="shared" si="177"/>
        <v>85000</v>
      </c>
      <c r="N360" s="285">
        <f t="shared" si="177"/>
        <v>17000</v>
      </c>
      <c r="O360" s="285">
        <f t="shared" si="177"/>
        <v>17000</v>
      </c>
      <c r="P360" s="285">
        <f t="shared" si="177"/>
        <v>17000</v>
      </c>
      <c r="Q360" s="285">
        <f t="shared" si="177"/>
        <v>17000</v>
      </c>
      <c r="R360" s="285">
        <f t="shared" si="177"/>
        <v>0</v>
      </c>
      <c r="S360" s="285">
        <f t="shared" si="177"/>
        <v>0</v>
      </c>
      <c r="T360" s="285">
        <f t="shared" si="177"/>
        <v>15000</v>
      </c>
      <c r="U360" s="285">
        <f t="shared" si="177"/>
        <v>15000</v>
      </c>
      <c r="V360" s="285">
        <f t="shared" si="177"/>
        <v>15000</v>
      </c>
      <c r="W360" s="285">
        <f t="shared" si="177"/>
        <v>15000</v>
      </c>
      <c r="X360" s="285">
        <f t="shared" si="177"/>
        <v>0</v>
      </c>
      <c r="Y360" s="285">
        <f t="shared" si="177"/>
        <v>0</v>
      </c>
      <c r="Z360" s="285">
        <f t="shared" si="177"/>
        <v>0</v>
      </c>
      <c r="AA360" s="285">
        <f t="shared" si="177"/>
        <v>0</v>
      </c>
      <c r="AB360" s="285">
        <f t="shared" si="177"/>
        <v>0</v>
      </c>
      <c r="AC360" s="285">
        <f t="shared" si="177"/>
        <v>0</v>
      </c>
      <c r="AD360" s="285">
        <f t="shared" si="177"/>
        <v>0</v>
      </c>
      <c r="AE360" s="285">
        <f t="shared" si="177"/>
        <v>0</v>
      </c>
      <c r="AF360" s="285">
        <f t="shared" si="177"/>
        <v>15000</v>
      </c>
      <c r="AG360" s="285">
        <f t="shared" si="177"/>
        <v>3386</v>
      </c>
      <c r="AH360" s="285">
        <f t="shared" si="177"/>
        <v>85000</v>
      </c>
      <c r="AI360" s="285">
        <f t="shared" si="177"/>
        <v>85000</v>
      </c>
      <c r="AJ360" s="285">
        <f t="shared" si="177"/>
        <v>0</v>
      </c>
      <c r="AK360" s="285">
        <f t="shared" si="177"/>
        <v>0</v>
      </c>
      <c r="AL360" s="285">
        <f t="shared" si="177"/>
        <v>85000</v>
      </c>
      <c r="AM360" s="285">
        <f t="shared" si="177"/>
        <v>47000</v>
      </c>
      <c r="AN360" s="285">
        <f t="shared" si="177"/>
        <v>35386</v>
      </c>
      <c r="AO360" s="285">
        <f t="shared" si="177"/>
        <v>62000</v>
      </c>
      <c r="AP360" s="285">
        <f t="shared" si="177"/>
        <v>38000</v>
      </c>
      <c r="AQ360" s="285">
        <f t="shared" si="177"/>
        <v>38000</v>
      </c>
      <c r="AR360" s="285">
        <f t="shared" si="177"/>
        <v>62000</v>
      </c>
      <c r="AS360" s="285">
        <f t="shared" si="177"/>
        <v>20000</v>
      </c>
      <c r="AT360" s="313"/>
    </row>
    <row r="361" spans="1:46" s="265" customFormat="1" ht="47.25" customHeight="1">
      <c r="A361" s="290" t="s">
        <v>337</v>
      </c>
      <c r="B361" s="297" t="s">
        <v>1283</v>
      </c>
      <c r="C361" s="292"/>
      <c r="D361" s="279"/>
      <c r="E361" s="293"/>
      <c r="F361" s="279"/>
      <c r="G361" s="294"/>
      <c r="H361" s="285">
        <f t="shared" si="177"/>
        <v>157528</v>
      </c>
      <c r="I361" s="285">
        <f t="shared" si="177"/>
        <v>100000</v>
      </c>
      <c r="J361" s="285">
        <f t="shared" si="177"/>
        <v>90000</v>
      </c>
      <c r="K361" s="285">
        <f t="shared" si="177"/>
        <v>15000</v>
      </c>
      <c r="L361" s="285">
        <f t="shared" si="177"/>
        <v>85000</v>
      </c>
      <c r="M361" s="285">
        <f t="shared" si="177"/>
        <v>85000</v>
      </c>
      <c r="N361" s="285">
        <f t="shared" si="177"/>
        <v>17000</v>
      </c>
      <c r="O361" s="285">
        <f t="shared" si="177"/>
        <v>17000</v>
      </c>
      <c r="P361" s="285">
        <f t="shared" si="177"/>
        <v>17000</v>
      </c>
      <c r="Q361" s="285">
        <f t="shared" si="177"/>
        <v>17000</v>
      </c>
      <c r="R361" s="285">
        <f t="shared" si="177"/>
        <v>0</v>
      </c>
      <c r="S361" s="285">
        <f t="shared" si="177"/>
        <v>0</v>
      </c>
      <c r="T361" s="285">
        <f t="shared" si="177"/>
        <v>15000</v>
      </c>
      <c r="U361" s="285">
        <f t="shared" si="177"/>
        <v>15000</v>
      </c>
      <c r="V361" s="285">
        <f t="shared" si="177"/>
        <v>15000</v>
      </c>
      <c r="W361" s="285">
        <f t="shared" si="177"/>
        <v>15000</v>
      </c>
      <c r="X361" s="285">
        <f t="shared" si="177"/>
        <v>0</v>
      </c>
      <c r="Y361" s="285">
        <f t="shared" si="177"/>
        <v>0</v>
      </c>
      <c r="Z361" s="285">
        <f t="shared" si="177"/>
        <v>0</v>
      </c>
      <c r="AA361" s="285">
        <f t="shared" si="177"/>
        <v>0</v>
      </c>
      <c r="AB361" s="285">
        <f t="shared" si="177"/>
        <v>0</v>
      </c>
      <c r="AC361" s="285">
        <f t="shared" si="177"/>
        <v>0</v>
      </c>
      <c r="AD361" s="285">
        <f t="shared" si="177"/>
        <v>0</v>
      </c>
      <c r="AE361" s="285">
        <f t="shared" si="177"/>
        <v>0</v>
      </c>
      <c r="AF361" s="285">
        <f t="shared" si="177"/>
        <v>15000</v>
      </c>
      <c r="AG361" s="285">
        <f t="shared" si="177"/>
        <v>3386</v>
      </c>
      <c r="AH361" s="285">
        <f t="shared" si="177"/>
        <v>85000</v>
      </c>
      <c r="AI361" s="285">
        <f t="shared" si="177"/>
        <v>85000</v>
      </c>
      <c r="AJ361" s="285">
        <f t="shared" si="177"/>
        <v>0</v>
      </c>
      <c r="AK361" s="285">
        <f t="shared" si="177"/>
        <v>0</v>
      </c>
      <c r="AL361" s="285">
        <f t="shared" si="177"/>
        <v>85000</v>
      </c>
      <c r="AM361" s="285">
        <f t="shared" si="177"/>
        <v>47000</v>
      </c>
      <c r="AN361" s="285">
        <f t="shared" si="177"/>
        <v>35386</v>
      </c>
      <c r="AO361" s="285">
        <f t="shared" si="177"/>
        <v>62000</v>
      </c>
      <c r="AP361" s="285">
        <f t="shared" si="177"/>
        <v>38000</v>
      </c>
      <c r="AQ361" s="285">
        <f t="shared" si="177"/>
        <v>38000</v>
      </c>
      <c r="AR361" s="285">
        <f t="shared" si="177"/>
        <v>62000</v>
      </c>
      <c r="AS361" s="285">
        <f t="shared" si="177"/>
        <v>20000</v>
      </c>
      <c r="AT361" s="313"/>
    </row>
    <row r="362" spans="1:46" s="265" customFormat="1" ht="47.25" customHeight="1">
      <c r="A362" s="298">
        <v>1</v>
      </c>
      <c r="B362" s="314" t="s">
        <v>893</v>
      </c>
      <c r="C362" s="300" t="s">
        <v>663</v>
      </c>
      <c r="D362" s="300" t="s">
        <v>669</v>
      </c>
      <c r="E362" s="300" t="s">
        <v>894</v>
      </c>
      <c r="F362" s="312" t="s">
        <v>666</v>
      </c>
      <c r="G362" s="300" t="s">
        <v>895</v>
      </c>
      <c r="H362" s="295">
        <v>157528</v>
      </c>
      <c r="I362" s="295">
        <v>100000</v>
      </c>
      <c r="J362" s="295">
        <f t="shared" si="174"/>
        <v>90000</v>
      </c>
      <c r="K362" s="295">
        <v>15000</v>
      </c>
      <c r="L362" s="295">
        <v>85000</v>
      </c>
      <c r="M362" s="295">
        <v>85000</v>
      </c>
      <c r="N362" s="295">
        <f>P362+R362</f>
        <v>17000</v>
      </c>
      <c r="O362" s="295">
        <f>Q362+S362</f>
        <v>17000</v>
      </c>
      <c r="P362" s="295">
        <v>17000</v>
      </c>
      <c r="Q362" s="295">
        <v>17000</v>
      </c>
      <c r="R362" s="295"/>
      <c r="S362" s="295"/>
      <c r="T362" s="295">
        <f>V362+X362+Z362+AB362+AD362</f>
        <v>15000</v>
      </c>
      <c r="U362" s="295">
        <f t="shared" si="157"/>
        <v>15000</v>
      </c>
      <c r="V362" s="295">
        <v>15000</v>
      </c>
      <c r="W362" s="295">
        <v>15000</v>
      </c>
      <c r="X362" s="295"/>
      <c r="Y362" s="295"/>
      <c r="Z362" s="295"/>
      <c r="AA362" s="295"/>
      <c r="AB362" s="295"/>
      <c r="AC362" s="295"/>
      <c r="AD362" s="295"/>
      <c r="AE362" s="295"/>
      <c r="AF362" s="295">
        <v>15000</v>
      </c>
      <c r="AG362" s="295">
        <v>3386</v>
      </c>
      <c r="AH362" s="295">
        <f t="shared" si="175"/>
        <v>85000</v>
      </c>
      <c r="AI362" s="295">
        <v>85000</v>
      </c>
      <c r="AJ362" s="295">
        <f>R362+X362+Z362+AB362+AD362</f>
        <v>0</v>
      </c>
      <c r="AK362" s="295"/>
      <c r="AL362" s="285">
        <f t="shared" si="154"/>
        <v>85000</v>
      </c>
      <c r="AM362" s="295">
        <f t="shared" si="166"/>
        <v>47000</v>
      </c>
      <c r="AN362" s="295">
        <f t="shared" si="166"/>
        <v>35386</v>
      </c>
      <c r="AO362" s="295">
        <f t="shared" si="156"/>
        <v>62000</v>
      </c>
      <c r="AP362" s="295">
        <f t="shared" si="167"/>
        <v>38000</v>
      </c>
      <c r="AQ362" s="285">
        <f t="shared" si="162"/>
        <v>38000</v>
      </c>
      <c r="AR362" s="295">
        <v>62000</v>
      </c>
      <c r="AS362" s="295">
        <v>20000</v>
      </c>
      <c r="AT362" s="313"/>
    </row>
    <row r="363" spans="1:46" ht="47.25" hidden="1" customHeight="1">
      <c r="A363" s="298"/>
      <c r="B363" s="299"/>
      <c r="C363" s="412"/>
      <c r="D363" s="301"/>
      <c r="E363" s="302"/>
      <c r="F363" s="298"/>
      <c r="G363" s="307"/>
      <c r="H363" s="295"/>
      <c r="I363" s="295"/>
      <c r="J363" s="295">
        <f t="shared" si="174"/>
        <v>0</v>
      </c>
      <c r="K363" s="295"/>
      <c r="L363" s="295">
        <v>0</v>
      </c>
      <c r="M363" s="295">
        <v>0</v>
      </c>
      <c r="N363" s="295">
        <f>P363+R363</f>
        <v>0</v>
      </c>
      <c r="O363" s="295"/>
      <c r="P363" s="295"/>
      <c r="Q363" s="295"/>
      <c r="R363" s="295"/>
      <c r="S363" s="295"/>
      <c r="T363" s="295">
        <f>V363+X363+Z363+AB363+AD363</f>
        <v>0</v>
      </c>
      <c r="U363" s="295">
        <f t="shared" si="157"/>
        <v>0</v>
      </c>
      <c r="V363" s="295"/>
      <c r="W363" s="295"/>
      <c r="X363" s="295"/>
      <c r="Y363" s="295"/>
      <c r="Z363" s="295"/>
      <c r="AA363" s="295"/>
      <c r="AB363" s="295"/>
      <c r="AC363" s="295"/>
      <c r="AD363" s="295"/>
      <c r="AE363" s="295"/>
      <c r="AF363" s="295"/>
      <c r="AG363" s="295"/>
      <c r="AH363" s="295">
        <f t="shared" si="175"/>
        <v>0</v>
      </c>
      <c r="AI363" s="295"/>
      <c r="AJ363" s="295">
        <f>R363+X363+Z363+AB363+AD363</f>
        <v>0</v>
      </c>
      <c r="AK363" s="295"/>
      <c r="AL363" s="285">
        <f t="shared" si="154"/>
        <v>0</v>
      </c>
      <c r="AM363" s="295">
        <f t="shared" si="166"/>
        <v>0</v>
      </c>
      <c r="AN363" s="295">
        <f t="shared" si="166"/>
        <v>0</v>
      </c>
      <c r="AO363" s="285">
        <f t="shared" si="156"/>
        <v>0</v>
      </c>
      <c r="AP363" s="295">
        <f t="shared" si="167"/>
        <v>0</v>
      </c>
      <c r="AQ363" s="285">
        <f t="shared" si="162"/>
        <v>0</v>
      </c>
      <c r="AR363" s="295">
        <v>0</v>
      </c>
      <c r="AS363" s="295"/>
      <c r="AT363" s="313"/>
    </row>
    <row r="364" spans="1:46" s="265" customFormat="1" ht="47.25" customHeight="1">
      <c r="A364" s="279" t="s">
        <v>1291</v>
      </c>
      <c r="B364" s="286" t="s">
        <v>1292</v>
      </c>
      <c r="C364" s="287"/>
      <c r="D364" s="288"/>
      <c r="E364" s="288"/>
      <c r="F364" s="282"/>
      <c r="G364" s="282"/>
      <c r="H364" s="285">
        <f t="shared" ref="H364:AS364" si="178">H365</f>
        <v>1093166</v>
      </c>
      <c r="I364" s="285">
        <f t="shared" si="178"/>
        <v>510802</v>
      </c>
      <c r="J364" s="285">
        <f t="shared" si="178"/>
        <v>459721.80000000005</v>
      </c>
      <c r="K364" s="285">
        <f t="shared" si="178"/>
        <v>140802</v>
      </c>
      <c r="L364" s="285">
        <f t="shared" si="178"/>
        <v>180000</v>
      </c>
      <c r="M364" s="285">
        <f t="shared" si="178"/>
        <v>370000</v>
      </c>
      <c r="N364" s="285">
        <f t="shared" si="178"/>
        <v>26000</v>
      </c>
      <c r="O364" s="285">
        <f t="shared" si="178"/>
        <v>26000</v>
      </c>
      <c r="P364" s="285">
        <f t="shared" si="178"/>
        <v>26000</v>
      </c>
      <c r="Q364" s="285">
        <f t="shared" si="178"/>
        <v>26000</v>
      </c>
      <c r="R364" s="285">
        <f t="shared" si="178"/>
        <v>0</v>
      </c>
      <c r="S364" s="285">
        <f t="shared" si="178"/>
        <v>0</v>
      </c>
      <c r="T364" s="285">
        <f t="shared" si="178"/>
        <v>20000</v>
      </c>
      <c r="U364" s="285">
        <f t="shared" si="178"/>
        <v>20000</v>
      </c>
      <c r="V364" s="285">
        <f t="shared" si="178"/>
        <v>20000</v>
      </c>
      <c r="W364" s="285">
        <f t="shared" si="178"/>
        <v>20000</v>
      </c>
      <c r="X364" s="285">
        <f t="shared" si="178"/>
        <v>0</v>
      </c>
      <c r="Y364" s="285">
        <f t="shared" si="178"/>
        <v>0</v>
      </c>
      <c r="Z364" s="285">
        <f t="shared" si="178"/>
        <v>0</v>
      </c>
      <c r="AA364" s="285">
        <f t="shared" si="178"/>
        <v>0</v>
      </c>
      <c r="AB364" s="285">
        <f t="shared" si="178"/>
        <v>0</v>
      </c>
      <c r="AC364" s="285">
        <f t="shared" si="178"/>
        <v>0</v>
      </c>
      <c r="AD364" s="285">
        <f t="shared" si="178"/>
        <v>0</v>
      </c>
      <c r="AE364" s="285">
        <f t="shared" si="178"/>
        <v>0</v>
      </c>
      <c r="AF364" s="285">
        <f t="shared" si="178"/>
        <v>30000</v>
      </c>
      <c r="AG364" s="285">
        <f t="shared" si="178"/>
        <v>28223</v>
      </c>
      <c r="AH364" s="285">
        <f t="shared" si="178"/>
        <v>370000</v>
      </c>
      <c r="AI364" s="285">
        <f t="shared" si="178"/>
        <v>370000</v>
      </c>
      <c r="AJ364" s="285">
        <f t="shared" si="178"/>
        <v>0</v>
      </c>
      <c r="AK364" s="285">
        <f t="shared" si="178"/>
        <v>0</v>
      </c>
      <c r="AL364" s="285">
        <f t="shared" si="178"/>
        <v>370000</v>
      </c>
      <c r="AM364" s="285">
        <f t="shared" si="178"/>
        <v>76000</v>
      </c>
      <c r="AN364" s="285">
        <f t="shared" si="178"/>
        <v>74223</v>
      </c>
      <c r="AO364" s="285">
        <f t="shared" si="178"/>
        <v>216802</v>
      </c>
      <c r="AP364" s="285">
        <f t="shared" si="178"/>
        <v>294000</v>
      </c>
      <c r="AQ364" s="285">
        <f t="shared" si="178"/>
        <v>294000</v>
      </c>
      <c r="AR364" s="285">
        <f t="shared" si="178"/>
        <v>216802</v>
      </c>
      <c r="AS364" s="285">
        <f t="shared" si="178"/>
        <v>87000</v>
      </c>
      <c r="AT364" s="313"/>
    </row>
    <row r="365" spans="1:46" s="265" customFormat="1" ht="15.75">
      <c r="A365" s="290" t="s">
        <v>337</v>
      </c>
      <c r="B365" s="297" t="s">
        <v>1283</v>
      </c>
      <c r="C365" s="292"/>
      <c r="D365" s="279"/>
      <c r="E365" s="293"/>
      <c r="F365" s="279"/>
      <c r="G365" s="294"/>
      <c r="H365" s="285">
        <f t="shared" ref="H365:AR365" si="179">SUM(H366:H367)</f>
        <v>1093166</v>
      </c>
      <c r="I365" s="285">
        <f t="shared" si="179"/>
        <v>510802</v>
      </c>
      <c r="J365" s="285">
        <f t="shared" si="179"/>
        <v>459721.80000000005</v>
      </c>
      <c r="K365" s="285">
        <f t="shared" si="179"/>
        <v>140802</v>
      </c>
      <c r="L365" s="285">
        <f t="shared" si="179"/>
        <v>180000</v>
      </c>
      <c r="M365" s="285">
        <f t="shared" si="179"/>
        <v>370000</v>
      </c>
      <c r="N365" s="285">
        <f t="shared" si="179"/>
        <v>26000</v>
      </c>
      <c r="O365" s="285">
        <f t="shared" si="179"/>
        <v>26000</v>
      </c>
      <c r="P365" s="285">
        <f t="shared" si="179"/>
        <v>26000</v>
      </c>
      <c r="Q365" s="285">
        <f t="shared" si="179"/>
        <v>26000</v>
      </c>
      <c r="R365" s="285">
        <f t="shared" si="179"/>
        <v>0</v>
      </c>
      <c r="S365" s="285">
        <f t="shared" si="179"/>
        <v>0</v>
      </c>
      <c r="T365" s="285">
        <f t="shared" si="179"/>
        <v>20000</v>
      </c>
      <c r="U365" s="285">
        <f t="shared" si="179"/>
        <v>20000</v>
      </c>
      <c r="V365" s="285">
        <f t="shared" si="179"/>
        <v>20000</v>
      </c>
      <c r="W365" s="285">
        <f t="shared" si="179"/>
        <v>20000</v>
      </c>
      <c r="X365" s="285">
        <f t="shared" si="179"/>
        <v>0</v>
      </c>
      <c r="Y365" s="285">
        <f t="shared" si="179"/>
        <v>0</v>
      </c>
      <c r="Z365" s="285">
        <f t="shared" si="179"/>
        <v>0</v>
      </c>
      <c r="AA365" s="285">
        <f t="shared" si="179"/>
        <v>0</v>
      </c>
      <c r="AB365" s="285">
        <f t="shared" si="179"/>
        <v>0</v>
      </c>
      <c r="AC365" s="285">
        <f t="shared" si="179"/>
        <v>0</v>
      </c>
      <c r="AD365" s="285">
        <f t="shared" si="179"/>
        <v>0</v>
      </c>
      <c r="AE365" s="285">
        <f t="shared" si="179"/>
        <v>0</v>
      </c>
      <c r="AF365" s="285">
        <f t="shared" si="179"/>
        <v>30000</v>
      </c>
      <c r="AG365" s="285">
        <f t="shared" si="179"/>
        <v>28223</v>
      </c>
      <c r="AH365" s="285">
        <f t="shared" si="179"/>
        <v>370000</v>
      </c>
      <c r="AI365" s="285">
        <f t="shared" si="179"/>
        <v>370000</v>
      </c>
      <c r="AJ365" s="285">
        <f t="shared" si="179"/>
        <v>0</v>
      </c>
      <c r="AK365" s="285">
        <f t="shared" si="179"/>
        <v>0</v>
      </c>
      <c r="AL365" s="285">
        <f t="shared" si="179"/>
        <v>370000</v>
      </c>
      <c r="AM365" s="285">
        <f t="shared" si="179"/>
        <v>76000</v>
      </c>
      <c r="AN365" s="285">
        <f t="shared" si="179"/>
        <v>74223</v>
      </c>
      <c r="AO365" s="285">
        <f t="shared" si="179"/>
        <v>216802</v>
      </c>
      <c r="AP365" s="285">
        <f t="shared" si="179"/>
        <v>294000</v>
      </c>
      <c r="AQ365" s="285">
        <f t="shared" si="179"/>
        <v>294000</v>
      </c>
      <c r="AR365" s="285">
        <f t="shared" si="179"/>
        <v>216802</v>
      </c>
      <c r="AS365" s="285">
        <f>SUM(AS366:AS367)</f>
        <v>87000</v>
      </c>
      <c r="AT365" s="313"/>
    </row>
    <row r="366" spans="1:46" s="265" customFormat="1" ht="47.25" customHeight="1">
      <c r="A366" s="298">
        <v>1</v>
      </c>
      <c r="B366" s="314" t="s">
        <v>1293</v>
      </c>
      <c r="C366" s="300" t="s">
        <v>663</v>
      </c>
      <c r="D366" s="300" t="s">
        <v>669</v>
      </c>
      <c r="E366" s="300" t="s">
        <v>1294</v>
      </c>
      <c r="F366" s="312" t="s">
        <v>1295</v>
      </c>
      <c r="G366" s="300" t="s">
        <v>1296</v>
      </c>
      <c r="H366" s="295">
        <v>887166</v>
      </c>
      <c r="I366" s="295">
        <v>428583</v>
      </c>
      <c r="J366" s="295">
        <f t="shared" si="174"/>
        <v>385724.7</v>
      </c>
      <c r="K366" s="295">
        <v>140802</v>
      </c>
      <c r="L366" s="295">
        <v>180000</v>
      </c>
      <c r="M366" s="295">
        <f>180000+107781</f>
        <v>287781</v>
      </c>
      <c r="N366" s="295">
        <f>P366+R366</f>
        <v>26000</v>
      </c>
      <c r="O366" s="295">
        <f>Q366+S366</f>
        <v>26000</v>
      </c>
      <c r="P366" s="295">
        <v>26000</v>
      </c>
      <c r="Q366" s="295">
        <v>26000</v>
      </c>
      <c r="R366" s="295"/>
      <c r="S366" s="295"/>
      <c r="T366" s="295">
        <f>V366+X366+Z366+AB366+AD366</f>
        <v>20000</v>
      </c>
      <c r="U366" s="295">
        <f t="shared" si="157"/>
        <v>20000</v>
      </c>
      <c r="V366" s="295">
        <v>20000</v>
      </c>
      <c r="W366" s="295">
        <v>20000</v>
      </c>
      <c r="X366" s="295"/>
      <c r="Y366" s="295"/>
      <c r="Z366" s="295"/>
      <c r="AA366" s="295"/>
      <c r="AB366" s="295"/>
      <c r="AC366" s="295"/>
      <c r="AD366" s="295"/>
      <c r="AE366" s="295"/>
      <c r="AF366" s="295">
        <v>20000</v>
      </c>
      <c r="AG366" s="295">
        <v>19500</v>
      </c>
      <c r="AH366" s="295">
        <f t="shared" si="175"/>
        <v>287781</v>
      </c>
      <c r="AI366" s="295">
        <f>180000+107781</f>
        <v>287781</v>
      </c>
      <c r="AJ366" s="295">
        <f>R366+X366+Z366+AB366+AD366</f>
        <v>0</v>
      </c>
      <c r="AK366" s="295"/>
      <c r="AL366" s="285">
        <f t="shared" si="154"/>
        <v>287781</v>
      </c>
      <c r="AM366" s="295">
        <f t="shared" si="166"/>
        <v>66000</v>
      </c>
      <c r="AN366" s="295">
        <f t="shared" si="166"/>
        <v>65500</v>
      </c>
      <c r="AO366" s="295">
        <f t="shared" si="156"/>
        <v>206802</v>
      </c>
      <c r="AP366" s="295">
        <f t="shared" si="167"/>
        <v>221781</v>
      </c>
      <c r="AQ366" s="285">
        <f t="shared" si="162"/>
        <v>221781</v>
      </c>
      <c r="AR366" s="295">
        <v>206802</v>
      </c>
      <c r="AS366" s="295">
        <v>62000</v>
      </c>
      <c r="AT366" s="313"/>
    </row>
    <row r="367" spans="1:46" s="265" customFormat="1" ht="47.25" customHeight="1">
      <c r="A367" s="298">
        <v>2</v>
      </c>
      <c r="B367" s="314" t="s">
        <v>1297</v>
      </c>
      <c r="C367" s="300" t="s">
        <v>663</v>
      </c>
      <c r="D367" s="300" t="s">
        <v>1298</v>
      </c>
      <c r="E367" s="300"/>
      <c r="F367" s="312" t="s">
        <v>1116</v>
      </c>
      <c r="G367" s="303" t="s">
        <v>905</v>
      </c>
      <c r="H367" s="295">
        <v>206000</v>
      </c>
      <c r="I367" s="295">
        <v>82219</v>
      </c>
      <c r="J367" s="295">
        <f t="shared" si="174"/>
        <v>73997.100000000006</v>
      </c>
      <c r="K367" s="295"/>
      <c r="L367" s="295">
        <v>0</v>
      </c>
      <c r="M367" s="295">
        <v>82219</v>
      </c>
      <c r="N367" s="295"/>
      <c r="O367" s="295">
        <f>Q367+S367</f>
        <v>0</v>
      </c>
      <c r="P367" s="295"/>
      <c r="Q367" s="295"/>
      <c r="R367" s="295"/>
      <c r="S367" s="295"/>
      <c r="T367" s="295">
        <f>V367+X367+Z367+AB367+AD367</f>
        <v>0</v>
      </c>
      <c r="U367" s="295">
        <f t="shared" si="157"/>
        <v>0</v>
      </c>
      <c r="V367" s="295"/>
      <c r="W367" s="295"/>
      <c r="X367" s="295"/>
      <c r="Y367" s="295"/>
      <c r="Z367" s="295"/>
      <c r="AA367" s="295"/>
      <c r="AB367" s="295"/>
      <c r="AC367" s="295"/>
      <c r="AD367" s="295"/>
      <c r="AE367" s="295"/>
      <c r="AF367" s="295">
        <v>10000</v>
      </c>
      <c r="AG367" s="295">
        <v>8723</v>
      </c>
      <c r="AH367" s="295">
        <f t="shared" si="175"/>
        <v>82219</v>
      </c>
      <c r="AI367" s="295">
        <v>82219</v>
      </c>
      <c r="AJ367" s="295">
        <f>R367+X367+Z367+AB367+AD367</f>
        <v>0</v>
      </c>
      <c r="AK367" s="295"/>
      <c r="AL367" s="285">
        <f t="shared" si="154"/>
        <v>82219</v>
      </c>
      <c r="AM367" s="295">
        <f t="shared" si="166"/>
        <v>10000</v>
      </c>
      <c r="AN367" s="295">
        <f t="shared" si="166"/>
        <v>8723</v>
      </c>
      <c r="AO367" s="295">
        <f t="shared" si="156"/>
        <v>10000</v>
      </c>
      <c r="AP367" s="295">
        <f t="shared" si="167"/>
        <v>72219</v>
      </c>
      <c r="AQ367" s="285">
        <f t="shared" si="162"/>
        <v>72219</v>
      </c>
      <c r="AR367" s="295">
        <v>10000</v>
      </c>
      <c r="AS367" s="295">
        <v>25000</v>
      </c>
      <c r="AT367" s="313"/>
    </row>
    <row r="368" spans="1:46" s="265" customFormat="1" ht="47.25" hidden="1" customHeight="1">
      <c r="A368" s="298"/>
      <c r="B368" s="314"/>
      <c r="C368" s="300"/>
      <c r="D368" s="300"/>
      <c r="E368" s="300"/>
      <c r="F368" s="312"/>
      <c r="G368" s="300"/>
      <c r="H368" s="295"/>
      <c r="I368" s="295"/>
      <c r="J368" s="295"/>
      <c r="K368" s="295"/>
      <c r="L368" s="295"/>
      <c r="M368" s="295"/>
      <c r="N368" s="295"/>
      <c r="O368" s="295"/>
      <c r="P368" s="295"/>
      <c r="Q368" s="295"/>
      <c r="R368" s="295"/>
      <c r="S368" s="295"/>
      <c r="T368" s="295"/>
      <c r="U368" s="295"/>
      <c r="V368" s="295"/>
      <c r="W368" s="295"/>
      <c r="X368" s="295"/>
      <c r="Y368" s="295"/>
      <c r="Z368" s="295"/>
      <c r="AA368" s="295"/>
      <c r="AB368" s="295"/>
      <c r="AC368" s="295"/>
      <c r="AD368" s="295"/>
      <c r="AE368" s="295"/>
      <c r="AF368" s="295"/>
      <c r="AG368" s="295"/>
      <c r="AH368" s="295"/>
      <c r="AI368" s="295"/>
      <c r="AJ368" s="295"/>
      <c r="AK368" s="295"/>
      <c r="AL368" s="285">
        <f t="shared" si="154"/>
        <v>0</v>
      </c>
      <c r="AM368" s="295"/>
      <c r="AN368" s="295"/>
      <c r="AO368" s="285">
        <f t="shared" si="156"/>
        <v>0</v>
      </c>
      <c r="AP368" s="295"/>
      <c r="AQ368" s="285"/>
      <c r="AR368" s="295">
        <v>0</v>
      </c>
      <c r="AS368" s="295"/>
      <c r="AT368" s="313"/>
    </row>
    <row r="369" spans="1:47" s="265" customFormat="1" ht="47.25" customHeight="1">
      <c r="A369" s="413" t="s">
        <v>1299</v>
      </c>
      <c r="B369" s="286" t="s">
        <v>1300</v>
      </c>
      <c r="C369" s="287"/>
      <c r="D369" s="288"/>
      <c r="E369" s="288"/>
      <c r="F369" s="282"/>
      <c r="G369" s="282"/>
      <c r="H369" s="285">
        <f t="shared" ref="H369:AS370" si="180">H370</f>
        <v>14821</v>
      </c>
      <c r="I369" s="285">
        <f t="shared" si="180"/>
        <v>13500</v>
      </c>
      <c r="J369" s="285">
        <f t="shared" si="180"/>
        <v>12150</v>
      </c>
      <c r="K369" s="285">
        <f t="shared" si="180"/>
        <v>0</v>
      </c>
      <c r="L369" s="285">
        <f t="shared" si="180"/>
        <v>13500</v>
      </c>
      <c r="M369" s="285">
        <f t="shared" si="180"/>
        <v>13338</v>
      </c>
      <c r="N369" s="285">
        <f t="shared" si="180"/>
        <v>0</v>
      </c>
      <c r="O369" s="285">
        <f t="shared" si="180"/>
        <v>0</v>
      </c>
      <c r="P369" s="285">
        <f t="shared" si="180"/>
        <v>0</v>
      </c>
      <c r="Q369" s="285">
        <f t="shared" si="180"/>
        <v>0</v>
      </c>
      <c r="R369" s="285">
        <f t="shared" si="180"/>
        <v>0</v>
      </c>
      <c r="S369" s="285">
        <f t="shared" si="180"/>
        <v>0</v>
      </c>
      <c r="T369" s="285">
        <f t="shared" si="180"/>
        <v>0</v>
      </c>
      <c r="U369" s="285">
        <f t="shared" si="180"/>
        <v>0</v>
      </c>
      <c r="V369" s="285">
        <f t="shared" si="180"/>
        <v>0</v>
      </c>
      <c r="W369" s="285">
        <f t="shared" si="180"/>
        <v>0</v>
      </c>
      <c r="X369" s="285">
        <f t="shared" si="180"/>
        <v>0</v>
      </c>
      <c r="Y369" s="285">
        <f t="shared" si="180"/>
        <v>0</v>
      </c>
      <c r="Z369" s="285">
        <f t="shared" si="180"/>
        <v>0</v>
      </c>
      <c r="AA369" s="285">
        <f t="shared" si="180"/>
        <v>0</v>
      </c>
      <c r="AB369" s="285">
        <f t="shared" si="180"/>
        <v>0</v>
      </c>
      <c r="AC369" s="285">
        <f t="shared" si="180"/>
        <v>0</v>
      </c>
      <c r="AD369" s="285">
        <f t="shared" si="180"/>
        <v>0</v>
      </c>
      <c r="AE369" s="285">
        <f t="shared" si="180"/>
        <v>0</v>
      </c>
      <c r="AF369" s="285">
        <f t="shared" si="180"/>
        <v>6500</v>
      </c>
      <c r="AG369" s="285">
        <f t="shared" si="180"/>
        <v>6500</v>
      </c>
      <c r="AH369" s="285">
        <f t="shared" si="180"/>
        <v>13338</v>
      </c>
      <c r="AI369" s="285">
        <f t="shared" si="180"/>
        <v>13338</v>
      </c>
      <c r="AJ369" s="285">
        <f t="shared" si="180"/>
        <v>0</v>
      </c>
      <c r="AK369" s="285">
        <f t="shared" si="180"/>
        <v>0</v>
      </c>
      <c r="AL369" s="285">
        <f t="shared" si="180"/>
        <v>13338</v>
      </c>
      <c r="AM369" s="285">
        <f t="shared" si="180"/>
        <v>6500</v>
      </c>
      <c r="AN369" s="285">
        <f t="shared" si="180"/>
        <v>6500</v>
      </c>
      <c r="AO369" s="285">
        <f t="shared" si="180"/>
        <v>6500</v>
      </c>
      <c r="AP369" s="285">
        <f t="shared" si="180"/>
        <v>6838</v>
      </c>
      <c r="AQ369" s="285">
        <f t="shared" si="180"/>
        <v>6838</v>
      </c>
      <c r="AR369" s="285">
        <f t="shared" si="180"/>
        <v>6500</v>
      </c>
      <c r="AS369" s="285">
        <f t="shared" si="180"/>
        <v>6837</v>
      </c>
      <c r="AT369" s="313"/>
    </row>
    <row r="370" spans="1:47" s="265" customFormat="1" ht="47.25" customHeight="1">
      <c r="A370" s="279" t="s">
        <v>337</v>
      </c>
      <c r="B370" s="297" t="s">
        <v>1283</v>
      </c>
      <c r="C370" s="287"/>
      <c r="D370" s="288"/>
      <c r="E370" s="288"/>
      <c r="F370" s="282"/>
      <c r="G370" s="282"/>
      <c r="H370" s="285">
        <f t="shared" si="180"/>
        <v>14821</v>
      </c>
      <c r="I370" s="285">
        <f t="shared" si="180"/>
        <v>13500</v>
      </c>
      <c r="J370" s="285">
        <f t="shared" si="180"/>
        <v>12150</v>
      </c>
      <c r="K370" s="285">
        <f t="shared" si="180"/>
        <v>0</v>
      </c>
      <c r="L370" s="285">
        <f t="shared" si="180"/>
        <v>13500</v>
      </c>
      <c r="M370" s="285">
        <f t="shared" si="180"/>
        <v>13338</v>
      </c>
      <c r="N370" s="285">
        <f t="shared" si="180"/>
        <v>0</v>
      </c>
      <c r="O370" s="285">
        <f t="shared" si="180"/>
        <v>0</v>
      </c>
      <c r="P370" s="285">
        <f t="shared" si="180"/>
        <v>0</v>
      </c>
      <c r="Q370" s="285">
        <f t="shared" si="180"/>
        <v>0</v>
      </c>
      <c r="R370" s="285">
        <f t="shared" si="180"/>
        <v>0</v>
      </c>
      <c r="S370" s="285">
        <f t="shared" si="180"/>
        <v>0</v>
      </c>
      <c r="T370" s="285">
        <f t="shared" si="180"/>
        <v>0</v>
      </c>
      <c r="U370" s="285">
        <f t="shared" si="180"/>
        <v>0</v>
      </c>
      <c r="V370" s="285">
        <f t="shared" si="180"/>
        <v>0</v>
      </c>
      <c r="W370" s="285">
        <f t="shared" si="180"/>
        <v>0</v>
      </c>
      <c r="X370" s="285">
        <f t="shared" si="180"/>
        <v>0</v>
      </c>
      <c r="Y370" s="285">
        <f t="shared" si="180"/>
        <v>0</v>
      </c>
      <c r="Z370" s="285">
        <f t="shared" si="180"/>
        <v>0</v>
      </c>
      <c r="AA370" s="285">
        <f t="shared" si="180"/>
        <v>0</v>
      </c>
      <c r="AB370" s="285">
        <f t="shared" si="180"/>
        <v>0</v>
      </c>
      <c r="AC370" s="285">
        <f t="shared" si="180"/>
        <v>0</v>
      </c>
      <c r="AD370" s="285">
        <f t="shared" si="180"/>
        <v>0</v>
      </c>
      <c r="AE370" s="285">
        <f t="shared" si="180"/>
        <v>0</v>
      </c>
      <c r="AF370" s="285">
        <f t="shared" si="180"/>
        <v>6500</v>
      </c>
      <c r="AG370" s="285">
        <f t="shared" si="180"/>
        <v>6500</v>
      </c>
      <c r="AH370" s="285">
        <f t="shared" si="180"/>
        <v>13338</v>
      </c>
      <c r="AI370" s="285">
        <f t="shared" si="180"/>
        <v>13338</v>
      </c>
      <c r="AJ370" s="285">
        <f t="shared" si="180"/>
        <v>0</v>
      </c>
      <c r="AK370" s="285">
        <f t="shared" si="180"/>
        <v>0</v>
      </c>
      <c r="AL370" s="285">
        <f t="shared" si="180"/>
        <v>13338</v>
      </c>
      <c r="AM370" s="285">
        <f t="shared" si="180"/>
        <v>6500</v>
      </c>
      <c r="AN370" s="285">
        <f t="shared" si="180"/>
        <v>6500</v>
      </c>
      <c r="AO370" s="285">
        <f t="shared" si="180"/>
        <v>6500</v>
      </c>
      <c r="AP370" s="285">
        <f t="shared" si="180"/>
        <v>6838</v>
      </c>
      <c r="AQ370" s="285">
        <f t="shared" si="180"/>
        <v>6838</v>
      </c>
      <c r="AR370" s="285">
        <f t="shared" si="180"/>
        <v>6500</v>
      </c>
      <c r="AS370" s="285">
        <f t="shared" si="180"/>
        <v>6837</v>
      </c>
      <c r="AT370" s="313"/>
    </row>
    <row r="371" spans="1:47" s="265" customFormat="1" ht="47.25" customHeight="1">
      <c r="A371" s="298">
        <v>1</v>
      </c>
      <c r="B371" s="314" t="s">
        <v>1301</v>
      </c>
      <c r="C371" s="300" t="s">
        <v>1159</v>
      </c>
      <c r="D371" s="300" t="s">
        <v>675</v>
      </c>
      <c r="E371" s="300" t="s">
        <v>1302</v>
      </c>
      <c r="F371" s="312" t="s">
        <v>671</v>
      </c>
      <c r="G371" s="300"/>
      <c r="H371" s="295">
        <v>14821</v>
      </c>
      <c r="I371" s="295">
        <v>13500</v>
      </c>
      <c r="J371" s="295">
        <f t="shared" si="174"/>
        <v>12150</v>
      </c>
      <c r="K371" s="295"/>
      <c r="L371" s="295">
        <v>13500</v>
      </c>
      <c r="M371" s="295">
        <v>13338</v>
      </c>
      <c r="N371" s="295">
        <f>P371+R371</f>
        <v>0</v>
      </c>
      <c r="O371" s="295"/>
      <c r="P371" s="295">
        <v>0</v>
      </c>
      <c r="Q371" s="295"/>
      <c r="R371" s="295"/>
      <c r="S371" s="295"/>
      <c r="T371" s="295">
        <f>V371+X371+Z371+AB371+AD371</f>
        <v>0</v>
      </c>
      <c r="U371" s="295">
        <f t="shared" si="157"/>
        <v>0</v>
      </c>
      <c r="V371" s="295"/>
      <c r="W371" s="295"/>
      <c r="X371" s="295"/>
      <c r="Y371" s="295"/>
      <c r="Z371" s="295"/>
      <c r="AA371" s="295"/>
      <c r="AB371" s="295"/>
      <c r="AC371" s="295"/>
      <c r="AD371" s="295"/>
      <c r="AE371" s="295"/>
      <c r="AF371" s="295">
        <v>6500</v>
      </c>
      <c r="AG371" s="295">
        <v>6500</v>
      </c>
      <c r="AH371" s="295">
        <f t="shared" si="175"/>
        <v>13338</v>
      </c>
      <c r="AI371" s="295">
        <v>13338</v>
      </c>
      <c r="AJ371" s="295">
        <f>R371+X371+Z371+AB371+AD371</f>
        <v>0</v>
      </c>
      <c r="AK371" s="295"/>
      <c r="AL371" s="285">
        <f t="shared" si="154"/>
        <v>13338</v>
      </c>
      <c r="AM371" s="295">
        <f t="shared" si="166"/>
        <v>6500</v>
      </c>
      <c r="AN371" s="295">
        <f t="shared" si="166"/>
        <v>6500</v>
      </c>
      <c r="AO371" s="295">
        <f t="shared" si="156"/>
        <v>6500</v>
      </c>
      <c r="AP371" s="295">
        <f t="shared" si="167"/>
        <v>6838</v>
      </c>
      <c r="AQ371" s="285">
        <f t="shared" si="162"/>
        <v>6838</v>
      </c>
      <c r="AR371" s="295">
        <v>6500</v>
      </c>
      <c r="AS371" s="295">
        <v>6837</v>
      </c>
      <c r="AT371" s="310"/>
    </row>
    <row r="372" spans="1:47" ht="47.25" customHeight="1">
      <c r="A372" s="414"/>
      <c r="B372" s="415"/>
      <c r="C372" s="310"/>
      <c r="D372" s="305"/>
      <c r="E372" s="305"/>
      <c r="F372" s="300"/>
      <c r="G372" s="300"/>
      <c r="H372" s="295"/>
      <c r="I372" s="295"/>
      <c r="J372" s="295">
        <f t="shared" si="174"/>
        <v>0</v>
      </c>
      <c r="K372" s="295"/>
      <c r="L372" s="295"/>
      <c r="M372" s="295"/>
      <c r="N372" s="295">
        <f>P372+R372</f>
        <v>0</v>
      </c>
      <c r="O372" s="295"/>
      <c r="P372" s="295"/>
      <c r="Q372" s="295"/>
      <c r="R372" s="295"/>
      <c r="S372" s="295"/>
      <c r="T372" s="295">
        <f>V372+X372+Z372+AB372+AD372</f>
        <v>0</v>
      </c>
      <c r="U372" s="295">
        <f t="shared" si="157"/>
        <v>0</v>
      </c>
      <c r="V372" s="295"/>
      <c r="W372" s="295"/>
      <c r="X372" s="295"/>
      <c r="Y372" s="295"/>
      <c r="Z372" s="295"/>
      <c r="AA372" s="295"/>
      <c r="AB372" s="295"/>
      <c r="AC372" s="295"/>
      <c r="AD372" s="295"/>
      <c r="AE372" s="295"/>
      <c r="AF372" s="295"/>
      <c r="AG372" s="295"/>
      <c r="AH372" s="295">
        <f t="shared" si="175"/>
        <v>0</v>
      </c>
      <c r="AI372" s="295"/>
      <c r="AJ372" s="295">
        <f>R372+X372+Z372+AB372+AD372</f>
        <v>0</v>
      </c>
      <c r="AK372" s="295"/>
      <c r="AL372" s="285">
        <f t="shared" si="154"/>
        <v>0</v>
      </c>
      <c r="AM372" s="295">
        <f t="shared" si="166"/>
        <v>0</v>
      </c>
      <c r="AN372" s="295">
        <f t="shared" si="166"/>
        <v>0</v>
      </c>
      <c r="AO372" s="285">
        <f t="shared" si="156"/>
        <v>0</v>
      </c>
      <c r="AP372" s="295">
        <f t="shared" si="167"/>
        <v>0</v>
      </c>
      <c r="AQ372" s="285">
        <f t="shared" si="162"/>
        <v>0</v>
      </c>
      <c r="AR372" s="295">
        <v>0</v>
      </c>
      <c r="AS372" s="295"/>
      <c r="AT372" s="313"/>
    </row>
    <row r="373" spans="1:47" s="265" customFormat="1" ht="47.25" customHeight="1">
      <c r="A373" s="413" t="s">
        <v>1303</v>
      </c>
      <c r="B373" s="286" t="s">
        <v>1304</v>
      </c>
      <c r="C373" s="287"/>
      <c r="D373" s="288"/>
      <c r="E373" s="288"/>
      <c r="F373" s="282"/>
      <c r="G373" s="282"/>
      <c r="H373" s="285">
        <f t="shared" ref="H373:AS374" si="181">H374</f>
        <v>95000</v>
      </c>
      <c r="I373" s="285">
        <f t="shared" si="181"/>
        <v>40000</v>
      </c>
      <c r="J373" s="285">
        <f t="shared" si="181"/>
        <v>36000</v>
      </c>
      <c r="K373" s="285">
        <f t="shared" si="181"/>
        <v>0</v>
      </c>
      <c r="L373" s="285">
        <f t="shared" si="181"/>
        <v>40000</v>
      </c>
      <c r="M373" s="285">
        <f t="shared" si="181"/>
        <v>40000</v>
      </c>
      <c r="N373" s="285">
        <f t="shared" si="181"/>
        <v>0</v>
      </c>
      <c r="O373" s="285">
        <f t="shared" si="181"/>
        <v>0</v>
      </c>
      <c r="P373" s="285">
        <f t="shared" si="181"/>
        <v>0</v>
      </c>
      <c r="Q373" s="285">
        <f t="shared" si="181"/>
        <v>0</v>
      </c>
      <c r="R373" s="285">
        <f t="shared" si="181"/>
        <v>0</v>
      </c>
      <c r="S373" s="285">
        <f t="shared" si="181"/>
        <v>0</v>
      </c>
      <c r="T373" s="285">
        <f t="shared" si="181"/>
        <v>0</v>
      </c>
      <c r="U373" s="285">
        <f t="shared" si="181"/>
        <v>0</v>
      </c>
      <c r="V373" s="285">
        <f t="shared" si="181"/>
        <v>0</v>
      </c>
      <c r="W373" s="285">
        <f t="shared" si="181"/>
        <v>0</v>
      </c>
      <c r="X373" s="285">
        <f t="shared" si="181"/>
        <v>0</v>
      </c>
      <c r="Y373" s="285">
        <f t="shared" si="181"/>
        <v>0</v>
      </c>
      <c r="Z373" s="285">
        <f t="shared" si="181"/>
        <v>0</v>
      </c>
      <c r="AA373" s="285">
        <f t="shared" si="181"/>
        <v>0</v>
      </c>
      <c r="AB373" s="285">
        <f t="shared" si="181"/>
        <v>0</v>
      </c>
      <c r="AC373" s="285">
        <f t="shared" si="181"/>
        <v>0</v>
      </c>
      <c r="AD373" s="285">
        <f t="shared" si="181"/>
        <v>0</v>
      </c>
      <c r="AE373" s="285">
        <f t="shared" si="181"/>
        <v>0</v>
      </c>
      <c r="AF373" s="285">
        <f t="shared" si="181"/>
        <v>12000</v>
      </c>
      <c r="AG373" s="285">
        <f t="shared" si="181"/>
        <v>11098</v>
      </c>
      <c r="AH373" s="285">
        <f t="shared" si="181"/>
        <v>40000</v>
      </c>
      <c r="AI373" s="285">
        <f t="shared" si="181"/>
        <v>40000</v>
      </c>
      <c r="AJ373" s="285">
        <f t="shared" si="181"/>
        <v>0</v>
      </c>
      <c r="AK373" s="285">
        <f t="shared" si="181"/>
        <v>0</v>
      </c>
      <c r="AL373" s="285">
        <f t="shared" si="181"/>
        <v>40000</v>
      </c>
      <c r="AM373" s="285">
        <f t="shared" si="181"/>
        <v>12000</v>
      </c>
      <c r="AN373" s="285">
        <f t="shared" si="181"/>
        <v>11098</v>
      </c>
      <c r="AO373" s="285">
        <f t="shared" si="181"/>
        <v>12000</v>
      </c>
      <c r="AP373" s="285">
        <f t="shared" si="181"/>
        <v>28000</v>
      </c>
      <c r="AQ373" s="285">
        <f t="shared" si="181"/>
        <v>28000</v>
      </c>
      <c r="AR373" s="285">
        <f t="shared" si="181"/>
        <v>12000</v>
      </c>
      <c r="AS373" s="285">
        <f t="shared" si="181"/>
        <v>10133</v>
      </c>
      <c r="AT373" s="313"/>
    </row>
    <row r="374" spans="1:47" s="265" customFormat="1" ht="47.25" customHeight="1">
      <c r="A374" s="279" t="s">
        <v>337</v>
      </c>
      <c r="B374" s="297" t="s">
        <v>1283</v>
      </c>
      <c r="C374" s="287"/>
      <c r="D374" s="288"/>
      <c r="E374" s="288"/>
      <c r="F374" s="282"/>
      <c r="G374" s="282"/>
      <c r="H374" s="285">
        <f t="shared" si="181"/>
        <v>95000</v>
      </c>
      <c r="I374" s="285">
        <f t="shared" si="181"/>
        <v>40000</v>
      </c>
      <c r="J374" s="285">
        <f t="shared" si="181"/>
        <v>36000</v>
      </c>
      <c r="K374" s="285">
        <f t="shared" si="181"/>
        <v>0</v>
      </c>
      <c r="L374" s="285">
        <f t="shared" si="181"/>
        <v>40000</v>
      </c>
      <c r="M374" s="285">
        <f t="shared" si="181"/>
        <v>40000</v>
      </c>
      <c r="N374" s="285">
        <f t="shared" si="181"/>
        <v>0</v>
      </c>
      <c r="O374" s="285">
        <f t="shared" si="181"/>
        <v>0</v>
      </c>
      <c r="P374" s="285">
        <f t="shared" si="181"/>
        <v>0</v>
      </c>
      <c r="Q374" s="285">
        <f t="shared" si="181"/>
        <v>0</v>
      </c>
      <c r="R374" s="285">
        <f t="shared" si="181"/>
        <v>0</v>
      </c>
      <c r="S374" s="285">
        <f t="shared" si="181"/>
        <v>0</v>
      </c>
      <c r="T374" s="285">
        <f t="shared" si="181"/>
        <v>0</v>
      </c>
      <c r="U374" s="285">
        <f t="shared" si="181"/>
        <v>0</v>
      </c>
      <c r="V374" s="285">
        <f t="shared" si="181"/>
        <v>0</v>
      </c>
      <c r="W374" s="285">
        <f t="shared" si="181"/>
        <v>0</v>
      </c>
      <c r="X374" s="285">
        <f t="shared" si="181"/>
        <v>0</v>
      </c>
      <c r="Y374" s="285">
        <f t="shared" si="181"/>
        <v>0</v>
      </c>
      <c r="Z374" s="285">
        <f t="shared" si="181"/>
        <v>0</v>
      </c>
      <c r="AA374" s="285">
        <f t="shared" si="181"/>
        <v>0</v>
      </c>
      <c r="AB374" s="285">
        <f t="shared" si="181"/>
        <v>0</v>
      </c>
      <c r="AC374" s="285">
        <f t="shared" si="181"/>
        <v>0</v>
      </c>
      <c r="AD374" s="285">
        <f t="shared" si="181"/>
        <v>0</v>
      </c>
      <c r="AE374" s="285">
        <f t="shared" si="181"/>
        <v>0</v>
      </c>
      <c r="AF374" s="285">
        <f t="shared" si="181"/>
        <v>12000</v>
      </c>
      <c r="AG374" s="285">
        <f t="shared" si="181"/>
        <v>11098</v>
      </c>
      <c r="AH374" s="285">
        <f t="shared" si="181"/>
        <v>40000</v>
      </c>
      <c r="AI374" s="285">
        <f t="shared" si="181"/>
        <v>40000</v>
      </c>
      <c r="AJ374" s="285">
        <f t="shared" si="181"/>
        <v>0</v>
      </c>
      <c r="AK374" s="285">
        <f t="shared" si="181"/>
        <v>0</v>
      </c>
      <c r="AL374" s="285">
        <f t="shared" si="181"/>
        <v>40000</v>
      </c>
      <c r="AM374" s="285">
        <f t="shared" si="181"/>
        <v>12000</v>
      </c>
      <c r="AN374" s="285">
        <f t="shared" si="181"/>
        <v>11098</v>
      </c>
      <c r="AO374" s="285">
        <f t="shared" si="181"/>
        <v>12000</v>
      </c>
      <c r="AP374" s="285">
        <f t="shared" si="181"/>
        <v>28000</v>
      </c>
      <c r="AQ374" s="285">
        <f t="shared" si="181"/>
        <v>28000</v>
      </c>
      <c r="AR374" s="285">
        <f t="shared" si="181"/>
        <v>12000</v>
      </c>
      <c r="AS374" s="285">
        <f t="shared" si="181"/>
        <v>10133</v>
      </c>
      <c r="AT374" s="313"/>
    </row>
    <row r="375" spans="1:47" s="265" customFormat="1" ht="47.25" customHeight="1">
      <c r="A375" s="298">
        <v>1</v>
      </c>
      <c r="B375" s="314" t="s">
        <v>1068</v>
      </c>
      <c r="C375" s="300" t="s">
        <v>1305</v>
      </c>
      <c r="D375" s="300" t="s">
        <v>675</v>
      </c>
      <c r="E375" s="300" t="s">
        <v>1306</v>
      </c>
      <c r="F375" s="312" t="s">
        <v>716</v>
      </c>
      <c r="G375" s="300"/>
      <c r="H375" s="295">
        <v>95000</v>
      </c>
      <c r="I375" s="295">
        <v>40000</v>
      </c>
      <c r="J375" s="295">
        <f t="shared" si="174"/>
        <v>36000</v>
      </c>
      <c r="K375" s="295"/>
      <c r="L375" s="295">
        <v>40000</v>
      </c>
      <c r="M375" s="295">
        <v>40000</v>
      </c>
      <c r="N375" s="295">
        <f t="shared" ref="N375:N382" si="182">P375+R375</f>
        <v>0</v>
      </c>
      <c r="O375" s="295"/>
      <c r="P375" s="295">
        <v>0</v>
      </c>
      <c r="Q375" s="295"/>
      <c r="R375" s="295"/>
      <c r="S375" s="295"/>
      <c r="T375" s="295">
        <f>V375+X375+Z375+AB375+AD375</f>
        <v>0</v>
      </c>
      <c r="U375" s="295">
        <f t="shared" si="157"/>
        <v>0</v>
      </c>
      <c r="V375" s="295"/>
      <c r="W375" s="295"/>
      <c r="X375" s="295"/>
      <c r="Y375" s="295"/>
      <c r="Z375" s="295"/>
      <c r="AA375" s="295"/>
      <c r="AB375" s="295"/>
      <c r="AC375" s="295"/>
      <c r="AD375" s="295"/>
      <c r="AE375" s="295"/>
      <c r="AF375" s="295">
        <v>12000</v>
      </c>
      <c r="AG375" s="295">
        <v>11098</v>
      </c>
      <c r="AH375" s="295">
        <f t="shared" si="175"/>
        <v>40000</v>
      </c>
      <c r="AI375" s="295">
        <v>40000</v>
      </c>
      <c r="AJ375" s="295">
        <f>R375+X375+Z375+AB375+AD375</f>
        <v>0</v>
      </c>
      <c r="AK375" s="295"/>
      <c r="AL375" s="285">
        <f t="shared" ref="AL375:AL387" si="183">AI375+AJ375</f>
        <v>40000</v>
      </c>
      <c r="AM375" s="295">
        <f t="shared" si="166"/>
        <v>12000</v>
      </c>
      <c r="AN375" s="295">
        <f t="shared" si="166"/>
        <v>11098</v>
      </c>
      <c r="AO375" s="295">
        <f t="shared" ref="AO375:AO387" si="184">K375+AM375</f>
        <v>12000</v>
      </c>
      <c r="AP375" s="295">
        <f t="shared" si="167"/>
        <v>28000</v>
      </c>
      <c r="AQ375" s="285">
        <f t="shared" si="162"/>
        <v>28000</v>
      </c>
      <c r="AR375" s="295">
        <v>12000</v>
      </c>
      <c r="AS375" s="295">
        <v>10133</v>
      </c>
      <c r="AT375" s="313"/>
    </row>
    <row r="376" spans="1:47" ht="47.25" hidden="1" customHeight="1">
      <c r="A376" s="414"/>
      <c r="B376" s="415"/>
      <c r="C376" s="310"/>
      <c r="D376" s="305"/>
      <c r="E376" s="300"/>
      <c r="F376" s="300"/>
      <c r="G376" s="300"/>
      <c r="H376" s="295"/>
      <c r="I376" s="295"/>
      <c r="J376" s="295">
        <f t="shared" si="174"/>
        <v>0</v>
      </c>
      <c r="K376" s="295"/>
      <c r="L376" s="295"/>
      <c r="M376" s="295"/>
      <c r="N376" s="295">
        <f t="shared" si="182"/>
        <v>0</v>
      </c>
      <c r="O376" s="295"/>
      <c r="P376" s="295"/>
      <c r="Q376" s="295"/>
      <c r="R376" s="295"/>
      <c r="S376" s="295"/>
      <c r="T376" s="295">
        <f>V376+X376+Z376+AB376+AD376</f>
        <v>0</v>
      </c>
      <c r="U376" s="295">
        <f t="shared" si="157"/>
        <v>0</v>
      </c>
      <c r="V376" s="295"/>
      <c r="W376" s="295"/>
      <c r="X376" s="295"/>
      <c r="Y376" s="295"/>
      <c r="Z376" s="295"/>
      <c r="AA376" s="295"/>
      <c r="AB376" s="295"/>
      <c r="AC376" s="295"/>
      <c r="AD376" s="295"/>
      <c r="AE376" s="295"/>
      <c r="AF376" s="295"/>
      <c r="AG376" s="295"/>
      <c r="AH376" s="295">
        <f t="shared" si="175"/>
        <v>0</v>
      </c>
      <c r="AI376" s="295"/>
      <c r="AJ376" s="295">
        <f>R376+X376+Z376+AB376+AD376</f>
        <v>0</v>
      </c>
      <c r="AK376" s="295"/>
      <c r="AL376" s="285">
        <f t="shared" si="183"/>
        <v>0</v>
      </c>
      <c r="AM376" s="295">
        <f t="shared" si="166"/>
        <v>0</v>
      </c>
      <c r="AN376" s="295">
        <f t="shared" si="166"/>
        <v>0</v>
      </c>
      <c r="AO376" s="285">
        <f t="shared" si="184"/>
        <v>0</v>
      </c>
      <c r="AP376" s="295">
        <f t="shared" si="167"/>
        <v>0</v>
      </c>
      <c r="AQ376" s="285">
        <f t="shared" si="162"/>
        <v>0</v>
      </c>
      <c r="AR376" s="295">
        <v>0</v>
      </c>
      <c r="AS376" s="295"/>
      <c r="AT376" s="313"/>
    </row>
    <row r="377" spans="1:47" s="265" customFormat="1" ht="47.25" customHeight="1">
      <c r="A377" s="413" t="s">
        <v>1307</v>
      </c>
      <c r="B377" s="286" t="s">
        <v>1308</v>
      </c>
      <c r="C377" s="287"/>
      <c r="D377" s="288"/>
      <c r="E377" s="288"/>
      <c r="F377" s="282"/>
      <c r="G377" s="282"/>
      <c r="H377" s="285">
        <f t="shared" ref="H377:AS378" si="185">H378</f>
        <v>150980</v>
      </c>
      <c r="I377" s="285">
        <f t="shared" si="185"/>
        <v>130000</v>
      </c>
      <c r="J377" s="285">
        <f t="shared" si="185"/>
        <v>117000</v>
      </c>
      <c r="K377" s="285">
        <f t="shared" si="185"/>
        <v>0</v>
      </c>
      <c r="L377" s="285">
        <f t="shared" si="185"/>
        <v>130000</v>
      </c>
      <c r="M377" s="285">
        <f t="shared" si="185"/>
        <v>130000</v>
      </c>
      <c r="N377" s="285">
        <f t="shared" si="185"/>
        <v>20942</v>
      </c>
      <c r="O377" s="285">
        <f t="shared" si="185"/>
        <v>20941</v>
      </c>
      <c r="P377" s="285">
        <f t="shared" si="185"/>
        <v>20942</v>
      </c>
      <c r="Q377" s="285">
        <f t="shared" si="185"/>
        <v>20941</v>
      </c>
      <c r="R377" s="285">
        <f t="shared" si="185"/>
        <v>0</v>
      </c>
      <c r="S377" s="285">
        <f t="shared" si="185"/>
        <v>0</v>
      </c>
      <c r="T377" s="285">
        <f t="shared" si="185"/>
        <v>20000</v>
      </c>
      <c r="U377" s="285">
        <f t="shared" si="185"/>
        <v>20000</v>
      </c>
      <c r="V377" s="285">
        <f t="shared" si="185"/>
        <v>20000</v>
      </c>
      <c r="W377" s="285">
        <f t="shared" si="185"/>
        <v>20000</v>
      </c>
      <c r="X377" s="285">
        <f t="shared" si="185"/>
        <v>0</v>
      </c>
      <c r="Y377" s="285">
        <f t="shared" si="185"/>
        <v>0</v>
      </c>
      <c r="Z377" s="285">
        <f t="shared" si="185"/>
        <v>0</v>
      </c>
      <c r="AA377" s="285">
        <f t="shared" si="185"/>
        <v>0</v>
      </c>
      <c r="AB377" s="285">
        <f t="shared" si="185"/>
        <v>0</v>
      </c>
      <c r="AC377" s="285">
        <f t="shared" si="185"/>
        <v>0</v>
      </c>
      <c r="AD377" s="285">
        <f t="shared" si="185"/>
        <v>0</v>
      </c>
      <c r="AE377" s="285">
        <f t="shared" si="185"/>
        <v>0</v>
      </c>
      <c r="AF377" s="285">
        <f t="shared" si="185"/>
        <v>20000</v>
      </c>
      <c r="AG377" s="285">
        <f t="shared" si="185"/>
        <v>8676</v>
      </c>
      <c r="AH377" s="285">
        <f t="shared" si="185"/>
        <v>130000</v>
      </c>
      <c r="AI377" s="285">
        <f t="shared" si="185"/>
        <v>130000</v>
      </c>
      <c r="AJ377" s="285">
        <f t="shared" si="185"/>
        <v>0</v>
      </c>
      <c r="AK377" s="285">
        <f t="shared" si="185"/>
        <v>0</v>
      </c>
      <c r="AL377" s="285">
        <f t="shared" si="185"/>
        <v>130000</v>
      </c>
      <c r="AM377" s="285">
        <f t="shared" si="185"/>
        <v>60942</v>
      </c>
      <c r="AN377" s="285">
        <f t="shared" si="185"/>
        <v>49617</v>
      </c>
      <c r="AO377" s="285">
        <f t="shared" si="185"/>
        <v>60942</v>
      </c>
      <c r="AP377" s="285">
        <f t="shared" si="185"/>
        <v>69058</v>
      </c>
      <c r="AQ377" s="285">
        <f t="shared" si="185"/>
        <v>69058</v>
      </c>
      <c r="AR377" s="285">
        <f t="shared" si="185"/>
        <v>60942</v>
      </c>
      <c r="AS377" s="285">
        <f t="shared" si="185"/>
        <v>20000</v>
      </c>
      <c r="AT377" s="313"/>
    </row>
    <row r="378" spans="1:47" s="265" customFormat="1" ht="47.25" customHeight="1">
      <c r="A378" s="279" t="s">
        <v>337</v>
      </c>
      <c r="B378" s="297" t="s">
        <v>1283</v>
      </c>
      <c r="C378" s="287"/>
      <c r="D378" s="288"/>
      <c r="E378" s="288"/>
      <c r="F378" s="282"/>
      <c r="G378" s="282"/>
      <c r="H378" s="285">
        <f t="shared" si="185"/>
        <v>150980</v>
      </c>
      <c r="I378" s="285">
        <f t="shared" si="185"/>
        <v>130000</v>
      </c>
      <c r="J378" s="285">
        <f t="shared" si="185"/>
        <v>117000</v>
      </c>
      <c r="K378" s="285">
        <f t="shared" si="185"/>
        <v>0</v>
      </c>
      <c r="L378" s="285">
        <f t="shared" si="185"/>
        <v>130000</v>
      </c>
      <c r="M378" s="285">
        <f t="shared" si="185"/>
        <v>130000</v>
      </c>
      <c r="N378" s="285">
        <f t="shared" si="185"/>
        <v>20942</v>
      </c>
      <c r="O378" s="285">
        <f t="shared" si="185"/>
        <v>20941</v>
      </c>
      <c r="P378" s="285">
        <f t="shared" si="185"/>
        <v>20942</v>
      </c>
      <c r="Q378" s="285">
        <f t="shared" si="185"/>
        <v>20941</v>
      </c>
      <c r="R378" s="285">
        <f t="shared" si="185"/>
        <v>0</v>
      </c>
      <c r="S378" s="285">
        <f t="shared" si="185"/>
        <v>0</v>
      </c>
      <c r="T378" s="285">
        <f t="shared" si="185"/>
        <v>20000</v>
      </c>
      <c r="U378" s="285">
        <f t="shared" si="185"/>
        <v>20000</v>
      </c>
      <c r="V378" s="285">
        <f t="shared" si="185"/>
        <v>20000</v>
      </c>
      <c r="W378" s="285">
        <f t="shared" si="185"/>
        <v>20000</v>
      </c>
      <c r="X378" s="285">
        <f t="shared" si="185"/>
        <v>0</v>
      </c>
      <c r="Y378" s="285">
        <f t="shared" si="185"/>
        <v>0</v>
      </c>
      <c r="Z378" s="285">
        <f t="shared" si="185"/>
        <v>0</v>
      </c>
      <c r="AA378" s="285">
        <f t="shared" si="185"/>
        <v>0</v>
      </c>
      <c r="AB378" s="285">
        <f t="shared" si="185"/>
        <v>0</v>
      </c>
      <c r="AC378" s="285">
        <f t="shared" si="185"/>
        <v>0</v>
      </c>
      <c r="AD378" s="285">
        <f t="shared" si="185"/>
        <v>0</v>
      </c>
      <c r="AE378" s="285">
        <f t="shared" si="185"/>
        <v>0</v>
      </c>
      <c r="AF378" s="285">
        <f t="shared" si="185"/>
        <v>20000</v>
      </c>
      <c r="AG378" s="285">
        <f t="shared" si="185"/>
        <v>8676</v>
      </c>
      <c r="AH378" s="285">
        <f t="shared" si="185"/>
        <v>130000</v>
      </c>
      <c r="AI378" s="285">
        <f t="shared" si="185"/>
        <v>130000</v>
      </c>
      <c r="AJ378" s="285">
        <f t="shared" si="185"/>
        <v>0</v>
      </c>
      <c r="AK378" s="285">
        <f t="shared" si="185"/>
        <v>0</v>
      </c>
      <c r="AL378" s="285">
        <f t="shared" si="185"/>
        <v>130000</v>
      </c>
      <c r="AM378" s="285">
        <f t="shared" si="185"/>
        <v>60942</v>
      </c>
      <c r="AN378" s="285">
        <f t="shared" si="185"/>
        <v>49617</v>
      </c>
      <c r="AO378" s="285">
        <f t="shared" si="185"/>
        <v>60942</v>
      </c>
      <c r="AP378" s="285">
        <f t="shared" si="185"/>
        <v>69058</v>
      </c>
      <c r="AQ378" s="285">
        <f t="shared" si="185"/>
        <v>69058</v>
      </c>
      <c r="AR378" s="285">
        <f t="shared" si="185"/>
        <v>60942</v>
      </c>
      <c r="AS378" s="285">
        <f t="shared" si="185"/>
        <v>20000</v>
      </c>
      <c r="AT378" s="313"/>
    </row>
    <row r="379" spans="1:47" s="265" customFormat="1" ht="47.25" customHeight="1">
      <c r="A379" s="298">
        <v>1</v>
      </c>
      <c r="B379" s="314" t="s">
        <v>1309</v>
      </c>
      <c r="C379" s="300" t="s">
        <v>744</v>
      </c>
      <c r="D379" s="300" t="s">
        <v>744</v>
      </c>
      <c r="E379" s="300" t="s">
        <v>1310</v>
      </c>
      <c r="F379" s="312" t="s">
        <v>871</v>
      </c>
      <c r="G379" s="300" t="s">
        <v>1311</v>
      </c>
      <c r="H379" s="295">
        <v>150980</v>
      </c>
      <c r="I379" s="295">
        <v>130000</v>
      </c>
      <c r="J379" s="295">
        <f t="shared" si="174"/>
        <v>117000</v>
      </c>
      <c r="K379" s="295"/>
      <c r="L379" s="295">
        <v>130000</v>
      </c>
      <c r="M379" s="295">
        <v>130000</v>
      </c>
      <c r="N379" s="295">
        <f t="shared" si="182"/>
        <v>20942</v>
      </c>
      <c r="O379" s="295">
        <f>Q379+S379</f>
        <v>20941</v>
      </c>
      <c r="P379" s="295">
        <v>20942</v>
      </c>
      <c r="Q379" s="295">
        <v>20941</v>
      </c>
      <c r="R379" s="295"/>
      <c r="S379" s="295"/>
      <c r="T379" s="295">
        <f>V379+X379+Z379+AB379+AD379</f>
        <v>20000</v>
      </c>
      <c r="U379" s="295">
        <f t="shared" si="157"/>
        <v>20000</v>
      </c>
      <c r="V379" s="295">
        <v>20000</v>
      </c>
      <c r="W379" s="295">
        <v>20000</v>
      </c>
      <c r="X379" s="295"/>
      <c r="Y379" s="295"/>
      <c r="Z379" s="295"/>
      <c r="AA379" s="295"/>
      <c r="AB379" s="295"/>
      <c r="AC379" s="295"/>
      <c r="AD379" s="295"/>
      <c r="AE379" s="295"/>
      <c r="AF379" s="295">
        <v>20000</v>
      </c>
      <c r="AG379" s="295">
        <v>8676</v>
      </c>
      <c r="AH379" s="295">
        <f t="shared" si="175"/>
        <v>130000</v>
      </c>
      <c r="AI379" s="295">
        <v>130000</v>
      </c>
      <c r="AJ379" s="295">
        <f>R379+X379+Z379+AB379+AD379</f>
        <v>0</v>
      </c>
      <c r="AK379" s="295"/>
      <c r="AL379" s="285">
        <f t="shared" si="183"/>
        <v>130000</v>
      </c>
      <c r="AM379" s="295">
        <f t="shared" si="166"/>
        <v>60942</v>
      </c>
      <c r="AN379" s="295">
        <f t="shared" si="166"/>
        <v>49617</v>
      </c>
      <c r="AO379" s="295">
        <f t="shared" si="184"/>
        <v>60942</v>
      </c>
      <c r="AP379" s="295">
        <f t="shared" si="167"/>
        <v>69058</v>
      </c>
      <c r="AQ379" s="285">
        <f t="shared" ref="AQ379:AQ387" si="186">AP379-AK379</f>
        <v>69058</v>
      </c>
      <c r="AR379" s="295">
        <v>60942</v>
      </c>
      <c r="AS379" s="295">
        <v>20000</v>
      </c>
      <c r="AT379" s="313"/>
    </row>
    <row r="380" spans="1:47" ht="47.25" hidden="1" customHeight="1">
      <c r="A380" s="414"/>
      <c r="B380" s="416"/>
      <c r="C380" s="310"/>
      <c r="D380" s="305"/>
      <c r="E380" s="305"/>
      <c r="F380" s="300"/>
      <c r="G380" s="300"/>
      <c r="H380" s="295"/>
      <c r="I380" s="295"/>
      <c r="J380" s="295">
        <f t="shared" si="174"/>
        <v>0</v>
      </c>
      <c r="K380" s="295"/>
      <c r="L380" s="295"/>
      <c r="M380" s="295"/>
      <c r="N380" s="295">
        <f t="shared" si="182"/>
        <v>0</v>
      </c>
      <c r="O380" s="295"/>
      <c r="P380" s="295"/>
      <c r="Q380" s="295"/>
      <c r="R380" s="295"/>
      <c r="S380" s="295"/>
      <c r="T380" s="295">
        <f>V380+X380+Z380+AB380+AD380</f>
        <v>0</v>
      </c>
      <c r="U380" s="295">
        <f t="shared" si="157"/>
        <v>0</v>
      </c>
      <c r="V380" s="295"/>
      <c r="W380" s="295"/>
      <c r="X380" s="295"/>
      <c r="Y380" s="295"/>
      <c r="Z380" s="295"/>
      <c r="AA380" s="295"/>
      <c r="AB380" s="295"/>
      <c r="AC380" s="295"/>
      <c r="AD380" s="295"/>
      <c r="AE380" s="295"/>
      <c r="AF380" s="295"/>
      <c r="AG380" s="295"/>
      <c r="AH380" s="295">
        <f t="shared" si="175"/>
        <v>0</v>
      </c>
      <c r="AI380" s="295"/>
      <c r="AJ380" s="295">
        <f>R380+X380+Z380+AB380+AD380</f>
        <v>0</v>
      </c>
      <c r="AK380" s="295"/>
      <c r="AL380" s="285">
        <f t="shared" si="183"/>
        <v>0</v>
      </c>
      <c r="AM380" s="295">
        <f t="shared" ref="AM380:AN387" si="187">N380+T380+AF380</f>
        <v>0</v>
      </c>
      <c r="AN380" s="295">
        <f t="shared" si="187"/>
        <v>0</v>
      </c>
      <c r="AO380" s="285">
        <f t="shared" si="184"/>
        <v>0</v>
      </c>
      <c r="AP380" s="295">
        <f t="shared" si="167"/>
        <v>0</v>
      </c>
      <c r="AQ380" s="285">
        <f t="shared" si="186"/>
        <v>0</v>
      </c>
      <c r="AR380" s="295">
        <v>0</v>
      </c>
      <c r="AS380" s="295"/>
      <c r="AT380" s="313"/>
    </row>
    <row r="381" spans="1:47" s="265" customFormat="1" ht="47.25" customHeight="1">
      <c r="A381" s="296" t="s">
        <v>1312</v>
      </c>
      <c r="B381" s="397" t="s">
        <v>1313</v>
      </c>
      <c r="C381" s="398"/>
      <c r="D381" s="399"/>
      <c r="E381" s="399"/>
      <c r="F381" s="399"/>
      <c r="G381" s="399"/>
      <c r="H381" s="285">
        <f t="shared" ref="H381:AS381" si="188">SUM(H382:H383)</f>
        <v>1188855</v>
      </c>
      <c r="I381" s="285">
        <f t="shared" si="188"/>
        <v>0</v>
      </c>
      <c r="J381" s="285">
        <f t="shared" si="188"/>
        <v>0</v>
      </c>
      <c r="K381" s="285">
        <f t="shared" si="188"/>
        <v>0</v>
      </c>
      <c r="L381" s="285">
        <f t="shared" si="188"/>
        <v>0</v>
      </c>
      <c r="M381" s="285">
        <f t="shared" si="188"/>
        <v>0</v>
      </c>
      <c r="N381" s="285">
        <f t="shared" si="188"/>
        <v>170312</v>
      </c>
      <c r="O381" s="285">
        <f t="shared" si="188"/>
        <v>0</v>
      </c>
      <c r="P381" s="285">
        <f t="shared" si="188"/>
        <v>170312</v>
      </c>
      <c r="Q381" s="285">
        <f t="shared" si="188"/>
        <v>0</v>
      </c>
      <c r="R381" s="285">
        <f t="shared" si="188"/>
        <v>0</v>
      </c>
      <c r="S381" s="285">
        <f t="shared" si="188"/>
        <v>0</v>
      </c>
      <c r="T381" s="285">
        <f t="shared" si="188"/>
        <v>144469</v>
      </c>
      <c r="U381" s="285">
        <f t="shared" si="188"/>
        <v>144469</v>
      </c>
      <c r="V381" s="285">
        <f t="shared" si="188"/>
        <v>144469</v>
      </c>
      <c r="W381" s="285">
        <f t="shared" si="188"/>
        <v>144469</v>
      </c>
      <c r="X381" s="285">
        <f t="shared" si="188"/>
        <v>0</v>
      </c>
      <c r="Y381" s="285">
        <f t="shared" si="188"/>
        <v>0</v>
      </c>
      <c r="Z381" s="285">
        <f t="shared" si="188"/>
        <v>0</v>
      </c>
      <c r="AA381" s="285">
        <f t="shared" si="188"/>
        <v>0</v>
      </c>
      <c r="AB381" s="285">
        <f t="shared" si="188"/>
        <v>0</v>
      </c>
      <c r="AC381" s="285">
        <f t="shared" si="188"/>
        <v>0</v>
      </c>
      <c r="AD381" s="285">
        <f t="shared" si="188"/>
        <v>0</v>
      </c>
      <c r="AE381" s="285">
        <f t="shared" si="188"/>
        <v>0</v>
      </c>
      <c r="AF381" s="285">
        <f t="shared" si="188"/>
        <v>95651</v>
      </c>
      <c r="AG381" s="285">
        <f t="shared" si="188"/>
        <v>92388</v>
      </c>
      <c r="AH381" s="285">
        <f t="shared" si="188"/>
        <v>381012</v>
      </c>
      <c r="AI381" s="285">
        <f t="shared" si="188"/>
        <v>381012</v>
      </c>
      <c r="AJ381" s="285">
        <f t="shared" si="188"/>
        <v>0</v>
      </c>
      <c r="AK381" s="285">
        <f t="shared" si="188"/>
        <v>0</v>
      </c>
      <c r="AL381" s="285">
        <f t="shared" si="188"/>
        <v>381012</v>
      </c>
      <c r="AM381" s="285">
        <f t="shared" si="188"/>
        <v>410432</v>
      </c>
      <c r="AN381" s="285">
        <f t="shared" si="188"/>
        <v>236857</v>
      </c>
      <c r="AO381" s="285">
        <f t="shared" si="188"/>
        <v>410432</v>
      </c>
      <c r="AP381" s="285">
        <f t="shared" si="188"/>
        <v>6737</v>
      </c>
      <c r="AQ381" s="285">
        <f t="shared" si="188"/>
        <v>6737</v>
      </c>
      <c r="AR381" s="285">
        <f t="shared" si="188"/>
        <v>410432</v>
      </c>
      <c r="AS381" s="285">
        <f t="shared" si="188"/>
        <v>44186</v>
      </c>
      <c r="AT381" s="310"/>
    </row>
    <row r="382" spans="1:47" ht="47.25" customHeight="1">
      <c r="A382" s="321">
        <v>1</v>
      </c>
      <c r="B382" s="317" t="s">
        <v>1314</v>
      </c>
      <c r="C382" s="304" t="s">
        <v>675</v>
      </c>
      <c r="D382" s="304" t="s">
        <v>675</v>
      </c>
      <c r="E382" s="404"/>
      <c r="F382" s="404" t="s">
        <v>1315</v>
      </c>
      <c r="G382" s="303" t="s">
        <v>1316</v>
      </c>
      <c r="H382" s="295">
        <v>1152539</v>
      </c>
      <c r="I382" s="295"/>
      <c r="J382" s="295"/>
      <c r="K382" s="295"/>
      <c r="L382" s="295"/>
      <c r="M382" s="295"/>
      <c r="N382" s="295">
        <f t="shared" si="182"/>
        <v>170312</v>
      </c>
      <c r="O382" s="295"/>
      <c r="P382" s="295">
        <v>170312</v>
      </c>
      <c r="Q382" s="295"/>
      <c r="R382" s="295"/>
      <c r="S382" s="295"/>
      <c r="T382" s="295">
        <f>V382+X382+Z382+AB382+AD382</f>
        <v>144469</v>
      </c>
      <c r="U382" s="295">
        <f t="shared" ref="U382:U387" si="189">W382+Y382+AA382+AC382+AE382</f>
        <v>144469</v>
      </c>
      <c r="V382" s="295">
        <v>144469</v>
      </c>
      <c r="W382" s="295">
        <v>144469</v>
      </c>
      <c r="X382" s="295"/>
      <c r="Y382" s="295"/>
      <c r="Z382" s="295"/>
      <c r="AA382" s="295"/>
      <c r="AB382" s="295"/>
      <c r="AC382" s="295"/>
      <c r="AD382" s="295"/>
      <c r="AE382" s="295"/>
      <c r="AF382" s="295">
        <v>92388</v>
      </c>
      <c r="AG382" s="295">
        <v>92388</v>
      </c>
      <c r="AH382" s="295">
        <f>AI382</f>
        <v>371012</v>
      </c>
      <c r="AI382" s="295">
        <v>371012</v>
      </c>
      <c r="AJ382" s="295"/>
      <c r="AK382" s="295"/>
      <c r="AL382" s="285">
        <f t="shared" si="183"/>
        <v>371012</v>
      </c>
      <c r="AM382" s="295">
        <f t="shared" si="187"/>
        <v>407169</v>
      </c>
      <c r="AN382" s="295">
        <f t="shared" si="187"/>
        <v>236857</v>
      </c>
      <c r="AO382" s="295">
        <f t="shared" si="184"/>
        <v>407169</v>
      </c>
      <c r="AP382" s="295"/>
      <c r="AQ382" s="285">
        <f t="shared" si="186"/>
        <v>0</v>
      </c>
      <c r="AR382" s="295">
        <v>407169</v>
      </c>
      <c r="AS382" s="417">
        <v>37449</v>
      </c>
      <c r="AT382" s="313"/>
      <c r="AU382" s="249">
        <v>44186</v>
      </c>
    </row>
    <row r="383" spans="1:47" ht="47.25" customHeight="1">
      <c r="A383" s="321">
        <v>2</v>
      </c>
      <c r="B383" s="418" t="s">
        <v>1317</v>
      </c>
      <c r="C383" s="304" t="s">
        <v>771</v>
      </c>
      <c r="D383" s="404" t="s">
        <v>752</v>
      </c>
      <c r="E383" s="404"/>
      <c r="F383" s="404" t="s">
        <v>904</v>
      </c>
      <c r="G383" s="404"/>
      <c r="H383" s="295">
        <v>36316</v>
      </c>
      <c r="I383" s="295"/>
      <c r="J383" s="295"/>
      <c r="K383" s="295"/>
      <c r="L383" s="295"/>
      <c r="M383" s="295"/>
      <c r="N383" s="419"/>
      <c r="O383" s="295"/>
      <c r="P383" s="295"/>
      <c r="Q383" s="295"/>
      <c r="R383" s="295"/>
      <c r="S383" s="295"/>
      <c r="T383" s="295">
        <f>V383+X383+Z383+AB383+AD383</f>
        <v>0</v>
      </c>
      <c r="U383" s="295">
        <f t="shared" si="189"/>
        <v>0</v>
      </c>
      <c r="V383" s="295"/>
      <c r="W383" s="295"/>
      <c r="X383" s="295"/>
      <c r="Y383" s="295"/>
      <c r="Z383" s="295"/>
      <c r="AA383" s="295"/>
      <c r="AB383" s="295"/>
      <c r="AC383" s="295"/>
      <c r="AD383" s="295"/>
      <c r="AE383" s="295"/>
      <c r="AF383" s="295">
        <v>3263</v>
      </c>
      <c r="AG383" s="295"/>
      <c r="AH383" s="295">
        <f>AI383</f>
        <v>10000</v>
      </c>
      <c r="AI383" s="295">
        <v>10000</v>
      </c>
      <c r="AJ383" s="295"/>
      <c r="AK383" s="295"/>
      <c r="AL383" s="285">
        <f t="shared" si="183"/>
        <v>10000</v>
      </c>
      <c r="AM383" s="295">
        <f t="shared" si="187"/>
        <v>3263</v>
      </c>
      <c r="AN383" s="295">
        <f t="shared" si="187"/>
        <v>0</v>
      </c>
      <c r="AO383" s="295">
        <f t="shared" si="184"/>
        <v>3263</v>
      </c>
      <c r="AP383" s="295">
        <f t="shared" si="167"/>
        <v>6737</v>
      </c>
      <c r="AQ383" s="285">
        <f t="shared" si="186"/>
        <v>6737</v>
      </c>
      <c r="AR383" s="295">
        <v>3263</v>
      </c>
      <c r="AS383" s="295">
        <v>6737</v>
      </c>
      <c r="AT383" s="313"/>
    </row>
    <row r="384" spans="1:47" s="265" customFormat="1" ht="47.25" hidden="1" customHeight="1">
      <c r="A384" s="290"/>
      <c r="B384" s="297"/>
      <c r="C384" s="292"/>
      <c r="D384" s="279"/>
      <c r="E384" s="293"/>
      <c r="F384" s="279"/>
      <c r="G384" s="294"/>
      <c r="H384" s="285"/>
      <c r="I384" s="285"/>
      <c r="J384" s="295"/>
      <c r="K384" s="285"/>
      <c r="L384" s="285"/>
      <c r="M384" s="285"/>
      <c r="N384" s="295"/>
      <c r="O384" s="295"/>
      <c r="P384" s="285"/>
      <c r="Q384" s="285"/>
      <c r="R384" s="285"/>
      <c r="S384" s="285"/>
      <c r="T384" s="295"/>
      <c r="U384" s="295">
        <f t="shared" si="189"/>
        <v>0</v>
      </c>
      <c r="V384" s="285"/>
      <c r="W384" s="285"/>
      <c r="X384" s="285"/>
      <c r="Y384" s="285"/>
      <c r="Z384" s="285"/>
      <c r="AA384" s="285"/>
      <c r="AB384" s="285"/>
      <c r="AC384" s="285"/>
      <c r="AD384" s="285"/>
      <c r="AE384" s="285"/>
      <c r="AF384" s="285"/>
      <c r="AG384" s="285"/>
      <c r="AH384" s="295"/>
      <c r="AI384" s="285"/>
      <c r="AJ384" s="295"/>
      <c r="AK384" s="295"/>
      <c r="AL384" s="285">
        <f t="shared" si="183"/>
        <v>0</v>
      </c>
      <c r="AM384" s="295">
        <f t="shared" si="187"/>
        <v>0</v>
      </c>
      <c r="AN384" s="295">
        <f t="shared" si="187"/>
        <v>0</v>
      </c>
      <c r="AO384" s="285">
        <f t="shared" si="184"/>
        <v>0</v>
      </c>
      <c r="AP384" s="295">
        <f t="shared" si="167"/>
        <v>0</v>
      </c>
      <c r="AQ384" s="285">
        <f t="shared" si="186"/>
        <v>0</v>
      </c>
      <c r="AR384" s="295"/>
      <c r="AS384" s="295"/>
      <c r="AT384" s="313"/>
    </row>
    <row r="385" spans="1:46" s="265" customFormat="1" ht="47.25" customHeight="1">
      <c r="A385" s="290" t="s">
        <v>1318</v>
      </c>
      <c r="B385" s="420" t="s">
        <v>1319</v>
      </c>
      <c r="C385" s="292"/>
      <c r="D385" s="279"/>
      <c r="E385" s="293"/>
      <c r="F385" s="279"/>
      <c r="G385" s="294"/>
      <c r="H385" s="285">
        <f t="shared" ref="H385:AR385" si="190">SUM(H387:H388)</f>
        <v>2404230</v>
      </c>
      <c r="I385" s="285">
        <f t="shared" si="190"/>
        <v>350000</v>
      </c>
      <c r="J385" s="285">
        <f t="shared" si="190"/>
        <v>315000</v>
      </c>
      <c r="K385" s="285">
        <f t="shared" si="190"/>
        <v>0</v>
      </c>
      <c r="L385" s="285">
        <f t="shared" si="190"/>
        <v>0</v>
      </c>
      <c r="M385" s="285">
        <f t="shared" si="190"/>
        <v>0</v>
      </c>
      <c r="N385" s="285">
        <f t="shared" si="190"/>
        <v>0</v>
      </c>
      <c r="O385" s="285">
        <f t="shared" si="190"/>
        <v>0</v>
      </c>
      <c r="P385" s="285">
        <f t="shared" si="190"/>
        <v>0</v>
      </c>
      <c r="Q385" s="285">
        <f t="shared" si="190"/>
        <v>0</v>
      </c>
      <c r="R385" s="285">
        <f t="shared" si="190"/>
        <v>0</v>
      </c>
      <c r="S385" s="285">
        <f t="shared" si="190"/>
        <v>0</v>
      </c>
      <c r="T385" s="285">
        <f t="shared" si="190"/>
        <v>0</v>
      </c>
      <c r="U385" s="285">
        <f t="shared" si="190"/>
        <v>0</v>
      </c>
      <c r="V385" s="285">
        <f t="shared" si="190"/>
        <v>0</v>
      </c>
      <c r="W385" s="285">
        <f t="shared" si="190"/>
        <v>0</v>
      </c>
      <c r="X385" s="285">
        <f t="shared" si="190"/>
        <v>0</v>
      </c>
      <c r="Y385" s="285">
        <f t="shared" si="190"/>
        <v>0</v>
      </c>
      <c r="Z385" s="285">
        <f t="shared" si="190"/>
        <v>0</v>
      </c>
      <c r="AA385" s="285">
        <f t="shared" si="190"/>
        <v>0</v>
      </c>
      <c r="AB385" s="285">
        <f t="shared" si="190"/>
        <v>0</v>
      </c>
      <c r="AC385" s="285">
        <f t="shared" si="190"/>
        <v>0</v>
      </c>
      <c r="AD385" s="285">
        <f t="shared" si="190"/>
        <v>0</v>
      </c>
      <c r="AE385" s="285">
        <f t="shared" si="190"/>
        <v>0</v>
      </c>
      <c r="AF385" s="285">
        <f t="shared" si="190"/>
        <v>500000</v>
      </c>
      <c r="AG385" s="285">
        <f t="shared" si="190"/>
        <v>5</v>
      </c>
      <c r="AH385" s="285">
        <f t="shared" si="190"/>
        <v>1575000</v>
      </c>
      <c r="AI385" s="285">
        <f t="shared" si="190"/>
        <v>1575000</v>
      </c>
      <c r="AJ385" s="285">
        <f t="shared" si="190"/>
        <v>0</v>
      </c>
      <c r="AK385" s="285">
        <f t="shared" si="190"/>
        <v>0</v>
      </c>
      <c r="AL385" s="285">
        <f t="shared" si="190"/>
        <v>1575000</v>
      </c>
      <c r="AM385" s="285">
        <f t="shared" si="190"/>
        <v>500000</v>
      </c>
      <c r="AN385" s="285">
        <f t="shared" si="190"/>
        <v>5</v>
      </c>
      <c r="AO385" s="285">
        <f t="shared" si="190"/>
        <v>500000</v>
      </c>
      <c r="AP385" s="285">
        <f t="shared" si="190"/>
        <v>1075000</v>
      </c>
      <c r="AQ385" s="285">
        <f t="shared" si="190"/>
        <v>1075000</v>
      </c>
      <c r="AR385" s="285">
        <f t="shared" si="190"/>
        <v>520000</v>
      </c>
      <c r="AS385" s="285">
        <f>SUM(AS387:AS388)</f>
        <v>600000</v>
      </c>
      <c r="AT385" s="313"/>
    </row>
    <row r="386" spans="1:46" s="265" customFormat="1" ht="15.75">
      <c r="A386" s="290" t="s">
        <v>16</v>
      </c>
      <c r="B386" s="420" t="s">
        <v>1067</v>
      </c>
      <c r="C386" s="292"/>
      <c r="D386" s="279"/>
      <c r="E386" s="293"/>
      <c r="F386" s="279"/>
      <c r="G386" s="294"/>
      <c r="H386" s="285">
        <f>H387</f>
        <v>2350000</v>
      </c>
      <c r="I386" s="285">
        <f t="shared" ref="I386:AS386" si="191">I387</f>
        <v>350000</v>
      </c>
      <c r="J386" s="285">
        <f t="shared" si="191"/>
        <v>315000</v>
      </c>
      <c r="K386" s="285">
        <f t="shared" si="191"/>
        <v>0</v>
      </c>
      <c r="L386" s="285">
        <f t="shared" si="191"/>
        <v>0</v>
      </c>
      <c r="M386" s="285">
        <f t="shared" si="191"/>
        <v>0</v>
      </c>
      <c r="N386" s="285">
        <f t="shared" si="191"/>
        <v>0</v>
      </c>
      <c r="O386" s="285">
        <f t="shared" si="191"/>
        <v>0</v>
      </c>
      <c r="P386" s="285">
        <f t="shared" si="191"/>
        <v>0</v>
      </c>
      <c r="Q386" s="285">
        <f t="shared" si="191"/>
        <v>0</v>
      </c>
      <c r="R386" s="285">
        <f t="shared" si="191"/>
        <v>0</v>
      </c>
      <c r="S386" s="285">
        <f t="shared" si="191"/>
        <v>0</v>
      </c>
      <c r="T386" s="285">
        <f t="shared" si="191"/>
        <v>0</v>
      </c>
      <c r="U386" s="285">
        <f t="shared" si="191"/>
        <v>0</v>
      </c>
      <c r="V386" s="285">
        <f t="shared" si="191"/>
        <v>0</v>
      </c>
      <c r="W386" s="285">
        <f t="shared" si="191"/>
        <v>0</v>
      </c>
      <c r="X386" s="285">
        <f t="shared" si="191"/>
        <v>0</v>
      </c>
      <c r="Y386" s="285">
        <f t="shared" si="191"/>
        <v>0</v>
      </c>
      <c r="Z386" s="285">
        <f t="shared" si="191"/>
        <v>0</v>
      </c>
      <c r="AA386" s="285">
        <f t="shared" si="191"/>
        <v>0</v>
      </c>
      <c r="AB386" s="285">
        <f t="shared" si="191"/>
        <v>0</v>
      </c>
      <c r="AC386" s="285">
        <f t="shared" si="191"/>
        <v>0</v>
      </c>
      <c r="AD386" s="285">
        <f t="shared" si="191"/>
        <v>0</v>
      </c>
      <c r="AE386" s="285">
        <f t="shared" si="191"/>
        <v>0</v>
      </c>
      <c r="AF386" s="285">
        <f t="shared" si="191"/>
        <v>500000</v>
      </c>
      <c r="AG386" s="285">
        <f t="shared" si="191"/>
        <v>5</v>
      </c>
      <c r="AH386" s="285">
        <f t="shared" si="191"/>
        <v>1575000</v>
      </c>
      <c r="AI386" s="285">
        <f t="shared" si="191"/>
        <v>1575000</v>
      </c>
      <c r="AJ386" s="285">
        <f t="shared" si="191"/>
        <v>0</v>
      </c>
      <c r="AK386" s="285">
        <f t="shared" si="191"/>
        <v>0</v>
      </c>
      <c r="AL386" s="285">
        <f t="shared" si="191"/>
        <v>1575000</v>
      </c>
      <c r="AM386" s="285">
        <f t="shared" si="191"/>
        <v>500000</v>
      </c>
      <c r="AN386" s="285">
        <f t="shared" si="191"/>
        <v>5</v>
      </c>
      <c r="AO386" s="285">
        <f t="shared" si="191"/>
        <v>500000</v>
      </c>
      <c r="AP386" s="285">
        <f t="shared" si="191"/>
        <v>1075000</v>
      </c>
      <c r="AQ386" s="285">
        <f t="shared" si="191"/>
        <v>1075000</v>
      </c>
      <c r="AR386" s="285">
        <f t="shared" si="191"/>
        <v>500000</v>
      </c>
      <c r="AS386" s="285">
        <f t="shared" si="191"/>
        <v>588500</v>
      </c>
      <c r="AT386" s="313"/>
    </row>
    <row r="387" spans="1:46" ht="47.25" customHeight="1">
      <c r="A387" s="370">
        <v>1</v>
      </c>
      <c r="B387" s="374" t="s">
        <v>1320</v>
      </c>
      <c r="C387" s="300" t="s">
        <v>797</v>
      </c>
      <c r="D387" s="298" t="s">
        <v>675</v>
      </c>
      <c r="E387" s="383"/>
      <c r="F387" s="298" t="s">
        <v>904</v>
      </c>
      <c r="G387" s="300" t="s">
        <v>1091</v>
      </c>
      <c r="H387" s="295">
        <v>2350000</v>
      </c>
      <c r="I387" s="295">
        <v>350000</v>
      </c>
      <c r="J387" s="295">
        <f>I387*0.9</f>
        <v>315000</v>
      </c>
      <c r="K387" s="295"/>
      <c r="L387" s="295"/>
      <c r="M387" s="295"/>
      <c r="N387" s="295"/>
      <c r="O387" s="295"/>
      <c r="P387" s="295"/>
      <c r="Q387" s="295"/>
      <c r="R387" s="295"/>
      <c r="S387" s="295"/>
      <c r="T387" s="295"/>
      <c r="U387" s="295">
        <f t="shared" si="189"/>
        <v>0</v>
      </c>
      <c r="V387" s="295"/>
      <c r="W387" s="295"/>
      <c r="X387" s="295"/>
      <c r="Y387" s="295"/>
      <c r="Z387" s="295"/>
      <c r="AA387" s="295"/>
      <c r="AB387" s="295"/>
      <c r="AC387" s="295"/>
      <c r="AD387" s="295"/>
      <c r="AE387" s="295"/>
      <c r="AF387" s="295">
        <v>500000</v>
      </c>
      <c r="AG387" s="295">
        <v>5</v>
      </c>
      <c r="AH387" s="295">
        <f>AI387</f>
        <v>1575000</v>
      </c>
      <c r="AI387" s="295">
        <v>1575000</v>
      </c>
      <c r="AJ387" s="295"/>
      <c r="AK387" s="295"/>
      <c r="AL387" s="285">
        <f t="shared" si="183"/>
        <v>1575000</v>
      </c>
      <c r="AM387" s="295">
        <f t="shared" si="187"/>
        <v>500000</v>
      </c>
      <c r="AN387" s="295">
        <f t="shared" si="187"/>
        <v>5</v>
      </c>
      <c r="AO387" s="295">
        <f t="shared" si="184"/>
        <v>500000</v>
      </c>
      <c r="AP387" s="295">
        <f t="shared" si="167"/>
        <v>1075000</v>
      </c>
      <c r="AQ387" s="285">
        <f t="shared" si="186"/>
        <v>1075000</v>
      </c>
      <c r="AR387" s="295">
        <v>500000</v>
      </c>
      <c r="AS387" s="295">
        <v>588500</v>
      </c>
      <c r="AT387" s="313"/>
    </row>
    <row r="388" spans="1:46" s="265" customFormat="1" ht="47.25" customHeight="1">
      <c r="A388" s="296" t="s">
        <v>26</v>
      </c>
      <c r="B388" s="397" t="s">
        <v>1321</v>
      </c>
      <c r="C388" s="398"/>
      <c r="D388" s="398"/>
      <c r="E388" s="399"/>
      <c r="F388" s="399"/>
      <c r="G388" s="399" t="s">
        <v>1322</v>
      </c>
      <c r="H388" s="421">
        <f t="shared" ref="H388:AR388" si="192">SUM(H389:H391)</f>
        <v>54230</v>
      </c>
      <c r="I388" s="421">
        <f t="shared" si="192"/>
        <v>0</v>
      </c>
      <c r="J388" s="421">
        <f t="shared" si="192"/>
        <v>0</v>
      </c>
      <c r="K388" s="421">
        <f t="shared" si="192"/>
        <v>0</v>
      </c>
      <c r="L388" s="421">
        <f t="shared" si="192"/>
        <v>0</v>
      </c>
      <c r="M388" s="421">
        <f t="shared" si="192"/>
        <v>0</v>
      </c>
      <c r="N388" s="421">
        <f t="shared" si="192"/>
        <v>0</v>
      </c>
      <c r="O388" s="421">
        <f t="shared" si="192"/>
        <v>0</v>
      </c>
      <c r="P388" s="421">
        <f t="shared" si="192"/>
        <v>0</v>
      </c>
      <c r="Q388" s="421">
        <f t="shared" si="192"/>
        <v>0</v>
      </c>
      <c r="R388" s="421">
        <f t="shared" si="192"/>
        <v>0</v>
      </c>
      <c r="S388" s="421">
        <f t="shared" si="192"/>
        <v>0</v>
      </c>
      <c r="T388" s="421">
        <f t="shared" si="192"/>
        <v>0</v>
      </c>
      <c r="U388" s="421">
        <f t="shared" si="192"/>
        <v>0</v>
      </c>
      <c r="V388" s="421">
        <f t="shared" si="192"/>
        <v>0</v>
      </c>
      <c r="W388" s="421">
        <f t="shared" si="192"/>
        <v>0</v>
      </c>
      <c r="X388" s="421">
        <f t="shared" si="192"/>
        <v>0</v>
      </c>
      <c r="Y388" s="421">
        <f t="shared" si="192"/>
        <v>0</v>
      </c>
      <c r="Z388" s="421">
        <f t="shared" si="192"/>
        <v>0</v>
      </c>
      <c r="AA388" s="421">
        <f t="shared" si="192"/>
        <v>0</v>
      </c>
      <c r="AB388" s="421">
        <f t="shared" si="192"/>
        <v>0</v>
      </c>
      <c r="AC388" s="421">
        <f t="shared" si="192"/>
        <v>0</v>
      </c>
      <c r="AD388" s="421">
        <f t="shared" si="192"/>
        <v>0</v>
      </c>
      <c r="AE388" s="421">
        <f t="shared" si="192"/>
        <v>0</v>
      </c>
      <c r="AF388" s="421">
        <f t="shared" si="192"/>
        <v>0</v>
      </c>
      <c r="AG388" s="421">
        <f t="shared" si="192"/>
        <v>0</v>
      </c>
      <c r="AH388" s="421">
        <f t="shared" si="192"/>
        <v>0</v>
      </c>
      <c r="AI388" s="421">
        <f t="shared" si="192"/>
        <v>0</v>
      </c>
      <c r="AJ388" s="421">
        <f t="shared" si="192"/>
        <v>0</v>
      </c>
      <c r="AK388" s="421">
        <f t="shared" si="192"/>
        <v>0</v>
      </c>
      <c r="AL388" s="421">
        <f t="shared" si="192"/>
        <v>0</v>
      </c>
      <c r="AM388" s="421">
        <f t="shared" si="192"/>
        <v>0</v>
      </c>
      <c r="AN388" s="421">
        <f t="shared" si="192"/>
        <v>0</v>
      </c>
      <c r="AO388" s="421">
        <f t="shared" si="192"/>
        <v>0</v>
      </c>
      <c r="AP388" s="421">
        <f t="shared" si="192"/>
        <v>0</v>
      </c>
      <c r="AQ388" s="421">
        <f t="shared" si="192"/>
        <v>0</v>
      </c>
      <c r="AR388" s="421">
        <f t="shared" si="192"/>
        <v>20000</v>
      </c>
      <c r="AS388" s="421">
        <f>SUM(AS389:AS391)</f>
        <v>11500</v>
      </c>
      <c r="AT388" s="349"/>
    </row>
    <row r="389" spans="1:46" ht="47.25" customHeight="1">
      <c r="A389" s="304">
        <v>1</v>
      </c>
      <c r="B389" s="422" t="s">
        <v>1323</v>
      </c>
      <c r="C389" s="403" t="s">
        <v>726</v>
      </c>
      <c r="D389" s="403" t="s">
        <v>726</v>
      </c>
      <c r="E389" s="404"/>
      <c r="F389" s="404" t="s">
        <v>676</v>
      </c>
      <c r="G389" s="404"/>
      <c r="H389" s="423">
        <v>16436</v>
      </c>
      <c r="I389" s="423"/>
      <c r="J389" s="423"/>
      <c r="K389" s="423"/>
      <c r="L389" s="424"/>
      <c r="M389" s="424"/>
      <c r="N389" s="424"/>
      <c r="O389" s="424"/>
      <c r="P389" s="424"/>
      <c r="Q389" s="424"/>
      <c r="R389" s="424"/>
      <c r="S389" s="424"/>
      <c r="T389" s="424"/>
      <c r="U389" s="295"/>
      <c r="V389" s="424"/>
      <c r="W389" s="424"/>
      <c r="X389" s="424"/>
      <c r="Y389" s="424"/>
      <c r="Z389" s="424"/>
      <c r="AA389" s="424"/>
      <c r="AB389" s="424"/>
      <c r="AC389" s="424"/>
      <c r="AD389" s="424"/>
      <c r="AE389" s="424"/>
      <c r="AF389" s="424"/>
      <c r="AG389" s="424"/>
      <c r="AH389" s="295"/>
      <c r="AI389" s="424"/>
      <c r="AJ389" s="424"/>
      <c r="AK389" s="424"/>
      <c r="AL389" s="285"/>
      <c r="AM389" s="295"/>
      <c r="AN389" s="295"/>
      <c r="AO389" s="295"/>
      <c r="AP389" s="295"/>
      <c r="AQ389" s="285"/>
      <c r="AR389" s="295">
        <v>8700</v>
      </c>
      <c r="AS389" s="424">
        <v>1020</v>
      </c>
      <c r="AT389" s="313"/>
    </row>
    <row r="390" spans="1:46" ht="47.25" customHeight="1">
      <c r="A390" s="425">
        <f>A389+1</f>
        <v>2</v>
      </c>
      <c r="B390" s="426" t="s">
        <v>1324</v>
      </c>
      <c r="C390" s="304" t="s">
        <v>698</v>
      </c>
      <c r="D390" s="304" t="s">
        <v>698</v>
      </c>
      <c r="E390" s="404"/>
      <c r="F390" s="404" t="s">
        <v>676</v>
      </c>
      <c r="G390" s="404"/>
      <c r="H390" s="427">
        <v>8509</v>
      </c>
      <c r="I390" s="423"/>
      <c r="J390" s="423"/>
      <c r="K390" s="423"/>
      <c r="L390" s="424"/>
      <c r="M390" s="424"/>
      <c r="N390" s="424"/>
      <c r="O390" s="424"/>
      <c r="P390" s="424"/>
      <c r="Q390" s="424"/>
      <c r="R390" s="424"/>
      <c r="S390" s="424"/>
      <c r="T390" s="424"/>
      <c r="U390" s="295"/>
      <c r="V390" s="424"/>
      <c r="W390" s="424"/>
      <c r="X390" s="424"/>
      <c r="Y390" s="424"/>
      <c r="Z390" s="424"/>
      <c r="AA390" s="424"/>
      <c r="AB390" s="424"/>
      <c r="AC390" s="424"/>
      <c r="AD390" s="424"/>
      <c r="AE390" s="424"/>
      <c r="AF390" s="424"/>
      <c r="AG390" s="424"/>
      <c r="AH390" s="295"/>
      <c r="AI390" s="424"/>
      <c r="AJ390" s="424"/>
      <c r="AK390" s="424"/>
      <c r="AL390" s="285"/>
      <c r="AM390" s="295"/>
      <c r="AN390" s="295"/>
      <c r="AO390" s="295"/>
      <c r="AP390" s="295"/>
      <c r="AQ390" s="285"/>
      <c r="AR390" s="295">
        <v>3200</v>
      </c>
      <c r="AS390" s="424">
        <v>2200</v>
      </c>
      <c r="AT390" s="313"/>
    </row>
    <row r="391" spans="1:46" ht="47.25" customHeight="1">
      <c r="A391" s="428">
        <f>A390+1</f>
        <v>3</v>
      </c>
      <c r="B391" s="429" t="s">
        <v>1325</v>
      </c>
      <c r="C391" s="430" t="s">
        <v>669</v>
      </c>
      <c r="D391" s="430" t="s">
        <v>669</v>
      </c>
      <c r="E391" s="431"/>
      <c r="F391" s="431" t="s">
        <v>676</v>
      </c>
      <c r="G391" s="431"/>
      <c r="H391" s="432">
        <v>29285</v>
      </c>
      <c r="I391" s="432"/>
      <c r="J391" s="432"/>
      <c r="K391" s="432"/>
      <c r="L391" s="433"/>
      <c r="M391" s="433"/>
      <c r="N391" s="433"/>
      <c r="O391" s="433"/>
      <c r="P391" s="433"/>
      <c r="Q391" s="433"/>
      <c r="R391" s="433"/>
      <c r="S391" s="433"/>
      <c r="T391" s="433"/>
      <c r="U391" s="434"/>
      <c r="V391" s="433"/>
      <c r="W391" s="433"/>
      <c r="X391" s="433"/>
      <c r="Y391" s="433"/>
      <c r="Z391" s="433"/>
      <c r="AA391" s="433"/>
      <c r="AB391" s="433"/>
      <c r="AC391" s="433"/>
      <c r="AD391" s="433"/>
      <c r="AE391" s="433"/>
      <c r="AF391" s="433"/>
      <c r="AG391" s="433"/>
      <c r="AH391" s="434"/>
      <c r="AI391" s="433"/>
      <c r="AJ391" s="433"/>
      <c r="AK391" s="433"/>
      <c r="AL391" s="435"/>
      <c r="AM391" s="434"/>
      <c r="AN391" s="434"/>
      <c r="AO391" s="434"/>
      <c r="AP391" s="434"/>
      <c r="AQ391" s="435"/>
      <c r="AR391" s="434">
        <v>8100</v>
      </c>
      <c r="AS391" s="433">
        <v>8280</v>
      </c>
      <c r="AT391" s="436"/>
    </row>
    <row r="392" spans="1:46" ht="47.25" hidden="1" customHeight="1">
      <c r="A392" s="437"/>
      <c r="B392" s="438"/>
      <c r="C392" s="439"/>
      <c r="D392" s="440"/>
      <c r="E392" s="440"/>
      <c r="F392" s="440"/>
      <c r="G392" s="440"/>
      <c r="H392" s="441"/>
      <c r="I392" s="441"/>
      <c r="J392" s="441"/>
      <c r="K392" s="441"/>
      <c r="L392" s="442"/>
      <c r="M392" s="442"/>
      <c r="N392" s="442"/>
      <c r="O392" s="442"/>
      <c r="P392" s="442"/>
      <c r="Q392" s="442"/>
      <c r="R392" s="442"/>
      <c r="S392" s="442"/>
      <c r="T392" s="442"/>
      <c r="U392" s="443"/>
      <c r="V392" s="442"/>
      <c r="W392" s="442"/>
      <c r="X392" s="442"/>
      <c r="Y392" s="442"/>
      <c r="Z392" s="442"/>
      <c r="AA392" s="442"/>
      <c r="AB392" s="442"/>
      <c r="AC392" s="442"/>
      <c r="AD392" s="442"/>
      <c r="AE392" s="442"/>
      <c r="AF392" s="442"/>
      <c r="AG392" s="442"/>
      <c r="AH392" s="443"/>
      <c r="AI392" s="442"/>
      <c r="AJ392" s="442"/>
      <c r="AK392" s="442"/>
      <c r="AL392" s="442"/>
      <c r="AM392" s="443"/>
      <c r="AN392" s="443"/>
      <c r="AO392" s="443"/>
      <c r="AP392" s="443"/>
      <c r="AQ392" s="264"/>
      <c r="AR392" s="264"/>
      <c r="AS392" s="442"/>
      <c r="AT392" s="444"/>
    </row>
    <row r="393" spans="1:46" s="445" customFormat="1" ht="47.25" customHeight="1">
      <c r="A393" s="245"/>
      <c r="B393" s="249"/>
      <c r="C393" s="245"/>
      <c r="D393" s="249"/>
      <c r="E393" s="249"/>
      <c r="F393" s="245"/>
      <c r="G393" s="245"/>
      <c r="H393" s="246"/>
      <c r="I393" s="246"/>
      <c r="J393" s="246"/>
      <c r="K393" s="246"/>
      <c r="L393" s="247"/>
      <c r="M393" s="247"/>
      <c r="N393" s="247"/>
      <c r="O393" s="247"/>
      <c r="P393" s="247"/>
      <c r="Q393" s="247"/>
      <c r="R393" s="247"/>
      <c r="S393" s="247"/>
      <c r="T393" s="247"/>
      <c r="U393" s="247"/>
      <c r="V393" s="247"/>
      <c r="W393" s="247"/>
      <c r="X393" s="247"/>
      <c r="Y393" s="247"/>
      <c r="Z393" s="247"/>
      <c r="AA393" s="247"/>
      <c r="AB393" s="247"/>
      <c r="AC393" s="247"/>
      <c r="AD393" s="247"/>
      <c r="AE393" s="247"/>
      <c r="AF393" s="247"/>
      <c r="AG393" s="247"/>
      <c r="AH393" s="247"/>
      <c r="AI393" s="247"/>
      <c r="AJ393" s="247"/>
      <c r="AK393" s="247"/>
      <c r="AL393" s="247"/>
      <c r="AM393" s="247"/>
      <c r="AN393" s="247"/>
      <c r="AO393" s="247"/>
      <c r="AP393" s="247"/>
      <c r="AQ393" s="247"/>
      <c r="AR393" s="247"/>
      <c r="AS393" s="247"/>
      <c r="AT393" s="248"/>
    </row>
    <row r="394" spans="1:46" s="445" customFormat="1" ht="47.25" customHeight="1">
      <c r="A394" s="245"/>
      <c r="B394" s="249"/>
      <c r="C394" s="245"/>
      <c r="D394" s="249"/>
      <c r="E394" s="249"/>
      <c r="F394" s="245"/>
      <c r="G394" s="245"/>
      <c r="H394" s="246"/>
      <c r="I394" s="246"/>
      <c r="J394" s="246"/>
      <c r="K394" s="246"/>
      <c r="L394" s="247"/>
      <c r="M394" s="247"/>
      <c r="N394" s="247"/>
      <c r="O394" s="247"/>
      <c r="P394" s="247"/>
      <c r="Q394" s="247"/>
      <c r="R394" s="247"/>
      <c r="S394" s="247"/>
      <c r="T394" s="247"/>
      <c r="U394" s="247"/>
      <c r="V394" s="247"/>
      <c r="W394" s="247"/>
      <c r="X394" s="247"/>
      <c r="Y394" s="247"/>
      <c r="Z394" s="247"/>
      <c r="AA394" s="247"/>
      <c r="AB394" s="247"/>
      <c r="AC394" s="247"/>
      <c r="AD394" s="247"/>
      <c r="AE394" s="247"/>
      <c r="AF394" s="247"/>
      <c r="AG394" s="247"/>
      <c r="AH394" s="247"/>
      <c r="AI394" s="247"/>
      <c r="AJ394" s="247"/>
      <c r="AK394" s="247"/>
      <c r="AL394" s="247"/>
      <c r="AM394" s="247"/>
      <c r="AN394" s="247"/>
      <c r="AO394" s="247"/>
      <c r="AP394" s="247"/>
      <c r="AQ394" s="247"/>
      <c r="AR394" s="247"/>
      <c r="AS394" s="247"/>
      <c r="AT394" s="248"/>
    </row>
    <row r="395" spans="1:46" s="445" customFormat="1" ht="47.25" customHeight="1">
      <c r="A395" s="245"/>
      <c r="B395" s="249"/>
      <c r="C395" s="245"/>
      <c r="D395" s="249"/>
      <c r="E395" s="249"/>
      <c r="F395" s="245"/>
      <c r="G395" s="245"/>
      <c r="H395" s="246"/>
      <c r="I395" s="246"/>
      <c r="J395" s="246"/>
      <c r="K395" s="246"/>
      <c r="L395" s="247"/>
      <c r="M395" s="247"/>
      <c r="N395" s="247"/>
      <c r="O395" s="247"/>
      <c r="P395" s="247"/>
      <c r="Q395" s="247"/>
      <c r="R395" s="247"/>
      <c r="S395" s="247"/>
      <c r="T395" s="247"/>
      <c r="U395" s="247"/>
      <c r="V395" s="247"/>
      <c r="W395" s="247"/>
      <c r="X395" s="247"/>
      <c r="Y395" s="247"/>
      <c r="Z395" s="247"/>
      <c r="AA395" s="247"/>
      <c r="AB395" s="247"/>
      <c r="AC395" s="247"/>
      <c r="AD395" s="247"/>
      <c r="AE395" s="247"/>
      <c r="AF395" s="247"/>
      <c r="AG395" s="247"/>
      <c r="AH395" s="247"/>
      <c r="AI395" s="247"/>
      <c r="AJ395" s="247"/>
      <c r="AK395" s="247"/>
      <c r="AL395" s="247"/>
      <c r="AM395" s="247"/>
      <c r="AN395" s="247"/>
      <c r="AO395" s="247"/>
      <c r="AP395" s="247"/>
      <c r="AQ395" s="247"/>
      <c r="AR395" s="247"/>
      <c r="AS395" s="247"/>
      <c r="AT395" s="248"/>
    </row>
    <row r="396" spans="1:46" s="445" customFormat="1" ht="47.25" customHeight="1">
      <c r="A396" s="245"/>
      <c r="B396" s="249"/>
      <c r="C396" s="245"/>
      <c r="D396" s="249"/>
      <c r="E396" s="249"/>
      <c r="F396" s="245"/>
      <c r="G396" s="245"/>
      <c r="H396" s="246"/>
      <c r="I396" s="246"/>
      <c r="J396" s="246"/>
      <c r="K396" s="246"/>
      <c r="L396" s="247"/>
      <c r="M396" s="247"/>
      <c r="N396" s="247"/>
      <c r="O396" s="247"/>
      <c r="P396" s="247"/>
      <c r="Q396" s="247"/>
      <c r="R396" s="247"/>
      <c r="S396" s="247"/>
      <c r="T396" s="247"/>
      <c r="U396" s="247"/>
      <c r="V396" s="247"/>
      <c r="W396" s="247"/>
      <c r="X396" s="247"/>
      <c r="Y396" s="247"/>
      <c r="Z396" s="247"/>
      <c r="AA396" s="247"/>
      <c r="AB396" s="247"/>
      <c r="AC396" s="247"/>
      <c r="AD396" s="247"/>
      <c r="AE396" s="247"/>
      <c r="AF396" s="247"/>
      <c r="AG396" s="247"/>
      <c r="AH396" s="247"/>
      <c r="AI396" s="247"/>
      <c r="AJ396" s="247"/>
      <c r="AK396" s="247"/>
      <c r="AL396" s="247"/>
      <c r="AM396" s="247"/>
      <c r="AN396" s="247"/>
      <c r="AO396" s="247"/>
      <c r="AP396" s="247"/>
      <c r="AQ396" s="247"/>
      <c r="AR396" s="247"/>
      <c r="AS396" s="247"/>
      <c r="AT396" s="248"/>
    </row>
    <row r="397" spans="1:46" s="445" customFormat="1" ht="47.25" customHeight="1">
      <c r="A397" s="245"/>
      <c r="B397" s="249"/>
      <c r="C397" s="245"/>
      <c r="D397" s="249"/>
      <c r="E397" s="249"/>
      <c r="F397" s="245"/>
      <c r="G397" s="245"/>
      <c r="H397" s="246"/>
      <c r="I397" s="246"/>
      <c r="J397" s="246"/>
      <c r="K397" s="246"/>
      <c r="L397" s="247"/>
      <c r="M397" s="247"/>
      <c r="N397" s="247"/>
      <c r="O397" s="247"/>
      <c r="P397" s="247"/>
      <c r="Q397" s="247"/>
      <c r="R397" s="247"/>
      <c r="S397" s="247"/>
      <c r="T397" s="247"/>
      <c r="U397" s="247"/>
      <c r="V397" s="247"/>
      <c r="W397" s="247"/>
      <c r="X397" s="247"/>
      <c r="Y397" s="247"/>
      <c r="Z397" s="247"/>
      <c r="AA397" s="247"/>
      <c r="AB397" s="247"/>
      <c r="AC397" s="247"/>
      <c r="AD397" s="247"/>
      <c r="AE397" s="247"/>
      <c r="AF397" s="247"/>
      <c r="AG397" s="247"/>
      <c r="AH397" s="247"/>
      <c r="AI397" s="247"/>
      <c r="AJ397" s="247"/>
      <c r="AK397" s="247"/>
      <c r="AL397" s="247"/>
      <c r="AM397" s="247"/>
      <c r="AN397" s="247"/>
      <c r="AO397" s="247"/>
      <c r="AP397" s="247"/>
      <c r="AQ397" s="247"/>
      <c r="AR397" s="247"/>
      <c r="AS397" s="247"/>
      <c r="AT397" s="248"/>
    </row>
    <row r="398" spans="1:46" s="445" customFormat="1" ht="47.25" customHeight="1">
      <c r="A398" s="245"/>
      <c r="B398" s="249"/>
      <c r="C398" s="245"/>
      <c r="D398" s="249"/>
      <c r="E398" s="249"/>
      <c r="F398" s="245"/>
      <c r="G398" s="245"/>
      <c r="H398" s="246"/>
      <c r="I398" s="246"/>
      <c r="J398" s="246"/>
      <c r="K398" s="246"/>
      <c r="L398" s="247"/>
      <c r="M398" s="247"/>
      <c r="N398" s="247"/>
      <c r="O398" s="247"/>
      <c r="P398" s="247"/>
      <c r="Q398" s="247"/>
      <c r="R398" s="247"/>
      <c r="S398" s="247"/>
      <c r="T398" s="247"/>
      <c r="U398" s="247"/>
      <c r="V398" s="247"/>
      <c r="W398" s="247"/>
      <c r="X398" s="247"/>
      <c r="Y398" s="247"/>
      <c r="Z398" s="247"/>
      <c r="AA398" s="247"/>
      <c r="AB398" s="247"/>
      <c r="AC398" s="247"/>
      <c r="AD398" s="247"/>
      <c r="AE398" s="247"/>
      <c r="AF398" s="247"/>
      <c r="AG398" s="247"/>
      <c r="AH398" s="247"/>
      <c r="AI398" s="247"/>
      <c r="AJ398" s="247"/>
      <c r="AK398" s="247"/>
      <c r="AL398" s="247"/>
      <c r="AM398" s="247"/>
      <c r="AN398" s="247"/>
      <c r="AO398" s="247"/>
      <c r="AP398" s="247"/>
      <c r="AQ398" s="247"/>
      <c r="AR398" s="247"/>
      <c r="AS398" s="247"/>
      <c r="AT398" s="248"/>
    </row>
    <row r="399" spans="1:46" s="445" customFormat="1" ht="47.25" customHeight="1">
      <c r="A399" s="245"/>
      <c r="B399" s="249"/>
      <c r="C399" s="245"/>
      <c r="D399" s="249"/>
      <c r="E399" s="249"/>
      <c r="F399" s="245"/>
      <c r="G399" s="245"/>
      <c r="H399" s="246"/>
      <c r="I399" s="246"/>
      <c r="J399" s="246"/>
      <c r="K399" s="246"/>
      <c r="L399" s="247"/>
      <c r="M399" s="247"/>
      <c r="N399" s="247"/>
      <c r="O399" s="247"/>
      <c r="P399" s="247"/>
      <c r="Q399" s="247"/>
      <c r="R399" s="247"/>
      <c r="S399" s="247"/>
      <c r="T399" s="247"/>
      <c r="U399" s="247"/>
      <c r="V399" s="247"/>
      <c r="W399" s="247"/>
      <c r="X399" s="247"/>
      <c r="Y399" s="247"/>
      <c r="Z399" s="247"/>
      <c r="AA399" s="247"/>
      <c r="AB399" s="247"/>
      <c r="AC399" s="247"/>
      <c r="AD399" s="247"/>
      <c r="AE399" s="247"/>
      <c r="AF399" s="247"/>
      <c r="AG399" s="247"/>
      <c r="AH399" s="247"/>
      <c r="AI399" s="247"/>
      <c r="AJ399" s="247"/>
      <c r="AK399" s="247"/>
      <c r="AL399" s="247"/>
      <c r="AM399" s="247"/>
      <c r="AN399" s="247"/>
      <c r="AO399" s="247"/>
      <c r="AP399" s="247"/>
      <c r="AQ399" s="247"/>
      <c r="AR399" s="247"/>
      <c r="AS399" s="247"/>
      <c r="AT399" s="248"/>
    </row>
    <row r="400" spans="1:46" s="445" customFormat="1" ht="47.25" customHeight="1">
      <c r="A400" s="245"/>
      <c r="B400" s="249"/>
      <c r="C400" s="245"/>
      <c r="D400" s="249"/>
      <c r="E400" s="249"/>
      <c r="F400" s="245"/>
      <c r="G400" s="245"/>
      <c r="H400" s="246"/>
      <c r="I400" s="246"/>
      <c r="J400" s="246"/>
      <c r="K400" s="246"/>
      <c r="L400" s="247"/>
      <c r="M400" s="247"/>
      <c r="N400" s="247"/>
      <c r="O400" s="247"/>
      <c r="P400" s="247"/>
      <c r="Q400" s="247"/>
      <c r="R400" s="247"/>
      <c r="S400" s="247"/>
      <c r="T400" s="247"/>
      <c r="U400" s="247"/>
      <c r="V400" s="247"/>
      <c r="W400" s="247"/>
      <c r="X400" s="247"/>
      <c r="Y400" s="247"/>
      <c r="Z400" s="247"/>
      <c r="AA400" s="247"/>
      <c r="AB400" s="247"/>
      <c r="AC400" s="247"/>
      <c r="AD400" s="247"/>
      <c r="AE400" s="247"/>
      <c r="AF400" s="247"/>
      <c r="AG400" s="247"/>
      <c r="AH400" s="247"/>
      <c r="AI400" s="247"/>
      <c r="AJ400" s="247"/>
      <c r="AK400" s="247"/>
      <c r="AL400" s="247"/>
      <c r="AM400" s="247"/>
      <c r="AN400" s="247"/>
      <c r="AO400" s="247"/>
      <c r="AP400" s="247"/>
      <c r="AQ400" s="247"/>
      <c r="AR400" s="247"/>
      <c r="AS400" s="247"/>
      <c r="AT400" s="248"/>
    </row>
    <row r="401" spans="1:46" s="445" customFormat="1" ht="47.25" customHeight="1">
      <c r="A401" s="245"/>
      <c r="B401" s="249"/>
      <c r="C401" s="245"/>
      <c r="D401" s="249"/>
      <c r="E401" s="249"/>
      <c r="F401" s="245"/>
      <c r="G401" s="245"/>
      <c r="H401" s="246"/>
      <c r="I401" s="246"/>
      <c r="J401" s="246"/>
      <c r="K401" s="246"/>
      <c r="L401" s="247"/>
      <c r="M401" s="247"/>
      <c r="N401" s="247"/>
      <c r="O401" s="247"/>
      <c r="P401" s="247"/>
      <c r="Q401" s="247"/>
      <c r="R401" s="247"/>
      <c r="S401" s="247"/>
      <c r="T401" s="247"/>
      <c r="U401" s="247"/>
      <c r="V401" s="247"/>
      <c r="W401" s="247"/>
      <c r="X401" s="247"/>
      <c r="Y401" s="247"/>
      <c r="Z401" s="247"/>
      <c r="AA401" s="247"/>
      <c r="AB401" s="247"/>
      <c r="AC401" s="247"/>
      <c r="AD401" s="247"/>
      <c r="AE401" s="247"/>
      <c r="AF401" s="247"/>
      <c r="AG401" s="247"/>
      <c r="AH401" s="247"/>
      <c r="AI401" s="247"/>
      <c r="AJ401" s="247"/>
      <c r="AK401" s="247"/>
      <c r="AL401" s="247"/>
      <c r="AM401" s="247"/>
      <c r="AN401" s="247"/>
      <c r="AO401" s="247"/>
      <c r="AP401" s="247"/>
      <c r="AQ401" s="247"/>
      <c r="AR401" s="247"/>
      <c r="AS401" s="247"/>
      <c r="AT401" s="248"/>
    </row>
    <row r="402" spans="1:46" s="445" customFormat="1" ht="47.25" customHeight="1">
      <c r="A402" s="245"/>
      <c r="B402" s="249"/>
      <c r="C402" s="245"/>
      <c r="D402" s="249"/>
      <c r="E402" s="249"/>
      <c r="F402" s="245"/>
      <c r="G402" s="245"/>
      <c r="H402" s="246"/>
      <c r="I402" s="246"/>
      <c r="J402" s="246"/>
      <c r="K402" s="246"/>
      <c r="L402" s="247"/>
      <c r="M402" s="247"/>
      <c r="N402" s="247"/>
      <c r="O402" s="247"/>
      <c r="P402" s="247"/>
      <c r="Q402" s="247"/>
      <c r="R402" s="247"/>
      <c r="S402" s="247"/>
      <c r="T402" s="247"/>
      <c r="U402" s="247"/>
      <c r="V402" s="247"/>
      <c r="W402" s="247"/>
      <c r="X402" s="247"/>
      <c r="Y402" s="247"/>
      <c r="Z402" s="247"/>
      <c r="AA402" s="247"/>
      <c r="AB402" s="247"/>
      <c r="AC402" s="247"/>
      <c r="AD402" s="247"/>
      <c r="AE402" s="247"/>
      <c r="AF402" s="247"/>
      <c r="AG402" s="247"/>
      <c r="AH402" s="247"/>
      <c r="AI402" s="247"/>
      <c r="AJ402" s="247"/>
      <c r="AK402" s="247"/>
      <c r="AL402" s="247"/>
      <c r="AM402" s="247"/>
      <c r="AN402" s="247"/>
      <c r="AO402" s="247"/>
      <c r="AP402" s="247"/>
      <c r="AQ402" s="247"/>
      <c r="AR402" s="247"/>
      <c r="AS402" s="247"/>
      <c r="AT402" s="248"/>
    </row>
    <row r="403" spans="1:46" s="445" customFormat="1" ht="47.25" customHeight="1">
      <c r="A403" s="245"/>
      <c r="B403" s="249"/>
      <c r="C403" s="245"/>
      <c r="D403" s="249"/>
      <c r="E403" s="249"/>
      <c r="F403" s="245"/>
      <c r="G403" s="245"/>
      <c r="H403" s="246"/>
      <c r="I403" s="246"/>
      <c r="J403" s="246"/>
      <c r="K403" s="246"/>
      <c r="L403" s="247"/>
      <c r="M403" s="247"/>
      <c r="N403" s="247"/>
      <c r="O403" s="247"/>
      <c r="P403" s="247"/>
      <c r="Q403" s="247"/>
      <c r="R403" s="247"/>
      <c r="S403" s="247"/>
      <c r="T403" s="247"/>
      <c r="U403" s="247"/>
      <c r="V403" s="247"/>
      <c r="W403" s="247"/>
      <c r="X403" s="247"/>
      <c r="Y403" s="247"/>
      <c r="Z403" s="247"/>
      <c r="AA403" s="247"/>
      <c r="AB403" s="247"/>
      <c r="AC403" s="247"/>
      <c r="AD403" s="247"/>
      <c r="AE403" s="247"/>
      <c r="AF403" s="247"/>
      <c r="AG403" s="247"/>
      <c r="AH403" s="247"/>
      <c r="AI403" s="247"/>
      <c r="AJ403" s="247"/>
      <c r="AK403" s="247"/>
      <c r="AL403" s="247"/>
      <c r="AM403" s="247"/>
      <c r="AN403" s="247"/>
      <c r="AO403" s="247"/>
      <c r="AP403" s="247"/>
      <c r="AQ403" s="247"/>
      <c r="AR403" s="247"/>
      <c r="AS403" s="247"/>
      <c r="AT403" s="248"/>
    </row>
    <row r="404" spans="1:46" s="445" customFormat="1" ht="47.25" customHeight="1">
      <c r="A404" s="245"/>
      <c r="B404" s="249"/>
      <c r="C404" s="245"/>
      <c r="D404" s="249"/>
      <c r="E404" s="249"/>
      <c r="F404" s="245"/>
      <c r="G404" s="245"/>
      <c r="H404" s="246"/>
      <c r="I404" s="246"/>
      <c r="J404" s="246"/>
      <c r="K404" s="246"/>
      <c r="L404" s="247"/>
      <c r="M404" s="247"/>
      <c r="N404" s="247"/>
      <c r="O404" s="247"/>
      <c r="P404" s="247"/>
      <c r="Q404" s="247"/>
      <c r="R404" s="247"/>
      <c r="S404" s="247"/>
      <c r="T404" s="247"/>
      <c r="U404" s="247"/>
      <c r="V404" s="247"/>
      <c r="W404" s="247"/>
      <c r="X404" s="247"/>
      <c r="Y404" s="247"/>
      <c r="Z404" s="247"/>
      <c r="AA404" s="247"/>
      <c r="AB404" s="247"/>
      <c r="AC404" s="247"/>
      <c r="AD404" s="247"/>
      <c r="AE404" s="247"/>
      <c r="AF404" s="247"/>
      <c r="AG404" s="247"/>
      <c r="AH404" s="247"/>
      <c r="AI404" s="247"/>
      <c r="AJ404" s="247"/>
      <c r="AK404" s="247"/>
      <c r="AL404" s="247"/>
      <c r="AM404" s="247"/>
      <c r="AN404" s="247"/>
      <c r="AO404" s="247"/>
      <c r="AP404" s="247"/>
      <c r="AQ404" s="247"/>
      <c r="AR404" s="247"/>
      <c r="AS404" s="247"/>
      <c r="AT404" s="248"/>
    </row>
    <row r="405" spans="1:46" s="445" customFormat="1" ht="47.25" customHeight="1">
      <c r="A405" s="245"/>
      <c r="B405" s="249"/>
      <c r="C405" s="245"/>
      <c r="D405" s="249"/>
      <c r="E405" s="249"/>
      <c r="F405" s="245"/>
      <c r="G405" s="245"/>
      <c r="H405" s="246"/>
      <c r="I405" s="246"/>
      <c r="J405" s="246"/>
      <c r="K405" s="246"/>
      <c r="L405" s="247"/>
      <c r="M405" s="247"/>
      <c r="N405" s="247"/>
      <c r="O405" s="247"/>
      <c r="P405" s="247"/>
      <c r="Q405" s="247"/>
      <c r="R405" s="247"/>
      <c r="S405" s="247"/>
      <c r="T405" s="247"/>
      <c r="U405" s="247"/>
      <c r="V405" s="247"/>
      <c r="W405" s="247"/>
      <c r="X405" s="247"/>
      <c r="Y405" s="247"/>
      <c r="Z405" s="247"/>
      <c r="AA405" s="247"/>
      <c r="AB405" s="247"/>
      <c r="AC405" s="247"/>
      <c r="AD405" s="247"/>
      <c r="AE405" s="247"/>
      <c r="AF405" s="247"/>
      <c r="AG405" s="247"/>
      <c r="AH405" s="247"/>
      <c r="AI405" s="247"/>
      <c r="AJ405" s="247"/>
      <c r="AK405" s="247"/>
      <c r="AL405" s="247"/>
      <c r="AM405" s="247"/>
      <c r="AN405" s="247"/>
      <c r="AO405" s="247"/>
      <c r="AP405" s="247"/>
      <c r="AQ405" s="247"/>
      <c r="AR405" s="247"/>
      <c r="AS405" s="247"/>
      <c r="AT405" s="248"/>
    </row>
    <row r="406" spans="1:46" s="445" customFormat="1" ht="47.25" customHeight="1">
      <c r="A406" s="245"/>
      <c r="B406" s="249"/>
      <c r="C406" s="245"/>
      <c r="D406" s="249"/>
      <c r="E406" s="249"/>
      <c r="F406" s="245"/>
      <c r="G406" s="245"/>
      <c r="H406" s="246"/>
      <c r="I406" s="246"/>
      <c r="J406" s="246"/>
      <c r="K406" s="246"/>
      <c r="L406" s="247"/>
      <c r="M406" s="247"/>
      <c r="N406" s="247"/>
      <c r="O406" s="247"/>
      <c r="P406" s="247"/>
      <c r="Q406" s="247"/>
      <c r="R406" s="247"/>
      <c r="S406" s="247"/>
      <c r="T406" s="247"/>
      <c r="U406" s="247"/>
      <c r="V406" s="247"/>
      <c r="W406" s="247"/>
      <c r="X406" s="247"/>
      <c r="Y406" s="247"/>
      <c r="Z406" s="247"/>
      <c r="AA406" s="247"/>
      <c r="AB406" s="247"/>
      <c r="AC406" s="247"/>
      <c r="AD406" s="247"/>
      <c r="AE406" s="247"/>
      <c r="AF406" s="247"/>
      <c r="AG406" s="247"/>
      <c r="AH406" s="247"/>
      <c r="AI406" s="247"/>
      <c r="AJ406" s="247"/>
      <c r="AK406" s="247"/>
      <c r="AL406" s="247"/>
      <c r="AM406" s="247"/>
      <c r="AN406" s="247"/>
      <c r="AO406" s="247"/>
      <c r="AP406" s="247"/>
      <c r="AQ406" s="247"/>
      <c r="AR406" s="247"/>
      <c r="AS406" s="247"/>
      <c r="AT406" s="248"/>
    </row>
    <row r="407" spans="1:46" s="445" customFormat="1" ht="47.25" customHeight="1">
      <c r="A407" s="245"/>
      <c r="B407" s="249"/>
      <c r="C407" s="245"/>
      <c r="D407" s="249"/>
      <c r="E407" s="249"/>
      <c r="F407" s="245"/>
      <c r="G407" s="245"/>
      <c r="H407" s="246"/>
      <c r="I407" s="246"/>
      <c r="J407" s="246"/>
      <c r="K407" s="246"/>
      <c r="L407" s="247"/>
      <c r="M407" s="247"/>
      <c r="N407" s="247"/>
      <c r="O407" s="247"/>
      <c r="P407" s="247"/>
      <c r="Q407" s="247"/>
      <c r="R407" s="247"/>
      <c r="S407" s="247"/>
      <c r="T407" s="247"/>
      <c r="U407" s="247"/>
      <c r="V407" s="247"/>
      <c r="W407" s="247"/>
      <c r="X407" s="247"/>
      <c r="Y407" s="247"/>
      <c r="Z407" s="247"/>
      <c r="AA407" s="247"/>
      <c r="AB407" s="247"/>
      <c r="AC407" s="247"/>
      <c r="AD407" s="247"/>
      <c r="AE407" s="247"/>
      <c r="AF407" s="247"/>
      <c r="AG407" s="247"/>
      <c r="AH407" s="247"/>
      <c r="AI407" s="247"/>
      <c r="AJ407" s="247"/>
      <c r="AK407" s="247"/>
      <c r="AL407" s="247"/>
      <c r="AM407" s="247"/>
      <c r="AN407" s="247"/>
      <c r="AO407" s="247"/>
      <c r="AP407" s="247"/>
      <c r="AQ407" s="247"/>
      <c r="AR407" s="247"/>
      <c r="AS407" s="247"/>
      <c r="AT407" s="248"/>
    </row>
    <row r="408" spans="1:46" s="445" customFormat="1" ht="47.25" customHeight="1">
      <c r="A408" s="245"/>
      <c r="B408" s="249"/>
      <c r="C408" s="245"/>
      <c r="D408" s="249"/>
      <c r="E408" s="249"/>
      <c r="F408" s="245"/>
      <c r="G408" s="245"/>
      <c r="H408" s="246"/>
      <c r="I408" s="246"/>
      <c r="J408" s="246"/>
      <c r="K408" s="246"/>
      <c r="L408" s="247"/>
      <c r="M408" s="247"/>
      <c r="N408" s="247"/>
      <c r="O408" s="247"/>
      <c r="P408" s="247"/>
      <c r="Q408" s="247"/>
      <c r="R408" s="247"/>
      <c r="S408" s="247"/>
      <c r="T408" s="247"/>
      <c r="U408" s="247"/>
      <c r="V408" s="247"/>
      <c r="W408" s="247"/>
      <c r="X408" s="247"/>
      <c r="Y408" s="247"/>
      <c r="Z408" s="247"/>
      <c r="AA408" s="247"/>
      <c r="AB408" s="247"/>
      <c r="AC408" s="247"/>
      <c r="AD408" s="247"/>
      <c r="AE408" s="247"/>
      <c r="AF408" s="247"/>
      <c r="AG408" s="247"/>
      <c r="AH408" s="247"/>
      <c r="AI408" s="247"/>
      <c r="AJ408" s="247"/>
      <c r="AK408" s="247"/>
      <c r="AL408" s="247"/>
      <c r="AM408" s="247"/>
      <c r="AN408" s="247"/>
      <c r="AO408" s="247"/>
      <c r="AP408" s="247"/>
      <c r="AQ408" s="247"/>
      <c r="AR408" s="247"/>
      <c r="AS408" s="247"/>
      <c r="AT408" s="248"/>
    </row>
    <row r="409" spans="1:46" s="445" customFormat="1" ht="47.25" customHeight="1">
      <c r="A409" s="245"/>
      <c r="B409" s="249"/>
      <c r="C409" s="245"/>
      <c r="D409" s="249"/>
      <c r="E409" s="249"/>
      <c r="F409" s="245"/>
      <c r="G409" s="245"/>
      <c r="H409" s="246"/>
      <c r="I409" s="246"/>
      <c r="J409" s="246"/>
      <c r="K409" s="246"/>
      <c r="L409" s="247"/>
      <c r="M409" s="247"/>
      <c r="N409" s="247"/>
      <c r="O409" s="247"/>
      <c r="P409" s="247"/>
      <c r="Q409" s="247"/>
      <c r="R409" s="247"/>
      <c r="S409" s="247"/>
      <c r="T409" s="247"/>
      <c r="U409" s="247"/>
      <c r="V409" s="247"/>
      <c r="W409" s="247"/>
      <c r="X409" s="247"/>
      <c r="Y409" s="247"/>
      <c r="Z409" s="247"/>
      <c r="AA409" s="247"/>
      <c r="AB409" s="247"/>
      <c r="AC409" s="247"/>
      <c r="AD409" s="247"/>
      <c r="AE409" s="247"/>
      <c r="AF409" s="247"/>
      <c r="AG409" s="247"/>
      <c r="AH409" s="247"/>
      <c r="AI409" s="247"/>
      <c r="AJ409" s="247"/>
      <c r="AK409" s="247"/>
      <c r="AL409" s="247"/>
      <c r="AM409" s="247"/>
      <c r="AN409" s="247"/>
      <c r="AO409" s="247"/>
      <c r="AP409" s="247"/>
      <c r="AQ409" s="247"/>
      <c r="AR409" s="247"/>
      <c r="AS409" s="247"/>
      <c r="AT409" s="248"/>
    </row>
    <row r="410" spans="1:46" s="445" customFormat="1" ht="47.25" customHeight="1">
      <c r="A410" s="245"/>
      <c r="B410" s="249"/>
      <c r="C410" s="245"/>
      <c r="D410" s="249"/>
      <c r="E410" s="249"/>
      <c r="F410" s="245"/>
      <c r="G410" s="245"/>
      <c r="H410" s="246"/>
      <c r="I410" s="246"/>
      <c r="J410" s="246"/>
      <c r="K410" s="246"/>
      <c r="L410" s="247"/>
      <c r="M410" s="247"/>
      <c r="N410" s="247"/>
      <c r="O410" s="247"/>
      <c r="P410" s="247"/>
      <c r="Q410" s="247"/>
      <c r="R410" s="247"/>
      <c r="S410" s="247"/>
      <c r="T410" s="247"/>
      <c r="U410" s="247"/>
      <c r="V410" s="247"/>
      <c r="W410" s="247"/>
      <c r="X410" s="247"/>
      <c r="Y410" s="247"/>
      <c r="Z410" s="247"/>
      <c r="AA410" s="247"/>
      <c r="AB410" s="247"/>
      <c r="AC410" s="247"/>
      <c r="AD410" s="247"/>
      <c r="AE410" s="247"/>
      <c r="AF410" s="247"/>
      <c r="AG410" s="247"/>
      <c r="AH410" s="247"/>
      <c r="AI410" s="247"/>
      <c r="AJ410" s="247"/>
      <c r="AK410" s="247"/>
      <c r="AL410" s="247"/>
      <c r="AM410" s="247"/>
      <c r="AN410" s="247"/>
      <c r="AO410" s="247"/>
      <c r="AP410" s="247"/>
      <c r="AQ410" s="247"/>
      <c r="AR410" s="247"/>
      <c r="AS410" s="247"/>
      <c r="AT410" s="248"/>
    </row>
    <row r="411" spans="1:46" s="445" customFormat="1" ht="47.25" customHeight="1">
      <c r="A411" s="245"/>
      <c r="B411" s="249"/>
      <c r="C411" s="245"/>
      <c r="D411" s="249"/>
      <c r="E411" s="249"/>
      <c r="F411" s="245"/>
      <c r="G411" s="245"/>
      <c r="H411" s="246"/>
      <c r="I411" s="246"/>
      <c r="J411" s="246"/>
      <c r="K411" s="246"/>
      <c r="L411" s="247"/>
      <c r="M411" s="247"/>
      <c r="N411" s="247"/>
      <c r="O411" s="247"/>
      <c r="P411" s="247"/>
      <c r="Q411" s="247"/>
      <c r="R411" s="247"/>
      <c r="S411" s="247"/>
      <c r="T411" s="247"/>
      <c r="U411" s="247"/>
      <c r="V411" s="247"/>
      <c r="W411" s="247"/>
      <c r="X411" s="247"/>
      <c r="Y411" s="247"/>
      <c r="Z411" s="247"/>
      <c r="AA411" s="247"/>
      <c r="AB411" s="247"/>
      <c r="AC411" s="247"/>
      <c r="AD411" s="247"/>
      <c r="AE411" s="247"/>
      <c r="AF411" s="247"/>
      <c r="AG411" s="247"/>
      <c r="AH411" s="247"/>
      <c r="AI411" s="247"/>
      <c r="AJ411" s="247"/>
      <c r="AK411" s="247"/>
      <c r="AL411" s="247"/>
      <c r="AM411" s="247"/>
      <c r="AN411" s="247"/>
      <c r="AO411" s="247"/>
      <c r="AP411" s="247"/>
      <c r="AQ411" s="247"/>
      <c r="AR411" s="247"/>
      <c r="AS411" s="247"/>
      <c r="AT411" s="248"/>
    </row>
    <row r="412" spans="1:46" s="445" customFormat="1" ht="47.25" customHeight="1">
      <c r="A412" s="245"/>
      <c r="B412" s="249"/>
      <c r="C412" s="245"/>
      <c r="D412" s="249"/>
      <c r="E412" s="249"/>
      <c r="F412" s="245"/>
      <c r="G412" s="245"/>
      <c r="H412" s="246"/>
      <c r="I412" s="246"/>
      <c r="J412" s="246"/>
      <c r="K412" s="246"/>
      <c r="L412" s="247"/>
      <c r="M412" s="247"/>
      <c r="N412" s="247"/>
      <c r="O412" s="247"/>
      <c r="P412" s="247"/>
      <c r="Q412" s="247"/>
      <c r="R412" s="247"/>
      <c r="S412" s="247"/>
      <c r="T412" s="247"/>
      <c r="U412" s="247"/>
      <c r="V412" s="247"/>
      <c r="W412" s="247"/>
      <c r="X412" s="247"/>
      <c r="Y412" s="247"/>
      <c r="Z412" s="247"/>
      <c r="AA412" s="247"/>
      <c r="AB412" s="247"/>
      <c r="AC412" s="247"/>
      <c r="AD412" s="247"/>
      <c r="AE412" s="247"/>
      <c r="AF412" s="247"/>
      <c r="AG412" s="247"/>
      <c r="AH412" s="247"/>
      <c r="AI412" s="247"/>
      <c r="AJ412" s="247"/>
      <c r="AK412" s="247"/>
      <c r="AL412" s="247"/>
      <c r="AM412" s="247"/>
      <c r="AN412" s="247"/>
      <c r="AO412" s="247"/>
      <c r="AP412" s="247"/>
      <c r="AQ412" s="247"/>
      <c r="AR412" s="247"/>
      <c r="AS412" s="247"/>
      <c r="AT412" s="248"/>
    </row>
    <row r="413" spans="1:46" s="445" customFormat="1" ht="47.25" customHeight="1">
      <c r="A413" s="245"/>
      <c r="B413" s="249"/>
      <c r="C413" s="245"/>
      <c r="D413" s="249"/>
      <c r="E413" s="249"/>
      <c r="F413" s="245"/>
      <c r="G413" s="245"/>
      <c r="H413" s="246"/>
      <c r="I413" s="246"/>
      <c r="J413" s="246"/>
      <c r="K413" s="246"/>
      <c r="L413" s="247"/>
      <c r="M413" s="247"/>
      <c r="N413" s="247"/>
      <c r="O413" s="247"/>
      <c r="P413" s="247"/>
      <c r="Q413" s="247"/>
      <c r="R413" s="247"/>
      <c r="S413" s="247"/>
      <c r="T413" s="247"/>
      <c r="U413" s="247"/>
      <c r="V413" s="247"/>
      <c r="W413" s="247"/>
      <c r="X413" s="247"/>
      <c r="Y413" s="247"/>
      <c r="Z413" s="247"/>
      <c r="AA413" s="247"/>
      <c r="AB413" s="247"/>
      <c r="AC413" s="247"/>
      <c r="AD413" s="247"/>
      <c r="AE413" s="247"/>
      <c r="AF413" s="247"/>
      <c r="AG413" s="247"/>
      <c r="AH413" s="247"/>
      <c r="AI413" s="247"/>
      <c r="AJ413" s="247"/>
      <c r="AK413" s="247"/>
      <c r="AL413" s="247"/>
      <c r="AM413" s="247"/>
      <c r="AN413" s="247"/>
      <c r="AO413" s="247"/>
      <c r="AP413" s="247"/>
      <c r="AQ413" s="247"/>
      <c r="AR413" s="247"/>
      <c r="AS413" s="247"/>
      <c r="AT413" s="248"/>
    </row>
    <row r="414" spans="1:46" s="445" customFormat="1" ht="47.25" customHeight="1">
      <c r="A414" s="245"/>
      <c r="B414" s="249"/>
      <c r="C414" s="245"/>
      <c r="D414" s="249"/>
      <c r="E414" s="249"/>
      <c r="F414" s="245"/>
      <c r="G414" s="245"/>
      <c r="H414" s="246"/>
      <c r="I414" s="246"/>
      <c r="J414" s="246"/>
      <c r="K414" s="246"/>
      <c r="L414" s="247"/>
      <c r="M414" s="247"/>
      <c r="N414" s="247"/>
      <c r="O414" s="247"/>
      <c r="P414" s="247"/>
      <c r="Q414" s="247"/>
      <c r="R414" s="247"/>
      <c r="S414" s="247"/>
      <c r="T414" s="247"/>
      <c r="U414" s="247"/>
      <c r="V414" s="247"/>
      <c r="W414" s="247"/>
      <c r="X414" s="247"/>
      <c r="Y414" s="247"/>
      <c r="Z414" s="247"/>
      <c r="AA414" s="247"/>
      <c r="AB414" s="247"/>
      <c r="AC414" s="247"/>
      <c r="AD414" s="247"/>
      <c r="AE414" s="247"/>
      <c r="AF414" s="247"/>
      <c r="AG414" s="247"/>
      <c r="AH414" s="247"/>
      <c r="AI414" s="247"/>
      <c r="AJ414" s="247"/>
      <c r="AK414" s="247"/>
      <c r="AL414" s="247"/>
      <c r="AM414" s="247"/>
      <c r="AN414" s="247"/>
      <c r="AO414" s="247"/>
      <c r="AP414" s="247"/>
      <c r="AQ414" s="247"/>
      <c r="AR414" s="247"/>
      <c r="AS414" s="247"/>
      <c r="AT414" s="248"/>
    </row>
    <row r="415" spans="1:46" s="445" customFormat="1" ht="47.25" customHeight="1">
      <c r="A415" s="245"/>
      <c r="B415" s="249"/>
      <c r="C415" s="245"/>
      <c r="D415" s="249"/>
      <c r="E415" s="249"/>
      <c r="F415" s="245"/>
      <c r="G415" s="245"/>
      <c r="H415" s="246"/>
      <c r="I415" s="246"/>
      <c r="J415" s="246"/>
      <c r="K415" s="246"/>
      <c r="L415" s="247"/>
      <c r="M415" s="247"/>
      <c r="N415" s="247"/>
      <c r="O415" s="247"/>
      <c r="P415" s="247"/>
      <c r="Q415" s="247"/>
      <c r="R415" s="247"/>
      <c r="S415" s="247"/>
      <c r="T415" s="247"/>
      <c r="U415" s="247"/>
      <c r="V415" s="247"/>
      <c r="W415" s="247"/>
      <c r="X415" s="247"/>
      <c r="Y415" s="247"/>
      <c r="Z415" s="247"/>
      <c r="AA415" s="247"/>
      <c r="AB415" s="247"/>
      <c r="AC415" s="247"/>
      <c r="AD415" s="247"/>
      <c r="AE415" s="247"/>
      <c r="AF415" s="247"/>
      <c r="AG415" s="247"/>
      <c r="AH415" s="247"/>
      <c r="AI415" s="247"/>
      <c r="AJ415" s="247"/>
      <c r="AK415" s="247"/>
      <c r="AL415" s="247"/>
      <c r="AM415" s="247"/>
      <c r="AN415" s="247"/>
      <c r="AO415" s="247"/>
      <c r="AP415" s="247"/>
      <c r="AQ415" s="247"/>
      <c r="AR415" s="247"/>
      <c r="AS415" s="247"/>
      <c r="AT415" s="248"/>
    </row>
    <row r="416" spans="1:46" s="445" customFormat="1" ht="47.25" customHeight="1">
      <c r="A416" s="245"/>
      <c r="B416" s="249"/>
      <c r="C416" s="245"/>
      <c r="D416" s="249"/>
      <c r="E416" s="249"/>
      <c r="F416" s="245"/>
      <c r="G416" s="245"/>
      <c r="H416" s="246"/>
      <c r="I416" s="246"/>
      <c r="J416" s="246"/>
      <c r="K416" s="246"/>
      <c r="L416" s="247"/>
      <c r="M416" s="247"/>
      <c r="N416" s="247"/>
      <c r="O416" s="247"/>
      <c r="P416" s="247"/>
      <c r="Q416" s="247"/>
      <c r="R416" s="247"/>
      <c r="S416" s="247"/>
      <c r="T416" s="247"/>
      <c r="U416" s="247"/>
      <c r="V416" s="247"/>
      <c r="W416" s="247"/>
      <c r="X416" s="247"/>
      <c r="Y416" s="247"/>
      <c r="Z416" s="247"/>
      <c r="AA416" s="247"/>
      <c r="AB416" s="247"/>
      <c r="AC416" s="247"/>
      <c r="AD416" s="247"/>
      <c r="AE416" s="247"/>
      <c r="AF416" s="247"/>
      <c r="AG416" s="247"/>
      <c r="AH416" s="247"/>
      <c r="AI416" s="247"/>
      <c r="AJ416" s="247"/>
      <c r="AK416" s="247"/>
      <c r="AL416" s="247"/>
      <c r="AM416" s="247"/>
      <c r="AN416" s="247"/>
      <c r="AO416" s="247"/>
      <c r="AP416" s="247"/>
      <c r="AQ416" s="247"/>
      <c r="AR416" s="247"/>
      <c r="AS416" s="247"/>
      <c r="AT416" s="248"/>
    </row>
    <row r="417" spans="1:46" s="445" customFormat="1" ht="47.25" customHeight="1">
      <c r="A417" s="245"/>
      <c r="B417" s="249"/>
      <c r="C417" s="245"/>
      <c r="D417" s="249"/>
      <c r="E417" s="249"/>
      <c r="F417" s="245"/>
      <c r="G417" s="245"/>
      <c r="H417" s="246"/>
      <c r="I417" s="246"/>
      <c r="J417" s="246"/>
      <c r="K417" s="246"/>
      <c r="L417" s="247"/>
      <c r="M417" s="247"/>
      <c r="N417" s="247"/>
      <c r="O417" s="247"/>
      <c r="P417" s="247"/>
      <c r="Q417" s="247"/>
      <c r="R417" s="247"/>
      <c r="S417" s="247"/>
      <c r="T417" s="247"/>
      <c r="U417" s="247"/>
      <c r="V417" s="247"/>
      <c r="W417" s="247"/>
      <c r="X417" s="247"/>
      <c r="Y417" s="247"/>
      <c r="Z417" s="247"/>
      <c r="AA417" s="247"/>
      <c r="AB417" s="247"/>
      <c r="AC417" s="247"/>
      <c r="AD417" s="247"/>
      <c r="AE417" s="247"/>
      <c r="AF417" s="247"/>
      <c r="AG417" s="247"/>
      <c r="AH417" s="247"/>
      <c r="AI417" s="247"/>
      <c r="AJ417" s="247"/>
      <c r="AK417" s="247"/>
      <c r="AL417" s="247"/>
      <c r="AM417" s="247"/>
      <c r="AN417" s="247"/>
      <c r="AO417" s="247"/>
      <c r="AP417" s="247"/>
      <c r="AQ417" s="247"/>
      <c r="AR417" s="247"/>
      <c r="AS417" s="247"/>
      <c r="AT417" s="248"/>
    </row>
    <row r="418" spans="1:46" s="445" customFormat="1" ht="47.25" customHeight="1">
      <c r="A418" s="245"/>
      <c r="B418" s="249"/>
      <c r="C418" s="245"/>
      <c r="D418" s="249"/>
      <c r="E418" s="249"/>
      <c r="F418" s="245"/>
      <c r="G418" s="245"/>
      <c r="H418" s="246"/>
      <c r="I418" s="246"/>
      <c r="J418" s="246"/>
      <c r="K418" s="246"/>
      <c r="L418" s="247"/>
      <c r="M418" s="247"/>
      <c r="N418" s="247"/>
      <c r="O418" s="247"/>
      <c r="P418" s="247"/>
      <c r="Q418" s="247"/>
      <c r="R418" s="247"/>
      <c r="S418" s="247"/>
      <c r="T418" s="247"/>
      <c r="U418" s="247"/>
      <c r="V418" s="247"/>
      <c r="W418" s="247"/>
      <c r="X418" s="247"/>
      <c r="Y418" s="247"/>
      <c r="Z418" s="247"/>
      <c r="AA418" s="247"/>
      <c r="AB418" s="247"/>
      <c r="AC418" s="247"/>
      <c r="AD418" s="247"/>
      <c r="AE418" s="247"/>
      <c r="AF418" s="247"/>
      <c r="AG418" s="247"/>
      <c r="AH418" s="247"/>
      <c r="AI418" s="247"/>
      <c r="AJ418" s="247"/>
      <c r="AK418" s="247"/>
      <c r="AL418" s="247"/>
      <c r="AM418" s="247"/>
      <c r="AN418" s="247"/>
      <c r="AO418" s="247"/>
      <c r="AP418" s="247"/>
      <c r="AQ418" s="247"/>
      <c r="AR418" s="247"/>
      <c r="AS418" s="247"/>
      <c r="AT418" s="248"/>
    </row>
    <row r="419" spans="1:46" s="445" customFormat="1" ht="47.25" customHeight="1">
      <c r="A419" s="245"/>
      <c r="B419" s="249"/>
      <c r="C419" s="245"/>
      <c r="D419" s="249"/>
      <c r="E419" s="249"/>
      <c r="F419" s="245"/>
      <c r="G419" s="245"/>
      <c r="H419" s="246"/>
      <c r="I419" s="246"/>
      <c r="J419" s="246"/>
      <c r="K419" s="246"/>
      <c r="L419" s="247"/>
      <c r="M419" s="247"/>
      <c r="N419" s="247"/>
      <c r="O419" s="247"/>
      <c r="P419" s="247"/>
      <c r="Q419" s="247"/>
      <c r="R419" s="247"/>
      <c r="S419" s="247"/>
      <c r="T419" s="247"/>
      <c r="U419" s="247"/>
      <c r="V419" s="247"/>
      <c r="W419" s="247"/>
      <c r="X419" s="247"/>
      <c r="Y419" s="247"/>
      <c r="Z419" s="247"/>
      <c r="AA419" s="247"/>
      <c r="AB419" s="247"/>
      <c r="AC419" s="247"/>
      <c r="AD419" s="247"/>
      <c r="AE419" s="247"/>
      <c r="AF419" s="247"/>
      <c r="AG419" s="247"/>
      <c r="AH419" s="247"/>
      <c r="AI419" s="247"/>
      <c r="AJ419" s="247"/>
      <c r="AK419" s="247"/>
      <c r="AL419" s="247"/>
      <c r="AM419" s="247"/>
      <c r="AN419" s="247"/>
      <c r="AO419" s="247"/>
      <c r="AP419" s="247"/>
      <c r="AQ419" s="247"/>
      <c r="AR419" s="247"/>
      <c r="AS419" s="247"/>
      <c r="AT419" s="248"/>
    </row>
    <row r="420" spans="1:46" s="445" customFormat="1" ht="47.25" customHeight="1">
      <c r="A420" s="245"/>
      <c r="B420" s="249"/>
      <c r="C420" s="245"/>
      <c r="D420" s="249"/>
      <c r="E420" s="249"/>
      <c r="F420" s="245"/>
      <c r="G420" s="245"/>
      <c r="H420" s="246"/>
      <c r="I420" s="246"/>
      <c r="J420" s="246"/>
      <c r="K420" s="246"/>
      <c r="L420" s="247"/>
      <c r="M420" s="247"/>
      <c r="N420" s="247"/>
      <c r="O420" s="247"/>
      <c r="P420" s="247"/>
      <c r="Q420" s="247"/>
      <c r="R420" s="247"/>
      <c r="S420" s="247"/>
      <c r="T420" s="247"/>
      <c r="U420" s="247"/>
      <c r="V420" s="247"/>
      <c r="W420" s="247"/>
      <c r="X420" s="247"/>
      <c r="Y420" s="247"/>
      <c r="Z420" s="247"/>
      <c r="AA420" s="247"/>
      <c r="AB420" s="247"/>
      <c r="AC420" s="247"/>
      <c r="AD420" s="247"/>
      <c r="AE420" s="247"/>
      <c r="AF420" s="247"/>
      <c r="AG420" s="247"/>
      <c r="AH420" s="247"/>
      <c r="AI420" s="247"/>
      <c r="AJ420" s="247"/>
      <c r="AK420" s="247"/>
      <c r="AL420" s="247"/>
      <c r="AM420" s="247"/>
      <c r="AN420" s="247"/>
      <c r="AO420" s="247"/>
      <c r="AP420" s="247"/>
      <c r="AQ420" s="247"/>
      <c r="AR420" s="247"/>
      <c r="AS420" s="247"/>
      <c r="AT420" s="248"/>
    </row>
    <row r="421" spans="1:46" s="445" customFormat="1" ht="47.25" customHeight="1">
      <c r="A421" s="245"/>
      <c r="B421" s="249"/>
      <c r="C421" s="245"/>
      <c r="D421" s="249"/>
      <c r="E421" s="249"/>
      <c r="F421" s="245"/>
      <c r="G421" s="245"/>
      <c r="H421" s="246"/>
      <c r="I421" s="246"/>
      <c r="J421" s="246"/>
      <c r="K421" s="246"/>
      <c r="L421" s="247"/>
      <c r="M421" s="247"/>
      <c r="N421" s="247"/>
      <c r="O421" s="247"/>
      <c r="P421" s="247"/>
      <c r="Q421" s="247"/>
      <c r="R421" s="247"/>
      <c r="S421" s="247"/>
      <c r="T421" s="247"/>
      <c r="U421" s="247"/>
      <c r="V421" s="247"/>
      <c r="W421" s="247"/>
      <c r="X421" s="247"/>
      <c r="Y421" s="247"/>
      <c r="Z421" s="247"/>
      <c r="AA421" s="247"/>
      <c r="AB421" s="247"/>
      <c r="AC421" s="247"/>
      <c r="AD421" s="247"/>
      <c r="AE421" s="247"/>
      <c r="AF421" s="247"/>
      <c r="AG421" s="247"/>
      <c r="AH421" s="247"/>
      <c r="AI421" s="247"/>
      <c r="AJ421" s="247"/>
      <c r="AK421" s="247"/>
      <c r="AL421" s="247"/>
      <c r="AM421" s="247"/>
      <c r="AN421" s="247"/>
      <c r="AO421" s="247"/>
      <c r="AP421" s="247"/>
      <c r="AQ421" s="247"/>
      <c r="AR421" s="247"/>
      <c r="AS421" s="247"/>
      <c r="AT421" s="248"/>
    </row>
    <row r="422" spans="1:46" s="445" customFormat="1" ht="47.25" customHeight="1">
      <c r="A422" s="245"/>
      <c r="B422" s="249"/>
      <c r="C422" s="245"/>
      <c r="D422" s="249"/>
      <c r="E422" s="249"/>
      <c r="F422" s="245"/>
      <c r="G422" s="245"/>
      <c r="H422" s="246"/>
      <c r="I422" s="246"/>
      <c r="J422" s="246"/>
      <c r="K422" s="246"/>
      <c r="L422" s="247"/>
      <c r="M422" s="247"/>
      <c r="N422" s="247"/>
      <c r="O422" s="247"/>
      <c r="P422" s="247"/>
      <c r="Q422" s="247"/>
      <c r="R422" s="247"/>
      <c r="S422" s="247"/>
      <c r="T422" s="247"/>
      <c r="U422" s="247"/>
      <c r="V422" s="247"/>
      <c r="W422" s="247"/>
      <c r="X422" s="247"/>
      <c r="Y422" s="247"/>
      <c r="Z422" s="247"/>
      <c r="AA422" s="247"/>
      <c r="AB422" s="247"/>
      <c r="AC422" s="247"/>
      <c r="AD422" s="247"/>
      <c r="AE422" s="247"/>
      <c r="AF422" s="247"/>
      <c r="AG422" s="247"/>
      <c r="AH422" s="247"/>
      <c r="AI422" s="247"/>
      <c r="AJ422" s="247"/>
      <c r="AK422" s="247"/>
      <c r="AL422" s="247"/>
      <c r="AM422" s="247"/>
      <c r="AN422" s="247"/>
      <c r="AO422" s="247"/>
      <c r="AP422" s="247"/>
      <c r="AQ422" s="247"/>
      <c r="AR422" s="247"/>
      <c r="AS422" s="247"/>
      <c r="AT422" s="248"/>
    </row>
    <row r="423" spans="1:46" s="445" customFormat="1" ht="47.25" customHeight="1">
      <c r="A423" s="245"/>
      <c r="B423" s="249"/>
      <c r="C423" s="245"/>
      <c r="D423" s="249"/>
      <c r="E423" s="249"/>
      <c r="F423" s="245"/>
      <c r="G423" s="245"/>
      <c r="H423" s="246"/>
      <c r="I423" s="246"/>
      <c r="J423" s="246"/>
      <c r="K423" s="246"/>
      <c r="L423" s="247"/>
      <c r="M423" s="247"/>
      <c r="N423" s="247"/>
      <c r="O423" s="247"/>
      <c r="P423" s="247"/>
      <c r="Q423" s="247"/>
      <c r="R423" s="247"/>
      <c r="S423" s="247"/>
      <c r="T423" s="247"/>
      <c r="U423" s="247"/>
      <c r="V423" s="247"/>
      <c r="W423" s="247"/>
      <c r="X423" s="247"/>
      <c r="Y423" s="247"/>
      <c r="Z423" s="247"/>
      <c r="AA423" s="247"/>
      <c r="AB423" s="247"/>
      <c r="AC423" s="247"/>
      <c r="AD423" s="247"/>
      <c r="AE423" s="247"/>
      <c r="AF423" s="247"/>
      <c r="AG423" s="247"/>
      <c r="AH423" s="247"/>
      <c r="AI423" s="247"/>
      <c r="AJ423" s="247"/>
      <c r="AK423" s="247"/>
      <c r="AL423" s="247"/>
      <c r="AM423" s="247"/>
      <c r="AN423" s="247"/>
      <c r="AO423" s="247"/>
      <c r="AP423" s="247"/>
      <c r="AQ423" s="247"/>
      <c r="AR423" s="247"/>
      <c r="AS423" s="247"/>
      <c r="AT423" s="248"/>
    </row>
    <row r="424" spans="1:46" s="445" customFormat="1" ht="47.25" customHeight="1">
      <c r="A424" s="245"/>
      <c r="B424" s="249"/>
      <c r="C424" s="245"/>
      <c r="D424" s="249"/>
      <c r="E424" s="249"/>
      <c r="F424" s="245"/>
      <c r="G424" s="245"/>
      <c r="H424" s="246"/>
      <c r="I424" s="246"/>
      <c r="J424" s="246"/>
      <c r="K424" s="246"/>
      <c r="L424" s="247"/>
      <c r="M424" s="247"/>
      <c r="N424" s="247"/>
      <c r="O424" s="247"/>
      <c r="P424" s="247"/>
      <c r="Q424" s="247"/>
      <c r="R424" s="247"/>
      <c r="S424" s="247"/>
      <c r="T424" s="247"/>
      <c r="U424" s="247"/>
      <c r="V424" s="247"/>
      <c r="W424" s="247"/>
      <c r="X424" s="247"/>
      <c r="Y424" s="247"/>
      <c r="Z424" s="247"/>
      <c r="AA424" s="247"/>
      <c r="AB424" s="247"/>
      <c r="AC424" s="247"/>
      <c r="AD424" s="247"/>
      <c r="AE424" s="247"/>
      <c r="AF424" s="247"/>
      <c r="AG424" s="247"/>
      <c r="AH424" s="247"/>
      <c r="AI424" s="247"/>
      <c r="AJ424" s="247"/>
      <c r="AK424" s="247"/>
      <c r="AL424" s="247"/>
      <c r="AM424" s="247"/>
      <c r="AN424" s="247"/>
      <c r="AO424" s="247"/>
      <c r="AP424" s="247"/>
      <c r="AQ424" s="247"/>
      <c r="AR424" s="247"/>
      <c r="AS424" s="247"/>
      <c r="AT424" s="248"/>
    </row>
    <row r="425" spans="1:46" s="445" customFormat="1" ht="47.25" customHeight="1">
      <c r="A425" s="245"/>
      <c r="B425" s="249"/>
      <c r="C425" s="245"/>
      <c r="D425" s="249"/>
      <c r="E425" s="249"/>
      <c r="F425" s="245"/>
      <c r="G425" s="245"/>
      <c r="H425" s="246"/>
      <c r="I425" s="246"/>
      <c r="J425" s="246"/>
      <c r="K425" s="246"/>
      <c r="L425" s="247"/>
      <c r="M425" s="247"/>
      <c r="N425" s="247"/>
      <c r="O425" s="247"/>
      <c r="P425" s="247"/>
      <c r="Q425" s="247"/>
      <c r="R425" s="247"/>
      <c r="S425" s="247"/>
      <c r="T425" s="247"/>
      <c r="U425" s="247"/>
      <c r="V425" s="247"/>
      <c r="W425" s="247"/>
      <c r="X425" s="247"/>
      <c r="Y425" s="247"/>
      <c r="Z425" s="247"/>
      <c r="AA425" s="247"/>
      <c r="AB425" s="247"/>
      <c r="AC425" s="247"/>
      <c r="AD425" s="247"/>
      <c r="AE425" s="247"/>
      <c r="AF425" s="247"/>
      <c r="AG425" s="247"/>
      <c r="AH425" s="247"/>
      <c r="AI425" s="247"/>
      <c r="AJ425" s="247"/>
      <c r="AK425" s="247"/>
      <c r="AL425" s="247"/>
      <c r="AM425" s="247"/>
      <c r="AN425" s="247"/>
      <c r="AO425" s="247"/>
      <c r="AP425" s="247"/>
      <c r="AQ425" s="247"/>
      <c r="AR425" s="247"/>
      <c r="AS425" s="247"/>
      <c r="AT425" s="248"/>
    </row>
    <row r="426" spans="1:46" s="445" customFormat="1" ht="47.25" customHeight="1">
      <c r="A426" s="245"/>
      <c r="B426" s="249"/>
      <c r="C426" s="245"/>
      <c r="D426" s="249"/>
      <c r="E426" s="249"/>
      <c r="F426" s="245"/>
      <c r="G426" s="245"/>
      <c r="H426" s="246"/>
      <c r="I426" s="246"/>
      <c r="J426" s="246"/>
      <c r="K426" s="246"/>
      <c r="L426" s="247"/>
      <c r="M426" s="247"/>
      <c r="N426" s="247"/>
      <c r="O426" s="247"/>
      <c r="P426" s="247"/>
      <c r="Q426" s="247"/>
      <c r="R426" s="247"/>
      <c r="S426" s="247"/>
      <c r="T426" s="247"/>
      <c r="U426" s="247"/>
      <c r="V426" s="247"/>
      <c r="W426" s="247"/>
      <c r="X426" s="247"/>
      <c r="Y426" s="247"/>
      <c r="Z426" s="247"/>
      <c r="AA426" s="247"/>
      <c r="AB426" s="247"/>
      <c r="AC426" s="247"/>
      <c r="AD426" s="247"/>
      <c r="AE426" s="247"/>
      <c r="AF426" s="247"/>
      <c r="AG426" s="247"/>
      <c r="AH426" s="247"/>
      <c r="AI426" s="247"/>
      <c r="AJ426" s="247"/>
      <c r="AK426" s="247"/>
      <c r="AL426" s="247"/>
      <c r="AM426" s="247"/>
      <c r="AN426" s="247"/>
      <c r="AO426" s="247"/>
      <c r="AP426" s="247"/>
      <c r="AQ426" s="247"/>
      <c r="AR426" s="247"/>
      <c r="AS426" s="247"/>
      <c r="AT426" s="248"/>
    </row>
    <row r="427" spans="1:46" s="445" customFormat="1" ht="47.25" customHeight="1">
      <c r="A427" s="245"/>
      <c r="B427" s="249"/>
      <c r="C427" s="245"/>
      <c r="D427" s="249"/>
      <c r="E427" s="249"/>
      <c r="F427" s="245"/>
      <c r="G427" s="245"/>
      <c r="H427" s="246"/>
      <c r="I427" s="246"/>
      <c r="J427" s="246"/>
      <c r="K427" s="246"/>
      <c r="L427" s="247"/>
      <c r="M427" s="247"/>
      <c r="N427" s="247"/>
      <c r="O427" s="247"/>
      <c r="P427" s="247"/>
      <c r="Q427" s="247"/>
      <c r="R427" s="247"/>
      <c r="S427" s="247"/>
      <c r="T427" s="247"/>
      <c r="U427" s="247"/>
      <c r="V427" s="247"/>
      <c r="W427" s="247"/>
      <c r="X427" s="247"/>
      <c r="Y427" s="247"/>
      <c r="Z427" s="247"/>
      <c r="AA427" s="247"/>
      <c r="AB427" s="247"/>
      <c r="AC427" s="247"/>
      <c r="AD427" s="247"/>
      <c r="AE427" s="247"/>
      <c r="AF427" s="247"/>
      <c r="AG427" s="247"/>
      <c r="AH427" s="247"/>
      <c r="AI427" s="247"/>
      <c r="AJ427" s="247"/>
      <c r="AK427" s="247"/>
      <c r="AL427" s="247"/>
      <c r="AM427" s="247"/>
      <c r="AN427" s="247"/>
      <c r="AO427" s="247"/>
      <c r="AP427" s="247"/>
      <c r="AQ427" s="247"/>
      <c r="AR427" s="247"/>
      <c r="AS427" s="247"/>
      <c r="AT427" s="248"/>
    </row>
    <row r="428" spans="1:46" s="445" customFormat="1" ht="47.25" customHeight="1">
      <c r="A428" s="245"/>
      <c r="B428" s="249"/>
      <c r="C428" s="245"/>
      <c r="D428" s="249"/>
      <c r="E428" s="249"/>
      <c r="F428" s="245"/>
      <c r="G428" s="245"/>
      <c r="H428" s="246"/>
      <c r="I428" s="246"/>
      <c r="J428" s="246"/>
      <c r="K428" s="246"/>
      <c r="L428" s="247"/>
      <c r="M428" s="247"/>
      <c r="N428" s="247"/>
      <c r="O428" s="247"/>
      <c r="P428" s="247"/>
      <c r="Q428" s="247"/>
      <c r="R428" s="247"/>
      <c r="S428" s="247"/>
      <c r="T428" s="247"/>
      <c r="U428" s="247"/>
      <c r="V428" s="247"/>
      <c r="W428" s="247"/>
      <c r="X428" s="247"/>
      <c r="Y428" s="247"/>
      <c r="Z428" s="247"/>
      <c r="AA428" s="247"/>
      <c r="AB428" s="247"/>
      <c r="AC428" s="247"/>
      <c r="AD428" s="247"/>
      <c r="AE428" s="247"/>
      <c r="AF428" s="247"/>
      <c r="AG428" s="247"/>
      <c r="AH428" s="247"/>
      <c r="AI428" s="247"/>
      <c r="AJ428" s="247"/>
      <c r="AK428" s="247"/>
      <c r="AL428" s="247"/>
      <c r="AM428" s="247"/>
      <c r="AN428" s="247"/>
      <c r="AO428" s="247"/>
      <c r="AP428" s="247"/>
      <c r="AQ428" s="247"/>
      <c r="AR428" s="247"/>
      <c r="AS428" s="247"/>
      <c r="AT428" s="248"/>
    </row>
    <row r="429" spans="1:46" s="445" customFormat="1" ht="47.25" customHeight="1">
      <c r="A429" s="245"/>
      <c r="B429" s="249"/>
      <c r="C429" s="245"/>
      <c r="D429" s="249"/>
      <c r="E429" s="249"/>
      <c r="F429" s="245"/>
      <c r="G429" s="245"/>
      <c r="H429" s="246"/>
      <c r="I429" s="246"/>
      <c r="J429" s="246"/>
      <c r="K429" s="246"/>
      <c r="L429" s="247"/>
      <c r="M429" s="247"/>
      <c r="N429" s="247"/>
      <c r="O429" s="247"/>
      <c r="P429" s="247"/>
      <c r="Q429" s="247"/>
      <c r="R429" s="247"/>
      <c r="S429" s="247"/>
      <c r="T429" s="247"/>
      <c r="U429" s="247"/>
      <c r="V429" s="247"/>
      <c r="W429" s="247"/>
      <c r="X429" s="247"/>
      <c r="Y429" s="247"/>
      <c r="Z429" s="247"/>
      <c r="AA429" s="247"/>
      <c r="AB429" s="247"/>
      <c r="AC429" s="247"/>
      <c r="AD429" s="247"/>
      <c r="AE429" s="247"/>
      <c r="AF429" s="247"/>
      <c r="AG429" s="247"/>
      <c r="AH429" s="247"/>
      <c r="AI429" s="247"/>
      <c r="AJ429" s="247"/>
      <c r="AK429" s="247"/>
      <c r="AL429" s="247"/>
      <c r="AM429" s="247"/>
      <c r="AN429" s="247"/>
      <c r="AO429" s="247"/>
      <c r="AP429" s="247"/>
      <c r="AQ429" s="247"/>
      <c r="AR429" s="247"/>
      <c r="AS429" s="247"/>
      <c r="AT429" s="248"/>
    </row>
    <row r="430" spans="1:46" s="445" customFormat="1" ht="47.25" customHeight="1">
      <c r="A430" s="245"/>
      <c r="B430" s="249"/>
      <c r="C430" s="245"/>
      <c r="D430" s="249"/>
      <c r="E430" s="249"/>
      <c r="F430" s="245"/>
      <c r="G430" s="245"/>
      <c r="H430" s="246"/>
      <c r="I430" s="246"/>
      <c r="J430" s="246"/>
      <c r="K430" s="246"/>
      <c r="L430" s="247"/>
      <c r="M430" s="247"/>
      <c r="N430" s="247"/>
      <c r="O430" s="247"/>
      <c r="P430" s="247"/>
      <c r="Q430" s="247"/>
      <c r="R430" s="247"/>
      <c r="S430" s="247"/>
      <c r="T430" s="247"/>
      <c r="U430" s="247"/>
      <c r="V430" s="247"/>
      <c r="W430" s="247"/>
      <c r="X430" s="247"/>
      <c r="Y430" s="247"/>
      <c r="Z430" s="247"/>
      <c r="AA430" s="247"/>
      <c r="AB430" s="247"/>
      <c r="AC430" s="247"/>
      <c r="AD430" s="247"/>
      <c r="AE430" s="247"/>
      <c r="AF430" s="247"/>
      <c r="AG430" s="247"/>
      <c r="AH430" s="247"/>
      <c r="AI430" s="247"/>
      <c r="AJ430" s="247"/>
      <c r="AK430" s="247"/>
      <c r="AL430" s="247"/>
      <c r="AM430" s="247"/>
      <c r="AN430" s="247"/>
      <c r="AO430" s="247"/>
      <c r="AP430" s="247"/>
      <c r="AQ430" s="247"/>
      <c r="AR430" s="247"/>
      <c r="AS430" s="247"/>
      <c r="AT430" s="248"/>
    </row>
    <row r="431" spans="1:46" s="445" customFormat="1" ht="47.25" customHeight="1">
      <c r="A431" s="245"/>
      <c r="B431" s="249"/>
      <c r="C431" s="245"/>
      <c r="D431" s="249"/>
      <c r="E431" s="249"/>
      <c r="F431" s="245"/>
      <c r="G431" s="245"/>
      <c r="H431" s="246"/>
      <c r="I431" s="246"/>
      <c r="J431" s="246"/>
      <c r="K431" s="246"/>
      <c r="L431" s="247"/>
      <c r="M431" s="247"/>
      <c r="N431" s="247"/>
      <c r="O431" s="247"/>
      <c r="P431" s="247"/>
      <c r="Q431" s="247"/>
      <c r="R431" s="247"/>
      <c r="S431" s="247"/>
      <c r="T431" s="247"/>
      <c r="U431" s="247"/>
      <c r="V431" s="247"/>
      <c r="W431" s="247"/>
      <c r="X431" s="247"/>
      <c r="Y431" s="247"/>
      <c r="Z431" s="247"/>
      <c r="AA431" s="247"/>
      <c r="AB431" s="247"/>
      <c r="AC431" s="247"/>
      <c r="AD431" s="247"/>
      <c r="AE431" s="247"/>
      <c r="AF431" s="247"/>
      <c r="AG431" s="247"/>
      <c r="AH431" s="247"/>
      <c r="AI431" s="247"/>
      <c r="AJ431" s="247"/>
      <c r="AK431" s="247"/>
      <c r="AL431" s="247"/>
      <c r="AM431" s="247"/>
      <c r="AN431" s="247"/>
      <c r="AO431" s="247"/>
      <c r="AP431" s="247"/>
      <c r="AQ431" s="247"/>
      <c r="AR431" s="247"/>
      <c r="AS431" s="247"/>
      <c r="AT431" s="248"/>
    </row>
    <row r="432" spans="1:46" s="445" customFormat="1" ht="47.25" customHeight="1">
      <c r="A432" s="245"/>
      <c r="B432" s="249"/>
      <c r="C432" s="245"/>
      <c r="D432" s="249"/>
      <c r="E432" s="249"/>
      <c r="F432" s="245"/>
      <c r="G432" s="245"/>
      <c r="H432" s="246"/>
      <c r="I432" s="246"/>
      <c r="J432" s="246"/>
      <c r="K432" s="246"/>
      <c r="L432" s="247"/>
      <c r="M432" s="247"/>
      <c r="N432" s="247"/>
      <c r="O432" s="247"/>
      <c r="P432" s="247"/>
      <c r="Q432" s="247"/>
      <c r="R432" s="247"/>
      <c r="S432" s="247"/>
      <c r="T432" s="247"/>
      <c r="U432" s="247"/>
      <c r="V432" s="247"/>
      <c r="W432" s="247"/>
      <c r="X432" s="247"/>
      <c r="Y432" s="247"/>
      <c r="Z432" s="247"/>
      <c r="AA432" s="247"/>
      <c r="AB432" s="247"/>
      <c r="AC432" s="247"/>
      <c r="AD432" s="247"/>
      <c r="AE432" s="247"/>
      <c r="AF432" s="247"/>
      <c r="AG432" s="247"/>
      <c r="AH432" s="247"/>
      <c r="AI432" s="247"/>
      <c r="AJ432" s="247"/>
      <c r="AK432" s="247"/>
      <c r="AL432" s="247"/>
      <c r="AM432" s="247"/>
      <c r="AN432" s="247"/>
      <c r="AO432" s="247"/>
      <c r="AP432" s="247"/>
      <c r="AQ432" s="247"/>
      <c r="AR432" s="247"/>
      <c r="AS432" s="247"/>
      <c r="AT432" s="248"/>
    </row>
    <row r="433" spans="1:46" s="445" customFormat="1" ht="47.25" customHeight="1">
      <c r="A433" s="245"/>
      <c r="B433" s="249"/>
      <c r="C433" s="245"/>
      <c r="D433" s="249"/>
      <c r="E433" s="249"/>
      <c r="F433" s="245"/>
      <c r="G433" s="245"/>
      <c r="H433" s="246"/>
      <c r="I433" s="246"/>
      <c r="J433" s="246"/>
      <c r="K433" s="246"/>
      <c r="L433" s="247"/>
      <c r="M433" s="247"/>
      <c r="N433" s="247"/>
      <c r="O433" s="247"/>
      <c r="P433" s="247"/>
      <c r="Q433" s="247"/>
      <c r="R433" s="247"/>
      <c r="S433" s="247"/>
      <c r="T433" s="247"/>
      <c r="U433" s="247"/>
      <c r="V433" s="247"/>
      <c r="W433" s="247"/>
      <c r="X433" s="247"/>
      <c r="Y433" s="247"/>
      <c r="Z433" s="247"/>
      <c r="AA433" s="247"/>
      <c r="AB433" s="247"/>
      <c r="AC433" s="247"/>
      <c r="AD433" s="247"/>
      <c r="AE433" s="247"/>
      <c r="AF433" s="247"/>
      <c r="AG433" s="247"/>
      <c r="AH433" s="247"/>
      <c r="AI433" s="247"/>
      <c r="AJ433" s="247"/>
      <c r="AK433" s="247"/>
      <c r="AL433" s="247"/>
      <c r="AM433" s="247"/>
      <c r="AN433" s="247"/>
      <c r="AO433" s="247"/>
      <c r="AP433" s="247"/>
      <c r="AQ433" s="247"/>
      <c r="AR433" s="247"/>
      <c r="AS433" s="247"/>
      <c r="AT433" s="248"/>
    </row>
    <row r="434" spans="1:46" s="445" customFormat="1" ht="47.25" customHeight="1">
      <c r="A434" s="245"/>
      <c r="B434" s="249"/>
      <c r="C434" s="245"/>
      <c r="D434" s="249"/>
      <c r="E434" s="249"/>
      <c r="F434" s="245"/>
      <c r="G434" s="245"/>
      <c r="H434" s="246"/>
      <c r="I434" s="246"/>
      <c r="J434" s="246"/>
      <c r="K434" s="246"/>
      <c r="L434" s="247"/>
      <c r="M434" s="247"/>
      <c r="N434" s="247"/>
      <c r="O434" s="247"/>
      <c r="P434" s="247"/>
      <c r="Q434" s="247"/>
      <c r="R434" s="247"/>
      <c r="S434" s="247"/>
      <c r="T434" s="247"/>
      <c r="U434" s="247"/>
      <c r="V434" s="247"/>
      <c r="W434" s="247"/>
      <c r="X434" s="247"/>
      <c r="Y434" s="247"/>
      <c r="Z434" s="247"/>
      <c r="AA434" s="247"/>
      <c r="AB434" s="247"/>
      <c r="AC434" s="247"/>
      <c r="AD434" s="247"/>
      <c r="AE434" s="247"/>
      <c r="AF434" s="247"/>
      <c r="AG434" s="247"/>
      <c r="AH434" s="247"/>
      <c r="AI434" s="247"/>
      <c r="AJ434" s="247"/>
      <c r="AK434" s="247"/>
      <c r="AL434" s="247"/>
      <c r="AM434" s="247"/>
      <c r="AN434" s="247"/>
      <c r="AO434" s="247"/>
      <c r="AP434" s="247"/>
      <c r="AQ434" s="247"/>
      <c r="AR434" s="247"/>
      <c r="AS434" s="247"/>
      <c r="AT434" s="248"/>
    </row>
    <row r="435" spans="1:46" s="445" customFormat="1" ht="47.25" customHeight="1">
      <c r="A435" s="245"/>
      <c r="B435" s="249"/>
      <c r="C435" s="245"/>
      <c r="D435" s="249"/>
      <c r="E435" s="249"/>
      <c r="F435" s="245"/>
      <c r="G435" s="245"/>
      <c r="H435" s="246"/>
      <c r="I435" s="246"/>
      <c r="J435" s="246"/>
      <c r="K435" s="246"/>
      <c r="L435" s="247"/>
      <c r="M435" s="247"/>
      <c r="N435" s="247"/>
      <c r="O435" s="247"/>
      <c r="P435" s="247"/>
      <c r="Q435" s="247"/>
      <c r="R435" s="247"/>
      <c r="S435" s="247"/>
      <c r="T435" s="247"/>
      <c r="U435" s="247"/>
      <c r="V435" s="247"/>
      <c r="W435" s="247"/>
      <c r="X435" s="247"/>
      <c r="Y435" s="247"/>
      <c r="Z435" s="247"/>
      <c r="AA435" s="247"/>
      <c r="AB435" s="247"/>
      <c r="AC435" s="247"/>
      <c r="AD435" s="247"/>
      <c r="AE435" s="247"/>
      <c r="AF435" s="247"/>
      <c r="AG435" s="247"/>
      <c r="AH435" s="247"/>
      <c r="AI435" s="247"/>
      <c r="AJ435" s="247"/>
      <c r="AK435" s="247"/>
      <c r="AL435" s="247"/>
      <c r="AM435" s="247"/>
      <c r="AN435" s="247"/>
      <c r="AO435" s="247"/>
      <c r="AP435" s="247"/>
      <c r="AQ435" s="247"/>
      <c r="AR435" s="247"/>
      <c r="AS435" s="247"/>
      <c r="AT435" s="248"/>
    </row>
    <row r="436" spans="1:46" s="445" customFormat="1" ht="47.25" customHeight="1">
      <c r="A436" s="245"/>
      <c r="B436" s="249"/>
      <c r="C436" s="245"/>
      <c r="D436" s="249"/>
      <c r="E436" s="249"/>
      <c r="F436" s="245"/>
      <c r="G436" s="245"/>
      <c r="H436" s="246"/>
      <c r="I436" s="246"/>
      <c r="J436" s="246"/>
      <c r="K436" s="246"/>
      <c r="L436" s="247"/>
      <c r="M436" s="247"/>
      <c r="N436" s="247"/>
      <c r="O436" s="247"/>
      <c r="P436" s="247"/>
      <c r="Q436" s="247"/>
      <c r="R436" s="247"/>
      <c r="S436" s="247"/>
      <c r="T436" s="247"/>
      <c r="U436" s="247"/>
      <c r="V436" s="247"/>
      <c r="W436" s="247"/>
      <c r="X436" s="247"/>
      <c r="Y436" s="247"/>
      <c r="Z436" s="247"/>
      <c r="AA436" s="247"/>
      <c r="AB436" s="247"/>
      <c r="AC436" s="247"/>
      <c r="AD436" s="247"/>
      <c r="AE436" s="247"/>
      <c r="AF436" s="247"/>
      <c r="AG436" s="247"/>
      <c r="AH436" s="247"/>
      <c r="AI436" s="247"/>
      <c r="AJ436" s="247"/>
      <c r="AK436" s="247"/>
      <c r="AL436" s="247"/>
      <c r="AM436" s="247"/>
      <c r="AN436" s="247"/>
      <c r="AO436" s="247"/>
      <c r="AP436" s="247"/>
      <c r="AQ436" s="247"/>
      <c r="AR436" s="247"/>
      <c r="AS436" s="247"/>
      <c r="AT436" s="248"/>
    </row>
    <row r="437" spans="1:46" s="445" customFormat="1" ht="47.25" customHeight="1">
      <c r="A437" s="245"/>
      <c r="B437" s="249"/>
      <c r="C437" s="245"/>
      <c r="D437" s="249"/>
      <c r="E437" s="249"/>
      <c r="F437" s="245"/>
      <c r="G437" s="245"/>
      <c r="H437" s="246"/>
      <c r="I437" s="246"/>
      <c r="J437" s="246"/>
      <c r="K437" s="246"/>
      <c r="L437" s="247"/>
      <c r="M437" s="247"/>
      <c r="N437" s="247"/>
      <c r="O437" s="247"/>
      <c r="P437" s="247"/>
      <c r="Q437" s="247"/>
      <c r="R437" s="247"/>
      <c r="S437" s="247"/>
      <c r="T437" s="247"/>
      <c r="U437" s="247"/>
      <c r="V437" s="247"/>
      <c r="W437" s="247"/>
      <c r="X437" s="247"/>
      <c r="Y437" s="247"/>
      <c r="Z437" s="247"/>
      <c r="AA437" s="247"/>
      <c r="AB437" s="247"/>
      <c r="AC437" s="247"/>
      <c r="AD437" s="247"/>
      <c r="AE437" s="247"/>
      <c r="AF437" s="247"/>
      <c r="AG437" s="247"/>
      <c r="AH437" s="247"/>
      <c r="AI437" s="247"/>
      <c r="AJ437" s="247"/>
      <c r="AK437" s="247"/>
      <c r="AL437" s="247"/>
      <c r="AM437" s="247"/>
      <c r="AN437" s="247"/>
      <c r="AO437" s="247"/>
      <c r="AP437" s="247"/>
      <c r="AQ437" s="247"/>
      <c r="AR437" s="247"/>
      <c r="AS437" s="247"/>
      <c r="AT437" s="248"/>
    </row>
    <row r="438" spans="1:46" s="445" customFormat="1" ht="47.25" customHeight="1">
      <c r="A438" s="245"/>
      <c r="B438" s="249"/>
      <c r="C438" s="245"/>
      <c r="D438" s="249"/>
      <c r="E438" s="249"/>
      <c r="F438" s="245"/>
      <c r="G438" s="245"/>
      <c r="H438" s="246"/>
      <c r="I438" s="246"/>
      <c r="J438" s="246"/>
      <c r="K438" s="246"/>
      <c r="L438" s="247"/>
      <c r="M438" s="247"/>
      <c r="N438" s="247"/>
      <c r="O438" s="247"/>
      <c r="P438" s="247"/>
      <c r="Q438" s="247"/>
      <c r="R438" s="247"/>
      <c r="S438" s="247"/>
      <c r="T438" s="247"/>
      <c r="U438" s="247"/>
      <c r="V438" s="247"/>
      <c r="W438" s="247"/>
      <c r="X438" s="247"/>
      <c r="Y438" s="247"/>
      <c r="Z438" s="247"/>
      <c r="AA438" s="247"/>
      <c r="AB438" s="247"/>
      <c r="AC438" s="247"/>
      <c r="AD438" s="247"/>
      <c r="AE438" s="247"/>
      <c r="AF438" s="247"/>
      <c r="AG438" s="247"/>
      <c r="AH438" s="247"/>
      <c r="AI438" s="247"/>
      <c r="AJ438" s="247"/>
      <c r="AK438" s="247"/>
      <c r="AL438" s="247"/>
      <c r="AM438" s="247"/>
      <c r="AN438" s="247"/>
      <c r="AO438" s="247"/>
      <c r="AP438" s="247"/>
      <c r="AQ438" s="247"/>
      <c r="AR438" s="247"/>
      <c r="AS438" s="247"/>
      <c r="AT438" s="248"/>
    </row>
    <row r="439" spans="1:46" s="445" customFormat="1" ht="47.25" customHeight="1">
      <c r="A439" s="245"/>
      <c r="B439" s="249"/>
      <c r="C439" s="245"/>
      <c r="D439" s="249"/>
      <c r="E439" s="249"/>
      <c r="F439" s="245"/>
      <c r="G439" s="245"/>
      <c r="H439" s="246"/>
      <c r="I439" s="246"/>
      <c r="J439" s="246"/>
      <c r="K439" s="246"/>
      <c r="L439" s="247"/>
      <c r="M439" s="247"/>
      <c r="N439" s="247"/>
      <c r="O439" s="247"/>
      <c r="P439" s="247"/>
      <c r="Q439" s="247"/>
      <c r="R439" s="247"/>
      <c r="S439" s="247"/>
      <c r="T439" s="247"/>
      <c r="U439" s="247"/>
      <c r="V439" s="247"/>
      <c r="W439" s="247"/>
      <c r="X439" s="247"/>
      <c r="Y439" s="247"/>
      <c r="Z439" s="247"/>
      <c r="AA439" s="247"/>
      <c r="AB439" s="247"/>
      <c r="AC439" s="247"/>
      <c r="AD439" s="247"/>
      <c r="AE439" s="247"/>
      <c r="AF439" s="247"/>
      <c r="AG439" s="247"/>
      <c r="AH439" s="247"/>
      <c r="AI439" s="247"/>
      <c r="AJ439" s="247"/>
      <c r="AK439" s="247"/>
      <c r="AL439" s="247"/>
      <c r="AM439" s="247"/>
      <c r="AN439" s="247"/>
      <c r="AO439" s="247"/>
      <c r="AP439" s="247"/>
      <c r="AQ439" s="247"/>
      <c r="AR439" s="247"/>
      <c r="AS439" s="247"/>
      <c r="AT439" s="248"/>
    </row>
    <row r="440" spans="1:46" s="445" customFormat="1" ht="47.25" customHeight="1">
      <c r="A440" s="245"/>
      <c r="B440" s="249"/>
      <c r="C440" s="245"/>
      <c r="D440" s="249"/>
      <c r="E440" s="249"/>
      <c r="F440" s="245"/>
      <c r="G440" s="245"/>
      <c r="H440" s="246"/>
      <c r="I440" s="246"/>
      <c r="J440" s="246"/>
      <c r="K440" s="246"/>
      <c r="L440" s="247"/>
      <c r="M440" s="247"/>
      <c r="N440" s="247"/>
      <c r="O440" s="247"/>
      <c r="P440" s="247"/>
      <c r="Q440" s="247"/>
      <c r="R440" s="247"/>
      <c r="S440" s="247"/>
      <c r="T440" s="247"/>
      <c r="U440" s="247"/>
      <c r="V440" s="247"/>
      <c r="W440" s="247"/>
      <c r="X440" s="247"/>
      <c r="Y440" s="247"/>
      <c r="Z440" s="247"/>
      <c r="AA440" s="247"/>
      <c r="AB440" s="247"/>
      <c r="AC440" s="247"/>
      <c r="AD440" s="247"/>
      <c r="AE440" s="247"/>
      <c r="AF440" s="247"/>
      <c r="AG440" s="247"/>
      <c r="AH440" s="247"/>
      <c r="AI440" s="247"/>
      <c r="AJ440" s="247"/>
      <c r="AK440" s="247"/>
      <c r="AL440" s="247"/>
      <c r="AM440" s="247"/>
      <c r="AN440" s="247"/>
      <c r="AO440" s="247"/>
      <c r="AP440" s="247"/>
      <c r="AQ440" s="247"/>
      <c r="AR440" s="247"/>
      <c r="AS440" s="247"/>
      <c r="AT440" s="248"/>
    </row>
    <row r="441" spans="1:46" s="445" customFormat="1" ht="47.25" customHeight="1">
      <c r="A441" s="245"/>
      <c r="B441" s="249"/>
      <c r="C441" s="245"/>
      <c r="D441" s="249"/>
      <c r="E441" s="249"/>
      <c r="F441" s="245"/>
      <c r="G441" s="245"/>
      <c r="H441" s="246"/>
      <c r="I441" s="246"/>
      <c r="J441" s="246"/>
      <c r="K441" s="246"/>
      <c r="L441" s="247"/>
      <c r="M441" s="247"/>
      <c r="N441" s="247"/>
      <c r="O441" s="247"/>
      <c r="P441" s="247"/>
      <c r="Q441" s="247"/>
      <c r="R441" s="247"/>
      <c r="S441" s="247"/>
      <c r="T441" s="247"/>
      <c r="U441" s="247"/>
      <c r="V441" s="247"/>
      <c r="W441" s="247"/>
      <c r="X441" s="247"/>
      <c r="Y441" s="247"/>
      <c r="Z441" s="247"/>
      <c r="AA441" s="247"/>
      <c r="AB441" s="247"/>
      <c r="AC441" s="247"/>
      <c r="AD441" s="247"/>
      <c r="AE441" s="247"/>
      <c r="AF441" s="247"/>
      <c r="AG441" s="247"/>
      <c r="AH441" s="247"/>
      <c r="AI441" s="247"/>
      <c r="AJ441" s="247"/>
      <c r="AK441" s="247"/>
      <c r="AL441" s="247"/>
      <c r="AM441" s="247"/>
      <c r="AN441" s="247"/>
      <c r="AO441" s="247"/>
      <c r="AP441" s="247"/>
      <c r="AQ441" s="247"/>
      <c r="AR441" s="247"/>
      <c r="AS441" s="247"/>
      <c r="AT441" s="248"/>
    </row>
    <row r="442" spans="1:46" s="445" customFormat="1" ht="47.25" customHeight="1">
      <c r="A442" s="245"/>
      <c r="B442" s="249"/>
      <c r="C442" s="245"/>
      <c r="D442" s="249"/>
      <c r="E442" s="249"/>
      <c r="F442" s="245"/>
      <c r="G442" s="245"/>
      <c r="H442" s="246"/>
      <c r="I442" s="246"/>
      <c r="J442" s="246"/>
      <c r="K442" s="246"/>
      <c r="L442" s="247"/>
      <c r="M442" s="247"/>
      <c r="N442" s="247"/>
      <c r="O442" s="247"/>
      <c r="P442" s="247"/>
      <c r="Q442" s="247"/>
      <c r="R442" s="247"/>
      <c r="S442" s="247"/>
      <c r="T442" s="247"/>
      <c r="U442" s="247"/>
      <c r="V442" s="247"/>
      <c r="W442" s="247"/>
      <c r="X442" s="247"/>
      <c r="Y442" s="247"/>
      <c r="Z442" s="247"/>
      <c r="AA442" s="247"/>
      <c r="AB442" s="247"/>
      <c r="AC442" s="247"/>
      <c r="AD442" s="247"/>
      <c r="AE442" s="247"/>
      <c r="AF442" s="247"/>
      <c r="AG442" s="247"/>
      <c r="AH442" s="247"/>
      <c r="AI442" s="247"/>
      <c r="AJ442" s="247"/>
      <c r="AK442" s="247"/>
      <c r="AL442" s="247"/>
      <c r="AM442" s="247"/>
      <c r="AN442" s="247"/>
      <c r="AO442" s="247"/>
      <c r="AP442" s="247"/>
      <c r="AQ442" s="247"/>
      <c r="AR442" s="247"/>
      <c r="AS442" s="247"/>
      <c r="AT442" s="248"/>
    </row>
    <row r="443" spans="1:46" s="445" customFormat="1" ht="47.25" customHeight="1">
      <c r="A443" s="245"/>
      <c r="B443" s="249"/>
      <c r="C443" s="245"/>
      <c r="D443" s="249"/>
      <c r="E443" s="249"/>
      <c r="F443" s="245"/>
      <c r="G443" s="245"/>
      <c r="H443" s="246"/>
      <c r="I443" s="246"/>
      <c r="J443" s="246"/>
      <c r="K443" s="246"/>
      <c r="L443" s="247"/>
      <c r="M443" s="247"/>
      <c r="N443" s="247"/>
      <c r="O443" s="247"/>
      <c r="P443" s="247"/>
      <c r="Q443" s="247"/>
      <c r="R443" s="247"/>
      <c r="S443" s="247"/>
      <c r="T443" s="247"/>
      <c r="U443" s="247"/>
      <c r="V443" s="247"/>
      <c r="W443" s="247"/>
      <c r="X443" s="247"/>
      <c r="Y443" s="247"/>
      <c r="Z443" s="247"/>
      <c r="AA443" s="247"/>
      <c r="AB443" s="247"/>
      <c r="AC443" s="247"/>
      <c r="AD443" s="247"/>
      <c r="AE443" s="247"/>
      <c r="AF443" s="247"/>
      <c r="AG443" s="247"/>
      <c r="AH443" s="247"/>
      <c r="AI443" s="247"/>
      <c r="AJ443" s="247"/>
      <c r="AK443" s="247"/>
      <c r="AL443" s="247"/>
      <c r="AM443" s="247"/>
      <c r="AN443" s="247"/>
      <c r="AO443" s="247"/>
      <c r="AP443" s="247"/>
      <c r="AQ443" s="247"/>
      <c r="AR443" s="247"/>
      <c r="AS443" s="247"/>
      <c r="AT443" s="248"/>
    </row>
    <row r="444" spans="1:46" s="445" customFormat="1" ht="47.25" customHeight="1">
      <c r="A444" s="245"/>
      <c r="B444" s="249"/>
      <c r="C444" s="245"/>
      <c r="D444" s="249"/>
      <c r="E444" s="249"/>
      <c r="F444" s="245"/>
      <c r="G444" s="245"/>
      <c r="H444" s="246"/>
      <c r="I444" s="246"/>
      <c r="J444" s="246"/>
      <c r="K444" s="246"/>
      <c r="L444" s="247"/>
      <c r="M444" s="247"/>
      <c r="N444" s="247"/>
      <c r="O444" s="247"/>
      <c r="P444" s="247"/>
      <c r="Q444" s="247"/>
      <c r="R444" s="247"/>
      <c r="S444" s="247"/>
      <c r="T444" s="247"/>
      <c r="U444" s="247"/>
      <c r="V444" s="247"/>
      <c r="W444" s="247"/>
      <c r="X444" s="247"/>
      <c r="Y444" s="247"/>
      <c r="Z444" s="247"/>
      <c r="AA444" s="247"/>
      <c r="AB444" s="247"/>
      <c r="AC444" s="247"/>
      <c r="AD444" s="247"/>
      <c r="AE444" s="247"/>
      <c r="AF444" s="247"/>
      <c r="AG444" s="247"/>
      <c r="AH444" s="247"/>
      <c r="AI444" s="247"/>
      <c r="AJ444" s="247"/>
      <c r="AK444" s="247"/>
      <c r="AL444" s="247"/>
      <c r="AM444" s="247"/>
      <c r="AN444" s="247"/>
      <c r="AO444" s="247"/>
      <c r="AP444" s="247"/>
      <c r="AQ444" s="247"/>
      <c r="AR444" s="247"/>
      <c r="AS444" s="247"/>
      <c r="AT444" s="248"/>
    </row>
    <row r="445" spans="1:46" s="445" customFormat="1" ht="47.25" customHeight="1">
      <c r="A445" s="245"/>
      <c r="B445" s="249"/>
      <c r="C445" s="245"/>
      <c r="D445" s="249"/>
      <c r="E445" s="249"/>
      <c r="F445" s="245"/>
      <c r="G445" s="245"/>
      <c r="H445" s="246"/>
      <c r="I445" s="246"/>
      <c r="J445" s="246"/>
      <c r="K445" s="246"/>
      <c r="L445" s="247"/>
      <c r="M445" s="247"/>
      <c r="N445" s="247"/>
      <c r="O445" s="247"/>
      <c r="P445" s="247"/>
      <c r="Q445" s="247"/>
      <c r="R445" s="247"/>
      <c r="S445" s="247"/>
      <c r="T445" s="247"/>
      <c r="U445" s="247"/>
      <c r="V445" s="247"/>
      <c r="W445" s="247"/>
      <c r="X445" s="247"/>
      <c r="Y445" s="247"/>
      <c r="Z445" s="247"/>
      <c r="AA445" s="247"/>
      <c r="AB445" s="247"/>
      <c r="AC445" s="247"/>
      <c r="AD445" s="247"/>
      <c r="AE445" s="247"/>
      <c r="AF445" s="247"/>
      <c r="AG445" s="247"/>
      <c r="AH445" s="247"/>
      <c r="AI445" s="247"/>
      <c r="AJ445" s="247"/>
      <c r="AK445" s="247"/>
      <c r="AL445" s="247"/>
      <c r="AM445" s="247"/>
      <c r="AN445" s="247"/>
      <c r="AO445" s="247"/>
      <c r="AP445" s="247"/>
      <c r="AQ445" s="247"/>
      <c r="AR445" s="247"/>
      <c r="AS445" s="247"/>
      <c r="AT445" s="248"/>
    </row>
    <row r="446" spans="1:46" s="445" customFormat="1" ht="47.25" customHeight="1">
      <c r="A446" s="245"/>
      <c r="B446" s="249"/>
      <c r="C446" s="245"/>
      <c r="D446" s="249"/>
      <c r="E446" s="249"/>
      <c r="F446" s="245"/>
      <c r="G446" s="245"/>
      <c r="H446" s="246"/>
      <c r="I446" s="246"/>
      <c r="J446" s="246"/>
      <c r="K446" s="246"/>
      <c r="L446" s="247"/>
      <c r="M446" s="247"/>
      <c r="N446" s="247"/>
      <c r="O446" s="247"/>
      <c r="P446" s="247"/>
      <c r="Q446" s="247"/>
      <c r="R446" s="247"/>
      <c r="S446" s="247"/>
      <c r="T446" s="247"/>
      <c r="U446" s="247"/>
      <c r="V446" s="247"/>
      <c r="W446" s="247"/>
      <c r="X446" s="247"/>
      <c r="Y446" s="247"/>
      <c r="Z446" s="247"/>
      <c r="AA446" s="247"/>
      <c r="AB446" s="247"/>
      <c r="AC446" s="247"/>
      <c r="AD446" s="247"/>
      <c r="AE446" s="247"/>
      <c r="AF446" s="247"/>
      <c r="AG446" s="247"/>
      <c r="AH446" s="247"/>
      <c r="AI446" s="247"/>
      <c r="AJ446" s="247"/>
      <c r="AK446" s="247"/>
      <c r="AL446" s="247"/>
      <c r="AM446" s="247"/>
      <c r="AN446" s="247"/>
      <c r="AO446" s="247"/>
      <c r="AP446" s="247"/>
      <c r="AQ446" s="247"/>
      <c r="AR446" s="247"/>
      <c r="AS446" s="247"/>
      <c r="AT446" s="248"/>
    </row>
    <row r="447" spans="1:46" s="445" customFormat="1" ht="47.25" customHeight="1">
      <c r="A447" s="245"/>
      <c r="B447" s="249"/>
      <c r="C447" s="245"/>
      <c r="D447" s="249"/>
      <c r="E447" s="249"/>
      <c r="F447" s="245"/>
      <c r="G447" s="245"/>
      <c r="H447" s="246"/>
      <c r="I447" s="246"/>
      <c r="J447" s="246"/>
      <c r="K447" s="246"/>
      <c r="L447" s="247"/>
      <c r="M447" s="247"/>
      <c r="N447" s="247"/>
      <c r="O447" s="247"/>
      <c r="P447" s="247"/>
      <c r="Q447" s="247"/>
      <c r="R447" s="247"/>
      <c r="S447" s="247"/>
      <c r="T447" s="247"/>
      <c r="U447" s="247"/>
      <c r="V447" s="247"/>
      <c r="W447" s="247"/>
      <c r="X447" s="247"/>
      <c r="Y447" s="247"/>
      <c r="Z447" s="247"/>
      <c r="AA447" s="247"/>
      <c r="AB447" s="247"/>
      <c r="AC447" s="247"/>
      <c r="AD447" s="247"/>
      <c r="AE447" s="247"/>
      <c r="AF447" s="247"/>
      <c r="AG447" s="247"/>
      <c r="AH447" s="247"/>
      <c r="AI447" s="247"/>
      <c r="AJ447" s="247"/>
      <c r="AK447" s="247"/>
      <c r="AL447" s="247"/>
      <c r="AM447" s="247"/>
      <c r="AN447" s="247"/>
      <c r="AO447" s="247"/>
      <c r="AP447" s="247"/>
      <c r="AQ447" s="247"/>
      <c r="AR447" s="247"/>
      <c r="AS447" s="247"/>
      <c r="AT447" s="248"/>
    </row>
    <row r="448" spans="1:46" s="445" customFormat="1" ht="47.25" customHeight="1">
      <c r="A448" s="245"/>
      <c r="B448" s="249"/>
      <c r="C448" s="245"/>
      <c r="D448" s="249"/>
      <c r="E448" s="249"/>
      <c r="F448" s="245"/>
      <c r="G448" s="245"/>
      <c r="H448" s="246"/>
      <c r="I448" s="246"/>
      <c r="J448" s="246"/>
      <c r="K448" s="246"/>
      <c r="L448" s="247"/>
      <c r="M448" s="247"/>
      <c r="N448" s="247"/>
      <c r="O448" s="247"/>
      <c r="P448" s="247"/>
      <c r="Q448" s="247"/>
      <c r="R448" s="247"/>
      <c r="S448" s="247"/>
      <c r="T448" s="247"/>
      <c r="U448" s="247"/>
      <c r="V448" s="247"/>
      <c r="W448" s="247"/>
      <c r="X448" s="247"/>
      <c r="Y448" s="247"/>
      <c r="Z448" s="247"/>
      <c r="AA448" s="247"/>
      <c r="AB448" s="247"/>
      <c r="AC448" s="247"/>
      <c r="AD448" s="247"/>
      <c r="AE448" s="247"/>
      <c r="AF448" s="247"/>
      <c r="AG448" s="247"/>
      <c r="AH448" s="247"/>
      <c r="AI448" s="247"/>
      <c r="AJ448" s="247"/>
      <c r="AK448" s="247"/>
      <c r="AL448" s="247"/>
      <c r="AM448" s="247"/>
      <c r="AN448" s="247"/>
      <c r="AO448" s="247"/>
      <c r="AP448" s="247"/>
      <c r="AQ448" s="247"/>
      <c r="AR448" s="247"/>
      <c r="AS448" s="247"/>
      <c r="AT448" s="248"/>
    </row>
    <row r="449" spans="1:46" s="445" customFormat="1" ht="47.25" customHeight="1">
      <c r="A449" s="245"/>
      <c r="B449" s="249"/>
      <c r="C449" s="245"/>
      <c r="D449" s="249"/>
      <c r="E449" s="249"/>
      <c r="F449" s="245"/>
      <c r="G449" s="245"/>
      <c r="H449" s="246"/>
      <c r="I449" s="246"/>
      <c r="J449" s="246"/>
      <c r="K449" s="246"/>
      <c r="L449" s="247"/>
      <c r="M449" s="247"/>
      <c r="N449" s="247"/>
      <c r="O449" s="247"/>
      <c r="P449" s="247"/>
      <c r="Q449" s="247"/>
      <c r="R449" s="247"/>
      <c r="S449" s="247"/>
      <c r="T449" s="247"/>
      <c r="U449" s="247"/>
      <c r="V449" s="247"/>
      <c r="W449" s="247"/>
      <c r="X449" s="247"/>
      <c r="Y449" s="247"/>
      <c r="Z449" s="247"/>
      <c r="AA449" s="247"/>
      <c r="AB449" s="247"/>
      <c r="AC449" s="247"/>
      <c r="AD449" s="247"/>
      <c r="AE449" s="247"/>
      <c r="AF449" s="247"/>
      <c r="AG449" s="247"/>
      <c r="AH449" s="247"/>
      <c r="AI449" s="247"/>
      <c r="AJ449" s="247"/>
      <c r="AK449" s="247"/>
      <c r="AL449" s="247"/>
      <c r="AM449" s="247"/>
      <c r="AN449" s="247"/>
      <c r="AO449" s="247"/>
      <c r="AP449" s="247"/>
      <c r="AQ449" s="247"/>
      <c r="AR449" s="247"/>
      <c r="AS449" s="247"/>
      <c r="AT449" s="248"/>
    </row>
    <row r="450" spans="1:46" s="445" customFormat="1" ht="47.25" customHeight="1">
      <c r="A450" s="245"/>
      <c r="B450" s="249"/>
      <c r="C450" s="245"/>
      <c r="D450" s="249"/>
      <c r="E450" s="249"/>
      <c r="F450" s="245"/>
      <c r="G450" s="245"/>
      <c r="H450" s="246"/>
      <c r="I450" s="246"/>
      <c r="J450" s="246"/>
      <c r="K450" s="246"/>
      <c r="L450" s="247"/>
      <c r="M450" s="247"/>
      <c r="N450" s="247"/>
      <c r="O450" s="247"/>
      <c r="P450" s="247"/>
      <c r="Q450" s="247"/>
      <c r="R450" s="247"/>
      <c r="S450" s="247"/>
      <c r="T450" s="247"/>
      <c r="U450" s="247"/>
      <c r="V450" s="247"/>
      <c r="W450" s="247"/>
      <c r="X450" s="247"/>
      <c r="Y450" s="247"/>
      <c r="Z450" s="247"/>
      <c r="AA450" s="247"/>
      <c r="AB450" s="247"/>
      <c r="AC450" s="247"/>
      <c r="AD450" s="247"/>
      <c r="AE450" s="247"/>
      <c r="AF450" s="247"/>
      <c r="AG450" s="247"/>
      <c r="AH450" s="247"/>
      <c r="AI450" s="247"/>
      <c r="AJ450" s="247"/>
      <c r="AK450" s="247"/>
      <c r="AL450" s="247"/>
      <c r="AM450" s="247"/>
      <c r="AN450" s="247"/>
      <c r="AO450" s="247"/>
      <c r="AP450" s="247"/>
      <c r="AQ450" s="247"/>
      <c r="AR450" s="247"/>
      <c r="AS450" s="247"/>
      <c r="AT450" s="248"/>
    </row>
    <row r="451" spans="1:46" s="445" customFormat="1" ht="47.25" customHeight="1">
      <c r="A451" s="245"/>
      <c r="B451" s="249"/>
      <c r="C451" s="245"/>
      <c r="D451" s="249"/>
      <c r="E451" s="249"/>
      <c r="F451" s="245"/>
      <c r="G451" s="245"/>
      <c r="H451" s="246"/>
      <c r="I451" s="246"/>
      <c r="J451" s="246"/>
      <c r="K451" s="246"/>
      <c r="L451" s="247"/>
      <c r="M451" s="247"/>
      <c r="N451" s="247"/>
      <c r="O451" s="247"/>
      <c r="P451" s="247"/>
      <c r="Q451" s="247"/>
      <c r="R451" s="247"/>
      <c r="S451" s="247"/>
      <c r="T451" s="247"/>
      <c r="U451" s="247"/>
      <c r="V451" s="247"/>
      <c r="W451" s="247"/>
      <c r="X451" s="247"/>
      <c r="Y451" s="247"/>
      <c r="Z451" s="247"/>
      <c r="AA451" s="247"/>
      <c r="AB451" s="247"/>
      <c r="AC451" s="247"/>
      <c r="AD451" s="247"/>
      <c r="AE451" s="247"/>
      <c r="AF451" s="247"/>
      <c r="AG451" s="247"/>
      <c r="AH451" s="247"/>
      <c r="AI451" s="247"/>
      <c r="AJ451" s="247"/>
      <c r="AK451" s="247"/>
      <c r="AL451" s="247"/>
      <c r="AM451" s="247"/>
      <c r="AN451" s="247"/>
      <c r="AO451" s="247"/>
      <c r="AP451" s="247"/>
      <c r="AQ451" s="247"/>
      <c r="AR451" s="247"/>
      <c r="AS451" s="247"/>
      <c r="AT451" s="248"/>
    </row>
    <row r="452" spans="1:46" s="445" customFormat="1" ht="47.25" customHeight="1">
      <c r="A452" s="245"/>
      <c r="B452" s="249"/>
      <c r="C452" s="245"/>
      <c r="D452" s="249"/>
      <c r="E452" s="249"/>
      <c r="F452" s="245"/>
      <c r="G452" s="245"/>
      <c r="H452" s="246"/>
      <c r="I452" s="246"/>
      <c r="J452" s="246"/>
      <c r="K452" s="246"/>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c r="AG452" s="247"/>
      <c r="AH452" s="247"/>
      <c r="AI452" s="247"/>
      <c r="AJ452" s="247"/>
      <c r="AK452" s="247"/>
      <c r="AL452" s="247"/>
      <c r="AM452" s="247"/>
      <c r="AN452" s="247"/>
      <c r="AO452" s="247"/>
      <c r="AP452" s="247"/>
      <c r="AQ452" s="247"/>
      <c r="AR452" s="247"/>
      <c r="AS452" s="247"/>
      <c r="AT452" s="248"/>
    </row>
    <row r="453" spans="1:46" s="445" customFormat="1" ht="47.25" customHeight="1">
      <c r="A453" s="245"/>
      <c r="B453" s="249"/>
      <c r="C453" s="245"/>
      <c r="D453" s="249"/>
      <c r="E453" s="249"/>
      <c r="F453" s="245"/>
      <c r="G453" s="245"/>
      <c r="H453" s="246"/>
      <c r="I453" s="246"/>
      <c r="J453" s="246"/>
      <c r="K453" s="246"/>
      <c r="L453" s="247"/>
      <c r="M453" s="247"/>
      <c r="N453" s="247"/>
      <c r="O453" s="247"/>
      <c r="P453" s="247"/>
      <c r="Q453" s="247"/>
      <c r="R453" s="247"/>
      <c r="S453" s="247"/>
      <c r="T453" s="247"/>
      <c r="U453" s="247"/>
      <c r="V453" s="247"/>
      <c r="W453" s="247"/>
      <c r="X453" s="247"/>
      <c r="Y453" s="247"/>
      <c r="Z453" s="247"/>
      <c r="AA453" s="247"/>
      <c r="AB453" s="247"/>
      <c r="AC453" s="247"/>
      <c r="AD453" s="247"/>
      <c r="AE453" s="247"/>
      <c r="AF453" s="247"/>
      <c r="AG453" s="247"/>
      <c r="AH453" s="247"/>
      <c r="AI453" s="247"/>
      <c r="AJ453" s="247"/>
      <c r="AK453" s="247"/>
      <c r="AL453" s="247"/>
      <c r="AM453" s="247"/>
      <c r="AN453" s="247"/>
      <c r="AO453" s="247"/>
      <c r="AP453" s="247"/>
      <c r="AQ453" s="247"/>
      <c r="AR453" s="247"/>
      <c r="AS453" s="247"/>
      <c r="AT453" s="248"/>
    </row>
    <row r="454" spans="1:46" s="445" customFormat="1" ht="47.25" customHeight="1">
      <c r="A454" s="245"/>
      <c r="B454" s="249"/>
      <c r="C454" s="245"/>
      <c r="D454" s="249"/>
      <c r="E454" s="249"/>
      <c r="F454" s="245"/>
      <c r="G454" s="245"/>
      <c r="H454" s="246"/>
      <c r="I454" s="246"/>
      <c r="J454" s="246"/>
      <c r="K454" s="246"/>
      <c r="L454" s="247"/>
      <c r="M454" s="247"/>
      <c r="N454" s="247"/>
      <c r="O454" s="247"/>
      <c r="P454" s="247"/>
      <c r="Q454" s="247"/>
      <c r="R454" s="247"/>
      <c r="S454" s="247"/>
      <c r="T454" s="247"/>
      <c r="U454" s="247"/>
      <c r="V454" s="247"/>
      <c r="W454" s="247"/>
      <c r="X454" s="247"/>
      <c r="Y454" s="247"/>
      <c r="Z454" s="247"/>
      <c r="AA454" s="247"/>
      <c r="AB454" s="247"/>
      <c r="AC454" s="247"/>
      <c r="AD454" s="247"/>
      <c r="AE454" s="247"/>
      <c r="AF454" s="247"/>
      <c r="AG454" s="247"/>
      <c r="AH454" s="247"/>
      <c r="AI454" s="247"/>
      <c r="AJ454" s="247"/>
      <c r="AK454" s="247"/>
      <c r="AL454" s="247"/>
      <c r="AM454" s="247"/>
      <c r="AN454" s="247"/>
      <c r="AO454" s="247"/>
      <c r="AP454" s="247"/>
      <c r="AQ454" s="247"/>
      <c r="AR454" s="247"/>
      <c r="AS454" s="247"/>
      <c r="AT454" s="248"/>
    </row>
    <row r="455" spans="1:46" s="445" customFormat="1" ht="47.25" customHeight="1">
      <c r="A455" s="245"/>
      <c r="B455" s="249"/>
      <c r="C455" s="245"/>
      <c r="D455" s="249"/>
      <c r="E455" s="249"/>
      <c r="F455" s="245"/>
      <c r="G455" s="245"/>
      <c r="H455" s="246"/>
      <c r="I455" s="246"/>
      <c r="J455" s="246"/>
      <c r="K455" s="246"/>
      <c r="L455" s="247"/>
      <c r="M455" s="247"/>
      <c r="N455" s="247"/>
      <c r="O455" s="247"/>
      <c r="P455" s="247"/>
      <c r="Q455" s="247"/>
      <c r="R455" s="247"/>
      <c r="S455" s="247"/>
      <c r="T455" s="247"/>
      <c r="U455" s="247"/>
      <c r="V455" s="247"/>
      <c r="W455" s="247"/>
      <c r="X455" s="247"/>
      <c r="Y455" s="247"/>
      <c r="Z455" s="247"/>
      <c r="AA455" s="247"/>
      <c r="AB455" s="247"/>
      <c r="AC455" s="247"/>
      <c r="AD455" s="247"/>
      <c r="AE455" s="247"/>
      <c r="AF455" s="247"/>
      <c r="AG455" s="247"/>
      <c r="AH455" s="247"/>
      <c r="AI455" s="247"/>
      <c r="AJ455" s="247"/>
      <c r="AK455" s="247"/>
      <c r="AL455" s="247"/>
      <c r="AM455" s="247"/>
      <c r="AN455" s="247"/>
      <c r="AO455" s="247"/>
      <c r="AP455" s="247"/>
      <c r="AQ455" s="247"/>
      <c r="AR455" s="247"/>
      <c r="AS455" s="247"/>
      <c r="AT455" s="248"/>
    </row>
    <row r="456" spans="1:46" s="445" customFormat="1" ht="47.25" customHeight="1">
      <c r="A456" s="245"/>
      <c r="B456" s="249"/>
      <c r="C456" s="245"/>
      <c r="D456" s="249"/>
      <c r="E456" s="249"/>
      <c r="F456" s="245"/>
      <c r="G456" s="245"/>
      <c r="H456" s="246"/>
      <c r="I456" s="246"/>
      <c r="J456" s="246"/>
      <c r="K456" s="246"/>
      <c r="L456" s="247"/>
      <c r="M456" s="247"/>
      <c r="N456" s="247"/>
      <c r="O456" s="247"/>
      <c r="P456" s="247"/>
      <c r="Q456" s="247"/>
      <c r="R456" s="247"/>
      <c r="S456" s="247"/>
      <c r="T456" s="247"/>
      <c r="U456" s="247"/>
      <c r="V456" s="247"/>
      <c r="W456" s="247"/>
      <c r="X456" s="247"/>
      <c r="Y456" s="247"/>
      <c r="Z456" s="247"/>
      <c r="AA456" s="247"/>
      <c r="AB456" s="247"/>
      <c r="AC456" s="247"/>
      <c r="AD456" s="247"/>
      <c r="AE456" s="247"/>
      <c r="AF456" s="247"/>
      <c r="AG456" s="247"/>
      <c r="AH456" s="247"/>
      <c r="AI456" s="247"/>
      <c r="AJ456" s="247"/>
      <c r="AK456" s="247"/>
      <c r="AL456" s="247"/>
      <c r="AM456" s="247"/>
      <c r="AN456" s="247"/>
      <c r="AO456" s="247"/>
      <c r="AP456" s="247"/>
      <c r="AQ456" s="247"/>
      <c r="AR456" s="247"/>
      <c r="AS456" s="247"/>
      <c r="AT456" s="248"/>
    </row>
    <row r="457" spans="1:46" s="445" customFormat="1" ht="47.25" customHeight="1">
      <c r="A457" s="245"/>
      <c r="B457" s="249"/>
      <c r="C457" s="245"/>
      <c r="D457" s="249"/>
      <c r="E457" s="249"/>
      <c r="F457" s="245"/>
      <c r="G457" s="245"/>
      <c r="H457" s="246"/>
      <c r="I457" s="246"/>
      <c r="J457" s="246"/>
      <c r="K457" s="246"/>
      <c r="L457" s="247"/>
      <c r="M457" s="247"/>
      <c r="N457" s="247"/>
      <c r="O457" s="247"/>
      <c r="P457" s="247"/>
      <c r="Q457" s="247"/>
      <c r="R457" s="247"/>
      <c r="S457" s="247"/>
      <c r="T457" s="247"/>
      <c r="U457" s="247"/>
      <c r="V457" s="247"/>
      <c r="W457" s="247"/>
      <c r="X457" s="247"/>
      <c r="Y457" s="247"/>
      <c r="Z457" s="247"/>
      <c r="AA457" s="247"/>
      <c r="AB457" s="247"/>
      <c r="AC457" s="247"/>
      <c r="AD457" s="247"/>
      <c r="AE457" s="247"/>
      <c r="AF457" s="247"/>
      <c r="AG457" s="247"/>
      <c r="AH457" s="247"/>
      <c r="AI457" s="247"/>
      <c r="AJ457" s="247"/>
      <c r="AK457" s="247"/>
      <c r="AL457" s="247"/>
      <c r="AM457" s="247"/>
      <c r="AN457" s="247"/>
      <c r="AO457" s="247"/>
      <c r="AP457" s="247"/>
      <c r="AQ457" s="247"/>
      <c r="AR457" s="247"/>
      <c r="AS457" s="247"/>
      <c r="AT457" s="248"/>
    </row>
    <row r="458" spans="1:46" s="445" customFormat="1" ht="47.25" customHeight="1">
      <c r="A458" s="245"/>
      <c r="B458" s="249"/>
      <c r="C458" s="245"/>
      <c r="D458" s="249"/>
      <c r="E458" s="249"/>
      <c r="F458" s="245"/>
      <c r="G458" s="245"/>
      <c r="H458" s="246"/>
      <c r="I458" s="246"/>
      <c r="J458" s="246"/>
      <c r="K458" s="246"/>
      <c r="L458" s="247"/>
      <c r="M458" s="247"/>
      <c r="N458" s="247"/>
      <c r="O458" s="247"/>
      <c r="P458" s="247"/>
      <c r="Q458" s="247"/>
      <c r="R458" s="247"/>
      <c r="S458" s="247"/>
      <c r="T458" s="247"/>
      <c r="U458" s="247"/>
      <c r="V458" s="247"/>
      <c r="W458" s="247"/>
      <c r="X458" s="247"/>
      <c r="Y458" s="247"/>
      <c r="Z458" s="247"/>
      <c r="AA458" s="247"/>
      <c r="AB458" s="247"/>
      <c r="AC458" s="247"/>
      <c r="AD458" s="247"/>
      <c r="AE458" s="247"/>
      <c r="AF458" s="247"/>
      <c r="AG458" s="247"/>
      <c r="AH458" s="247"/>
      <c r="AI458" s="247"/>
      <c r="AJ458" s="247"/>
      <c r="AK458" s="247"/>
      <c r="AL458" s="247"/>
      <c r="AM458" s="247"/>
      <c r="AN458" s="247"/>
      <c r="AO458" s="247"/>
      <c r="AP458" s="247"/>
      <c r="AQ458" s="247"/>
      <c r="AR458" s="247"/>
      <c r="AS458" s="247"/>
      <c r="AT458" s="248"/>
    </row>
    <row r="459" spans="1:46" s="445" customFormat="1" ht="47.25" customHeight="1">
      <c r="A459" s="245"/>
      <c r="B459" s="249"/>
      <c r="C459" s="245"/>
      <c r="D459" s="249"/>
      <c r="E459" s="249"/>
      <c r="F459" s="245"/>
      <c r="G459" s="245"/>
      <c r="H459" s="246"/>
      <c r="I459" s="246"/>
      <c r="J459" s="246"/>
      <c r="K459" s="246"/>
      <c r="L459" s="247"/>
      <c r="M459" s="247"/>
      <c r="N459" s="247"/>
      <c r="O459" s="247"/>
      <c r="P459" s="247"/>
      <c r="Q459" s="247"/>
      <c r="R459" s="247"/>
      <c r="S459" s="247"/>
      <c r="T459" s="247"/>
      <c r="U459" s="247"/>
      <c r="V459" s="247"/>
      <c r="W459" s="247"/>
      <c r="X459" s="247"/>
      <c r="Y459" s="247"/>
      <c r="Z459" s="247"/>
      <c r="AA459" s="247"/>
      <c r="AB459" s="247"/>
      <c r="AC459" s="247"/>
      <c r="AD459" s="247"/>
      <c r="AE459" s="247"/>
      <c r="AF459" s="247"/>
      <c r="AG459" s="247"/>
      <c r="AH459" s="247"/>
      <c r="AI459" s="247"/>
      <c r="AJ459" s="247"/>
      <c r="AK459" s="247"/>
      <c r="AL459" s="247"/>
      <c r="AM459" s="247"/>
      <c r="AN459" s="247"/>
      <c r="AO459" s="247"/>
      <c r="AP459" s="247"/>
      <c r="AQ459" s="247"/>
      <c r="AR459" s="247"/>
      <c r="AS459" s="247"/>
      <c r="AT459" s="248"/>
    </row>
    <row r="460" spans="1:46" s="445" customFormat="1" ht="47.25" customHeight="1">
      <c r="A460" s="245"/>
      <c r="B460" s="249"/>
      <c r="C460" s="245"/>
      <c r="D460" s="249"/>
      <c r="E460" s="249"/>
      <c r="F460" s="245"/>
      <c r="G460" s="245"/>
      <c r="H460" s="246"/>
      <c r="I460" s="246"/>
      <c r="J460" s="246"/>
      <c r="K460" s="246"/>
      <c r="L460" s="247"/>
      <c r="M460" s="247"/>
      <c r="N460" s="247"/>
      <c r="O460" s="247"/>
      <c r="P460" s="247"/>
      <c r="Q460" s="247"/>
      <c r="R460" s="247"/>
      <c r="S460" s="247"/>
      <c r="T460" s="247"/>
      <c r="U460" s="247"/>
      <c r="V460" s="247"/>
      <c r="W460" s="247"/>
      <c r="X460" s="247"/>
      <c r="Y460" s="247"/>
      <c r="Z460" s="247"/>
      <c r="AA460" s="247"/>
      <c r="AB460" s="247"/>
      <c r="AC460" s="247"/>
      <c r="AD460" s="247"/>
      <c r="AE460" s="247"/>
      <c r="AF460" s="247"/>
      <c r="AG460" s="247"/>
      <c r="AH460" s="247"/>
      <c r="AI460" s="247"/>
      <c r="AJ460" s="247"/>
      <c r="AK460" s="247"/>
      <c r="AL460" s="247"/>
      <c r="AM460" s="247"/>
      <c r="AN460" s="247"/>
      <c r="AO460" s="247"/>
      <c r="AP460" s="247"/>
      <c r="AQ460" s="247"/>
      <c r="AR460" s="247"/>
      <c r="AS460" s="247"/>
      <c r="AT460" s="248"/>
    </row>
    <row r="461" spans="1:46" s="445" customFormat="1" ht="47.25" customHeight="1">
      <c r="A461" s="245"/>
      <c r="B461" s="249"/>
      <c r="C461" s="245"/>
      <c r="D461" s="249"/>
      <c r="E461" s="249"/>
      <c r="F461" s="245"/>
      <c r="G461" s="245"/>
      <c r="H461" s="246"/>
      <c r="I461" s="246"/>
      <c r="J461" s="246"/>
      <c r="K461" s="246"/>
      <c r="L461" s="247"/>
      <c r="M461" s="247"/>
      <c r="N461" s="247"/>
      <c r="O461" s="247"/>
      <c r="P461" s="247"/>
      <c r="Q461" s="247"/>
      <c r="R461" s="247"/>
      <c r="S461" s="247"/>
      <c r="T461" s="247"/>
      <c r="U461" s="247"/>
      <c r="V461" s="247"/>
      <c r="W461" s="247"/>
      <c r="X461" s="247"/>
      <c r="Y461" s="247"/>
      <c r="Z461" s="247"/>
      <c r="AA461" s="247"/>
      <c r="AB461" s="247"/>
      <c r="AC461" s="247"/>
      <c r="AD461" s="247"/>
      <c r="AE461" s="247"/>
      <c r="AF461" s="247"/>
      <c r="AG461" s="247"/>
      <c r="AH461" s="247"/>
      <c r="AI461" s="247"/>
      <c r="AJ461" s="247"/>
      <c r="AK461" s="247"/>
      <c r="AL461" s="247"/>
      <c r="AM461" s="247"/>
      <c r="AN461" s="247"/>
      <c r="AO461" s="247"/>
      <c r="AP461" s="247"/>
      <c r="AQ461" s="247"/>
      <c r="AR461" s="247"/>
      <c r="AS461" s="247"/>
      <c r="AT461" s="248"/>
    </row>
    <row r="462" spans="1:46" s="445" customFormat="1" ht="47.25" customHeight="1">
      <c r="A462" s="245"/>
      <c r="B462" s="249"/>
      <c r="C462" s="245"/>
      <c r="D462" s="249"/>
      <c r="E462" s="249"/>
      <c r="F462" s="245"/>
      <c r="G462" s="245"/>
      <c r="H462" s="246"/>
      <c r="I462" s="246"/>
      <c r="J462" s="246"/>
      <c r="K462" s="246"/>
      <c r="L462" s="247"/>
      <c r="M462" s="247"/>
      <c r="N462" s="247"/>
      <c r="O462" s="247"/>
      <c r="P462" s="247"/>
      <c r="Q462" s="247"/>
      <c r="R462" s="247"/>
      <c r="S462" s="247"/>
      <c r="T462" s="247"/>
      <c r="U462" s="247"/>
      <c r="V462" s="247"/>
      <c r="W462" s="247"/>
      <c r="X462" s="247"/>
      <c r="Y462" s="247"/>
      <c r="Z462" s="247"/>
      <c r="AA462" s="247"/>
      <c r="AB462" s="247"/>
      <c r="AC462" s="247"/>
      <c r="AD462" s="247"/>
      <c r="AE462" s="247"/>
      <c r="AF462" s="247"/>
      <c r="AG462" s="247"/>
      <c r="AH462" s="247"/>
      <c r="AI462" s="247"/>
      <c r="AJ462" s="247"/>
      <c r="AK462" s="247"/>
      <c r="AL462" s="247"/>
      <c r="AM462" s="247"/>
      <c r="AN462" s="247"/>
      <c r="AO462" s="247"/>
      <c r="AP462" s="247"/>
      <c r="AQ462" s="247"/>
      <c r="AR462" s="247"/>
      <c r="AS462" s="247"/>
      <c r="AT462" s="248"/>
    </row>
    <row r="463" spans="1:46" s="445" customFormat="1" ht="47.25" customHeight="1">
      <c r="A463" s="245"/>
      <c r="B463" s="249"/>
      <c r="C463" s="245"/>
      <c r="D463" s="249"/>
      <c r="E463" s="249"/>
      <c r="F463" s="245"/>
      <c r="G463" s="245"/>
      <c r="H463" s="246"/>
      <c r="I463" s="246"/>
      <c r="J463" s="246"/>
      <c r="K463" s="246"/>
      <c r="L463" s="247"/>
      <c r="M463" s="247"/>
      <c r="N463" s="247"/>
      <c r="O463" s="247"/>
      <c r="P463" s="247"/>
      <c r="Q463" s="247"/>
      <c r="R463" s="247"/>
      <c r="S463" s="247"/>
      <c r="T463" s="247"/>
      <c r="U463" s="247"/>
      <c r="V463" s="247"/>
      <c r="W463" s="247"/>
      <c r="X463" s="247"/>
      <c r="Y463" s="247"/>
      <c r="Z463" s="247"/>
      <c r="AA463" s="247"/>
      <c r="AB463" s="247"/>
      <c r="AC463" s="247"/>
      <c r="AD463" s="247"/>
      <c r="AE463" s="247"/>
      <c r="AF463" s="247"/>
      <c r="AG463" s="247"/>
      <c r="AH463" s="247"/>
      <c r="AI463" s="247"/>
      <c r="AJ463" s="247"/>
      <c r="AK463" s="247"/>
      <c r="AL463" s="247"/>
      <c r="AM463" s="247"/>
      <c r="AN463" s="247"/>
      <c r="AO463" s="247"/>
      <c r="AP463" s="247"/>
      <c r="AQ463" s="247"/>
      <c r="AR463" s="247"/>
      <c r="AS463" s="247"/>
      <c r="AT463" s="248"/>
    </row>
    <row r="464" spans="1:46" s="445" customFormat="1" ht="47.25" customHeight="1">
      <c r="A464" s="245"/>
      <c r="B464" s="249"/>
      <c r="C464" s="245"/>
      <c r="D464" s="249"/>
      <c r="E464" s="249"/>
      <c r="F464" s="245"/>
      <c r="G464" s="245"/>
      <c r="H464" s="246"/>
      <c r="I464" s="246"/>
      <c r="J464" s="246"/>
      <c r="K464" s="246"/>
      <c r="L464" s="247"/>
      <c r="M464" s="247"/>
      <c r="N464" s="247"/>
      <c r="O464" s="247"/>
      <c r="P464" s="247"/>
      <c r="Q464" s="247"/>
      <c r="R464" s="247"/>
      <c r="S464" s="247"/>
      <c r="T464" s="247"/>
      <c r="U464" s="247"/>
      <c r="V464" s="247"/>
      <c r="W464" s="247"/>
      <c r="X464" s="247"/>
      <c r="Y464" s="247"/>
      <c r="Z464" s="247"/>
      <c r="AA464" s="247"/>
      <c r="AB464" s="247"/>
      <c r="AC464" s="247"/>
      <c r="AD464" s="247"/>
      <c r="AE464" s="247"/>
      <c r="AF464" s="247"/>
      <c r="AG464" s="247"/>
      <c r="AH464" s="247"/>
      <c r="AI464" s="247"/>
      <c r="AJ464" s="247"/>
      <c r="AK464" s="247"/>
      <c r="AL464" s="247"/>
      <c r="AM464" s="247"/>
      <c r="AN464" s="247"/>
      <c r="AO464" s="247"/>
      <c r="AP464" s="247"/>
      <c r="AQ464" s="247"/>
      <c r="AR464" s="247"/>
      <c r="AS464" s="247"/>
      <c r="AT464" s="248"/>
    </row>
    <row r="465" spans="1:46" s="445" customFormat="1" ht="47.25" customHeight="1">
      <c r="A465" s="245"/>
      <c r="B465" s="249"/>
      <c r="C465" s="245"/>
      <c r="D465" s="249"/>
      <c r="E465" s="249"/>
      <c r="F465" s="245"/>
      <c r="G465" s="245"/>
      <c r="H465" s="246"/>
      <c r="I465" s="246"/>
      <c r="J465" s="246"/>
      <c r="K465" s="246"/>
      <c r="L465" s="247"/>
      <c r="M465" s="247"/>
      <c r="N465" s="247"/>
      <c r="O465" s="247"/>
      <c r="P465" s="247"/>
      <c r="Q465" s="247"/>
      <c r="R465" s="247"/>
      <c r="S465" s="247"/>
      <c r="T465" s="247"/>
      <c r="U465" s="247"/>
      <c r="V465" s="247"/>
      <c r="W465" s="247"/>
      <c r="X465" s="247"/>
      <c r="Y465" s="247"/>
      <c r="Z465" s="247"/>
      <c r="AA465" s="247"/>
      <c r="AB465" s="247"/>
      <c r="AC465" s="247"/>
      <c r="AD465" s="247"/>
      <c r="AE465" s="247"/>
      <c r="AF465" s="247"/>
      <c r="AG465" s="247"/>
      <c r="AH465" s="247"/>
      <c r="AI465" s="247"/>
      <c r="AJ465" s="247"/>
      <c r="AK465" s="247"/>
      <c r="AL465" s="247"/>
      <c r="AM465" s="247"/>
      <c r="AN465" s="247"/>
      <c r="AO465" s="247"/>
      <c r="AP465" s="247"/>
      <c r="AQ465" s="247"/>
      <c r="AR465" s="247"/>
      <c r="AS465" s="247"/>
      <c r="AT465" s="248"/>
    </row>
    <row r="466" spans="1:46" s="445" customFormat="1" ht="47.25" customHeight="1">
      <c r="A466" s="245"/>
      <c r="B466" s="249"/>
      <c r="C466" s="245"/>
      <c r="D466" s="249"/>
      <c r="E466" s="249"/>
      <c r="F466" s="245"/>
      <c r="G466" s="245"/>
      <c r="H466" s="246"/>
      <c r="I466" s="246"/>
      <c r="J466" s="246"/>
      <c r="K466" s="246"/>
      <c r="L466" s="247"/>
      <c r="M466" s="247"/>
      <c r="N466" s="247"/>
      <c r="O466" s="247"/>
      <c r="P466" s="247"/>
      <c r="Q466" s="247"/>
      <c r="R466" s="247"/>
      <c r="S466" s="247"/>
      <c r="T466" s="247"/>
      <c r="U466" s="247"/>
      <c r="V466" s="247"/>
      <c r="W466" s="247"/>
      <c r="X466" s="247"/>
      <c r="Y466" s="247"/>
      <c r="Z466" s="247"/>
      <c r="AA466" s="247"/>
      <c r="AB466" s="247"/>
      <c r="AC466" s="247"/>
      <c r="AD466" s="247"/>
      <c r="AE466" s="247"/>
      <c r="AF466" s="247"/>
      <c r="AG466" s="247"/>
      <c r="AH466" s="247"/>
      <c r="AI466" s="247"/>
      <c r="AJ466" s="247"/>
      <c r="AK466" s="247"/>
      <c r="AL466" s="247"/>
      <c r="AM466" s="247"/>
      <c r="AN466" s="247"/>
      <c r="AO466" s="247"/>
      <c r="AP466" s="247"/>
      <c r="AQ466" s="247"/>
      <c r="AR466" s="247"/>
      <c r="AS466" s="247"/>
      <c r="AT466" s="248"/>
    </row>
    <row r="467" spans="1:46" s="445" customFormat="1" ht="47.25" customHeight="1">
      <c r="A467" s="245"/>
      <c r="B467" s="249"/>
      <c r="C467" s="245"/>
      <c r="D467" s="249"/>
      <c r="E467" s="249"/>
      <c r="F467" s="245"/>
      <c r="G467" s="245"/>
      <c r="H467" s="246"/>
      <c r="I467" s="246"/>
      <c r="J467" s="246"/>
      <c r="K467" s="246"/>
      <c r="L467" s="247"/>
      <c r="M467" s="247"/>
      <c r="N467" s="247"/>
      <c r="O467" s="247"/>
      <c r="P467" s="247"/>
      <c r="Q467" s="247"/>
      <c r="R467" s="247"/>
      <c r="S467" s="247"/>
      <c r="T467" s="247"/>
      <c r="U467" s="247"/>
      <c r="V467" s="247"/>
      <c r="W467" s="247"/>
      <c r="X467" s="247"/>
      <c r="Y467" s="247"/>
      <c r="Z467" s="247"/>
      <c r="AA467" s="247"/>
      <c r="AB467" s="247"/>
      <c r="AC467" s="247"/>
      <c r="AD467" s="247"/>
      <c r="AE467" s="247"/>
      <c r="AF467" s="247"/>
      <c r="AG467" s="247"/>
      <c r="AH467" s="247"/>
      <c r="AI467" s="247"/>
      <c r="AJ467" s="247"/>
      <c r="AK467" s="247"/>
      <c r="AL467" s="247"/>
      <c r="AM467" s="247"/>
      <c r="AN467" s="247"/>
      <c r="AO467" s="247"/>
      <c r="AP467" s="247"/>
      <c r="AQ467" s="247"/>
      <c r="AR467" s="247"/>
      <c r="AS467" s="247"/>
      <c r="AT467" s="248"/>
    </row>
    <row r="468" spans="1:46" s="445" customFormat="1" ht="47.25" customHeight="1">
      <c r="A468" s="245"/>
      <c r="B468" s="249"/>
      <c r="C468" s="245"/>
      <c r="D468" s="249"/>
      <c r="E468" s="249"/>
      <c r="F468" s="245"/>
      <c r="G468" s="245"/>
      <c r="H468" s="246"/>
      <c r="I468" s="246"/>
      <c r="J468" s="246"/>
      <c r="K468" s="246"/>
      <c r="L468" s="247"/>
      <c r="M468" s="247"/>
      <c r="N468" s="247"/>
      <c r="O468" s="247"/>
      <c r="P468" s="247"/>
      <c r="Q468" s="247"/>
      <c r="R468" s="247"/>
      <c r="S468" s="247"/>
      <c r="T468" s="247"/>
      <c r="U468" s="247"/>
      <c r="V468" s="247"/>
      <c r="W468" s="247"/>
      <c r="X468" s="247"/>
      <c r="Y468" s="247"/>
      <c r="Z468" s="247"/>
      <c r="AA468" s="247"/>
      <c r="AB468" s="247"/>
      <c r="AC468" s="247"/>
      <c r="AD468" s="247"/>
      <c r="AE468" s="247"/>
      <c r="AF468" s="247"/>
      <c r="AG468" s="247"/>
      <c r="AH468" s="247"/>
      <c r="AI468" s="247"/>
      <c r="AJ468" s="247"/>
      <c r="AK468" s="247"/>
      <c r="AL468" s="247"/>
      <c r="AM468" s="247"/>
      <c r="AN468" s="247"/>
      <c r="AO468" s="247"/>
      <c r="AP468" s="247"/>
      <c r="AQ468" s="247"/>
      <c r="AR468" s="247"/>
      <c r="AS468" s="247"/>
      <c r="AT468" s="248"/>
    </row>
    <row r="469" spans="1:46" s="445" customFormat="1" ht="47.25" customHeight="1">
      <c r="A469" s="245"/>
      <c r="B469" s="249"/>
      <c r="C469" s="245"/>
      <c r="D469" s="249"/>
      <c r="E469" s="249"/>
      <c r="F469" s="245"/>
      <c r="G469" s="245"/>
      <c r="H469" s="246"/>
      <c r="I469" s="246"/>
      <c r="J469" s="246"/>
      <c r="K469" s="246"/>
      <c r="L469" s="247"/>
      <c r="M469" s="247"/>
      <c r="N469" s="247"/>
      <c r="O469" s="247"/>
      <c r="P469" s="247"/>
      <c r="Q469" s="247"/>
      <c r="R469" s="247"/>
      <c r="S469" s="247"/>
      <c r="T469" s="247"/>
      <c r="U469" s="247"/>
      <c r="V469" s="247"/>
      <c r="W469" s="247"/>
      <c r="X469" s="247"/>
      <c r="Y469" s="247"/>
      <c r="Z469" s="247"/>
      <c r="AA469" s="247"/>
      <c r="AB469" s="247"/>
      <c r="AC469" s="247"/>
      <c r="AD469" s="247"/>
      <c r="AE469" s="247"/>
      <c r="AF469" s="247"/>
      <c r="AG469" s="247"/>
      <c r="AH469" s="247"/>
      <c r="AI469" s="247"/>
      <c r="AJ469" s="247"/>
      <c r="AK469" s="247"/>
      <c r="AL469" s="247"/>
      <c r="AM469" s="247"/>
      <c r="AN469" s="247"/>
      <c r="AO469" s="247"/>
      <c r="AP469" s="247"/>
      <c r="AQ469" s="247"/>
      <c r="AR469" s="247"/>
      <c r="AS469" s="247"/>
      <c r="AT469" s="248"/>
    </row>
    <row r="470" spans="1:46" s="445" customFormat="1" ht="47.25" customHeight="1">
      <c r="A470" s="245"/>
      <c r="B470" s="249"/>
      <c r="C470" s="245"/>
      <c r="D470" s="249"/>
      <c r="E470" s="249"/>
      <c r="F470" s="245"/>
      <c r="G470" s="245"/>
      <c r="H470" s="246"/>
      <c r="I470" s="246"/>
      <c r="J470" s="246"/>
      <c r="K470" s="246"/>
      <c r="L470" s="247"/>
      <c r="M470" s="247"/>
      <c r="N470" s="247"/>
      <c r="O470" s="247"/>
      <c r="P470" s="247"/>
      <c r="Q470" s="247"/>
      <c r="R470" s="247"/>
      <c r="S470" s="247"/>
      <c r="T470" s="247"/>
      <c r="U470" s="247"/>
      <c r="V470" s="247"/>
      <c r="W470" s="247"/>
      <c r="X470" s="247"/>
      <c r="Y470" s="247"/>
      <c r="Z470" s="247"/>
      <c r="AA470" s="247"/>
      <c r="AB470" s="247"/>
      <c r="AC470" s="247"/>
      <c r="AD470" s="247"/>
      <c r="AE470" s="247"/>
      <c r="AF470" s="247"/>
      <c r="AG470" s="247"/>
      <c r="AH470" s="247"/>
      <c r="AI470" s="247"/>
      <c r="AJ470" s="247"/>
      <c r="AK470" s="247"/>
      <c r="AL470" s="247"/>
      <c r="AM470" s="247"/>
      <c r="AN470" s="247"/>
      <c r="AO470" s="247"/>
      <c r="AP470" s="247"/>
      <c r="AQ470" s="247"/>
      <c r="AR470" s="247"/>
      <c r="AS470" s="247"/>
      <c r="AT470" s="248"/>
    </row>
    <row r="471" spans="1:46" s="445" customFormat="1" ht="47.25" customHeight="1">
      <c r="A471" s="245"/>
      <c r="B471" s="249"/>
      <c r="C471" s="245"/>
      <c r="D471" s="249"/>
      <c r="E471" s="249"/>
      <c r="F471" s="245"/>
      <c r="G471" s="245"/>
      <c r="H471" s="246"/>
      <c r="I471" s="246"/>
      <c r="J471" s="246"/>
      <c r="K471" s="246"/>
      <c r="L471" s="247"/>
      <c r="M471" s="247"/>
      <c r="N471" s="247"/>
      <c r="O471" s="247"/>
      <c r="P471" s="247"/>
      <c r="Q471" s="247"/>
      <c r="R471" s="247"/>
      <c r="S471" s="247"/>
      <c r="T471" s="247"/>
      <c r="U471" s="247"/>
      <c r="V471" s="247"/>
      <c r="W471" s="247"/>
      <c r="X471" s="247"/>
      <c r="Y471" s="247"/>
      <c r="Z471" s="247"/>
      <c r="AA471" s="247"/>
      <c r="AB471" s="247"/>
      <c r="AC471" s="247"/>
      <c r="AD471" s="247"/>
      <c r="AE471" s="247"/>
      <c r="AF471" s="247"/>
      <c r="AG471" s="247"/>
      <c r="AH471" s="247"/>
      <c r="AI471" s="247"/>
      <c r="AJ471" s="247"/>
      <c r="AK471" s="247"/>
      <c r="AL471" s="247"/>
      <c r="AM471" s="247"/>
      <c r="AN471" s="247"/>
      <c r="AO471" s="247"/>
      <c r="AP471" s="247"/>
      <c r="AQ471" s="247"/>
      <c r="AR471" s="247"/>
      <c r="AS471" s="247"/>
      <c r="AT471" s="248"/>
    </row>
    <row r="472" spans="1:46" s="445" customFormat="1" ht="47.25" customHeight="1">
      <c r="A472" s="245"/>
      <c r="B472" s="249"/>
      <c r="C472" s="245"/>
      <c r="D472" s="249"/>
      <c r="E472" s="249"/>
      <c r="F472" s="245"/>
      <c r="G472" s="245"/>
      <c r="H472" s="246"/>
      <c r="I472" s="246"/>
      <c r="J472" s="246"/>
      <c r="K472" s="246"/>
      <c r="L472" s="247"/>
      <c r="M472" s="247"/>
      <c r="N472" s="247"/>
      <c r="O472" s="247"/>
      <c r="P472" s="247"/>
      <c r="Q472" s="247"/>
      <c r="R472" s="247"/>
      <c r="S472" s="247"/>
      <c r="T472" s="247"/>
      <c r="U472" s="247"/>
      <c r="V472" s="247"/>
      <c r="W472" s="247"/>
      <c r="X472" s="247"/>
      <c r="Y472" s="247"/>
      <c r="Z472" s="247"/>
      <c r="AA472" s="247"/>
      <c r="AB472" s="247"/>
      <c r="AC472" s="247"/>
      <c r="AD472" s="247"/>
      <c r="AE472" s="247"/>
      <c r="AF472" s="247"/>
      <c r="AG472" s="247"/>
      <c r="AH472" s="247"/>
      <c r="AI472" s="247"/>
      <c r="AJ472" s="247"/>
      <c r="AK472" s="247"/>
      <c r="AL472" s="247"/>
      <c r="AM472" s="247"/>
      <c r="AN472" s="247"/>
      <c r="AO472" s="247"/>
      <c r="AP472" s="247"/>
      <c r="AQ472" s="247"/>
      <c r="AR472" s="247"/>
      <c r="AS472" s="247"/>
      <c r="AT472" s="248"/>
    </row>
    <row r="473" spans="1:46" s="445" customFormat="1" ht="47.25" customHeight="1">
      <c r="A473" s="245"/>
      <c r="B473" s="249"/>
      <c r="C473" s="245"/>
      <c r="D473" s="249"/>
      <c r="E473" s="249"/>
      <c r="F473" s="245"/>
      <c r="G473" s="245"/>
      <c r="H473" s="246"/>
      <c r="I473" s="246"/>
      <c r="J473" s="246"/>
      <c r="K473" s="246"/>
      <c r="L473" s="247"/>
      <c r="M473" s="247"/>
      <c r="N473" s="247"/>
      <c r="O473" s="247"/>
      <c r="P473" s="247"/>
      <c r="Q473" s="247"/>
      <c r="R473" s="247"/>
      <c r="S473" s="247"/>
      <c r="T473" s="247"/>
      <c r="U473" s="247"/>
      <c r="V473" s="247"/>
      <c r="W473" s="247"/>
      <c r="X473" s="247"/>
      <c r="Y473" s="247"/>
      <c r="Z473" s="247"/>
      <c r="AA473" s="247"/>
      <c r="AB473" s="247"/>
      <c r="AC473" s="247"/>
      <c r="AD473" s="247"/>
      <c r="AE473" s="247"/>
      <c r="AF473" s="247"/>
      <c r="AG473" s="247"/>
      <c r="AH473" s="247"/>
      <c r="AI473" s="247"/>
      <c r="AJ473" s="247"/>
      <c r="AK473" s="247"/>
      <c r="AL473" s="247"/>
      <c r="AM473" s="247"/>
      <c r="AN473" s="247"/>
      <c r="AO473" s="247"/>
      <c r="AP473" s="247"/>
      <c r="AQ473" s="247"/>
      <c r="AR473" s="247"/>
      <c r="AS473" s="247"/>
      <c r="AT473" s="248"/>
    </row>
    <row r="474" spans="1:46" s="445" customFormat="1" ht="47.25" customHeight="1">
      <c r="A474" s="245"/>
      <c r="B474" s="249"/>
      <c r="C474" s="245"/>
      <c r="D474" s="249"/>
      <c r="E474" s="249"/>
      <c r="F474" s="245"/>
      <c r="G474" s="245"/>
      <c r="H474" s="246"/>
      <c r="I474" s="246"/>
      <c r="J474" s="246"/>
      <c r="K474" s="246"/>
      <c r="L474" s="247"/>
      <c r="M474" s="247"/>
      <c r="N474" s="247"/>
      <c r="O474" s="247"/>
      <c r="P474" s="247"/>
      <c r="Q474" s="247"/>
      <c r="R474" s="247"/>
      <c r="S474" s="247"/>
      <c r="T474" s="247"/>
      <c r="U474" s="247"/>
      <c r="V474" s="247"/>
      <c r="W474" s="247"/>
      <c r="X474" s="247"/>
      <c r="Y474" s="247"/>
      <c r="Z474" s="247"/>
      <c r="AA474" s="247"/>
      <c r="AB474" s="247"/>
      <c r="AC474" s="247"/>
      <c r="AD474" s="247"/>
      <c r="AE474" s="247"/>
      <c r="AF474" s="247"/>
      <c r="AG474" s="247"/>
      <c r="AH474" s="247"/>
      <c r="AI474" s="247"/>
      <c r="AJ474" s="247"/>
      <c r="AK474" s="247"/>
      <c r="AL474" s="247"/>
      <c r="AM474" s="247"/>
      <c r="AN474" s="247"/>
      <c r="AO474" s="247"/>
      <c r="AP474" s="247"/>
      <c r="AQ474" s="247"/>
      <c r="AR474" s="247"/>
      <c r="AS474" s="247"/>
      <c r="AT474" s="248"/>
    </row>
    <row r="475" spans="1:46" s="445" customFormat="1" ht="47.25" customHeight="1">
      <c r="A475" s="245"/>
      <c r="B475" s="249"/>
      <c r="C475" s="245"/>
      <c r="D475" s="249"/>
      <c r="E475" s="249"/>
      <c r="F475" s="245"/>
      <c r="G475" s="245"/>
      <c r="H475" s="246"/>
      <c r="I475" s="246"/>
      <c r="J475" s="246"/>
      <c r="K475" s="246"/>
      <c r="L475" s="247"/>
      <c r="M475" s="247"/>
      <c r="N475" s="247"/>
      <c r="O475" s="247"/>
      <c r="P475" s="247"/>
      <c r="Q475" s="247"/>
      <c r="R475" s="247"/>
      <c r="S475" s="247"/>
      <c r="T475" s="247"/>
      <c r="U475" s="247"/>
      <c r="V475" s="247"/>
      <c r="W475" s="247"/>
      <c r="X475" s="247"/>
      <c r="Y475" s="247"/>
      <c r="Z475" s="247"/>
      <c r="AA475" s="247"/>
      <c r="AB475" s="247"/>
      <c r="AC475" s="247"/>
      <c r="AD475" s="247"/>
      <c r="AE475" s="247"/>
      <c r="AF475" s="247"/>
      <c r="AG475" s="247"/>
      <c r="AH475" s="247"/>
      <c r="AI475" s="247"/>
      <c r="AJ475" s="247"/>
      <c r="AK475" s="247"/>
      <c r="AL475" s="247"/>
      <c r="AM475" s="247"/>
      <c r="AN475" s="247"/>
      <c r="AO475" s="247"/>
      <c r="AP475" s="247"/>
      <c r="AQ475" s="247"/>
      <c r="AR475" s="247"/>
      <c r="AS475" s="247"/>
      <c r="AT475" s="248"/>
    </row>
    <row r="476" spans="1:46" s="445" customFormat="1" ht="47.25" customHeight="1">
      <c r="A476" s="245"/>
      <c r="B476" s="249"/>
      <c r="C476" s="245"/>
      <c r="D476" s="249"/>
      <c r="E476" s="249"/>
      <c r="F476" s="245"/>
      <c r="G476" s="245"/>
      <c r="H476" s="246"/>
      <c r="I476" s="246"/>
      <c r="J476" s="246"/>
      <c r="K476" s="246"/>
      <c r="L476" s="247"/>
      <c r="M476" s="247"/>
      <c r="N476" s="247"/>
      <c r="O476" s="247"/>
      <c r="P476" s="247"/>
      <c r="Q476" s="247"/>
      <c r="R476" s="247"/>
      <c r="S476" s="247"/>
      <c r="T476" s="247"/>
      <c r="U476" s="247"/>
      <c r="V476" s="247"/>
      <c r="W476" s="247"/>
      <c r="X476" s="247"/>
      <c r="Y476" s="247"/>
      <c r="Z476" s="247"/>
      <c r="AA476" s="247"/>
      <c r="AB476" s="247"/>
      <c r="AC476" s="247"/>
      <c r="AD476" s="247"/>
      <c r="AE476" s="247"/>
      <c r="AF476" s="247"/>
      <c r="AG476" s="247"/>
      <c r="AH476" s="247"/>
      <c r="AI476" s="247"/>
      <c r="AJ476" s="247"/>
      <c r="AK476" s="247"/>
      <c r="AL476" s="247"/>
      <c r="AM476" s="247"/>
      <c r="AN476" s="247"/>
      <c r="AO476" s="247"/>
      <c r="AP476" s="247"/>
      <c r="AQ476" s="247"/>
      <c r="AR476" s="247"/>
      <c r="AS476" s="247"/>
      <c r="AT476" s="248"/>
    </row>
    <row r="477" spans="1:46" s="445" customFormat="1" ht="47.25" customHeight="1">
      <c r="A477" s="245"/>
      <c r="B477" s="249"/>
      <c r="C477" s="245"/>
      <c r="D477" s="249"/>
      <c r="E477" s="249"/>
      <c r="F477" s="245"/>
      <c r="G477" s="245"/>
      <c r="H477" s="246"/>
      <c r="I477" s="246"/>
      <c r="J477" s="246"/>
      <c r="K477" s="246"/>
      <c r="L477" s="247"/>
      <c r="M477" s="247"/>
      <c r="N477" s="247"/>
      <c r="O477" s="247"/>
      <c r="P477" s="247"/>
      <c r="Q477" s="247"/>
      <c r="R477" s="247"/>
      <c r="S477" s="247"/>
      <c r="T477" s="247"/>
      <c r="U477" s="247"/>
      <c r="V477" s="247"/>
      <c r="W477" s="247"/>
      <c r="X477" s="247"/>
      <c r="Y477" s="247"/>
      <c r="Z477" s="247"/>
      <c r="AA477" s="247"/>
      <c r="AB477" s="247"/>
      <c r="AC477" s="247"/>
      <c r="AD477" s="247"/>
      <c r="AE477" s="247"/>
      <c r="AF477" s="247"/>
      <c r="AG477" s="247"/>
      <c r="AH477" s="247"/>
      <c r="AI477" s="247"/>
      <c r="AJ477" s="247"/>
      <c r="AK477" s="247"/>
      <c r="AL477" s="247"/>
      <c r="AM477" s="247"/>
      <c r="AN477" s="247"/>
      <c r="AO477" s="247"/>
      <c r="AP477" s="247"/>
      <c r="AQ477" s="247"/>
      <c r="AR477" s="247"/>
      <c r="AS477" s="247"/>
      <c r="AT477" s="248"/>
    </row>
    <row r="478" spans="1:46" s="445" customFormat="1" ht="47.25" customHeight="1">
      <c r="A478" s="245"/>
      <c r="B478" s="249"/>
      <c r="C478" s="245"/>
      <c r="D478" s="249"/>
      <c r="E478" s="249"/>
      <c r="F478" s="245"/>
      <c r="G478" s="245"/>
      <c r="H478" s="246"/>
      <c r="I478" s="246"/>
      <c r="J478" s="246"/>
      <c r="K478" s="246"/>
      <c r="L478" s="247"/>
      <c r="M478" s="247"/>
      <c r="N478" s="247"/>
      <c r="O478" s="247"/>
      <c r="P478" s="247"/>
      <c r="Q478" s="247"/>
      <c r="R478" s="247"/>
      <c r="S478" s="247"/>
      <c r="T478" s="247"/>
      <c r="U478" s="247"/>
      <c r="V478" s="247"/>
      <c r="W478" s="247"/>
      <c r="X478" s="247"/>
      <c r="Y478" s="247"/>
      <c r="Z478" s="247"/>
      <c r="AA478" s="247"/>
      <c r="AB478" s="247"/>
      <c r="AC478" s="247"/>
      <c r="AD478" s="247"/>
      <c r="AE478" s="247"/>
      <c r="AF478" s="247"/>
      <c r="AG478" s="247"/>
      <c r="AH478" s="247"/>
      <c r="AI478" s="247"/>
      <c r="AJ478" s="247"/>
      <c r="AK478" s="247"/>
      <c r="AL478" s="247"/>
      <c r="AM478" s="247"/>
      <c r="AN478" s="247"/>
      <c r="AO478" s="247"/>
      <c r="AP478" s="247"/>
      <c r="AQ478" s="247"/>
      <c r="AR478" s="247"/>
      <c r="AS478" s="247"/>
      <c r="AT478" s="248"/>
    </row>
    <row r="479" spans="1:46" s="445" customFormat="1" ht="47.25" customHeight="1">
      <c r="A479" s="245"/>
      <c r="B479" s="249"/>
      <c r="C479" s="245"/>
      <c r="D479" s="249"/>
      <c r="E479" s="249"/>
      <c r="F479" s="245"/>
      <c r="G479" s="245"/>
      <c r="H479" s="246"/>
      <c r="I479" s="246"/>
      <c r="J479" s="246"/>
      <c r="K479" s="246"/>
      <c r="L479" s="247"/>
      <c r="M479" s="247"/>
      <c r="N479" s="247"/>
      <c r="O479" s="247"/>
      <c r="P479" s="247"/>
      <c r="Q479" s="247"/>
      <c r="R479" s="247"/>
      <c r="S479" s="247"/>
      <c r="T479" s="247"/>
      <c r="U479" s="247"/>
      <c r="V479" s="247"/>
      <c r="W479" s="247"/>
      <c r="X479" s="247"/>
      <c r="Y479" s="247"/>
      <c r="Z479" s="247"/>
      <c r="AA479" s="247"/>
      <c r="AB479" s="247"/>
      <c r="AC479" s="247"/>
      <c r="AD479" s="247"/>
      <c r="AE479" s="247"/>
      <c r="AF479" s="247"/>
      <c r="AG479" s="247"/>
      <c r="AH479" s="247"/>
      <c r="AI479" s="247"/>
      <c r="AJ479" s="247"/>
      <c r="AK479" s="247"/>
      <c r="AL479" s="247"/>
      <c r="AM479" s="247"/>
      <c r="AN479" s="247"/>
      <c r="AO479" s="247"/>
      <c r="AP479" s="247"/>
      <c r="AQ479" s="247"/>
      <c r="AR479" s="247"/>
      <c r="AS479" s="247"/>
      <c r="AT479" s="248"/>
    </row>
    <row r="480" spans="1:46" s="445" customFormat="1" ht="47.25" customHeight="1">
      <c r="A480" s="245"/>
      <c r="B480" s="249"/>
      <c r="C480" s="245"/>
      <c r="D480" s="249"/>
      <c r="E480" s="249"/>
      <c r="F480" s="245"/>
      <c r="G480" s="245"/>
      <c r="H480" s="246"/>
      <c r="I480" s="246"/>
      <c r="J480" s="246"/>
      <c r="K480" s="246"/>
      <c r="L480" s="247"/>
      <c r="M480" s="247"/>
      <c r="N480" s="247"/>
      <c r="O480" s="247"/>
      <c r="P480" s="247"/>
      <c r="Q480" s="247"/>
      <c r="R480" s="247"/>
      <c r="S480" s="247"/>
      <c r="T480" s="247"/>
      <c r="U480" s="247"/>
      <c r="V480" s="247"/>
      <c r="W480" s="247"/>
      <c r="X480" s="247"/>
      <c r="Y480" s="247"/>
      <c r="Z480" s="247"/>
      <c r="AA480" s="247"/>
      <c r="AB480" s="247"/>
      <c r="AC480" s="247"/>
      <c r="AD480" s="247"/>
      <c r="AE480" s="247"/>
      <c r="AF480" s="247"/>
      <c r="AG480" s="247"/>
      <c r="AH480" s="247"/>
      <c r="AI480" s="247"/>
      <c r="AJ480" s="247"/>
      <c r="AK480" s="247"/>
      <c r="AL480" s="247"/>
      <c r="AM480" s="247"/>
      <c r="AN480" s="247"/>
      <c r="AO480" s="247"/>
      <c r="AP480" s="247"/>
      <c r="AQ480" s="247"/>
      <c r="AR480" s="247"/>
      <c r="AS480" s="247"/>
      <c r="AT480" s="248"/>
    </row>
    <row r="481" spans="1:46" s="445" customFormat="1" ht="47.25" customHeight="1">
      <c r="A481" s="245"/>
      <c r="B481" s="249"/>
      <c r="C481" s="245"/>
      <c r="D481" s="249"/>
      <c r="E481" s="249"/>
      <c r="F481" s="245"/>
      <c r="G481" s="245"/>
      <c r="H481" s="246"/>
      <c r="I481" s="246"/>
      <c r="J481" s="246"/>
      <c r="K481" s="246"/>
      <c r="L481" s="247"/>
      <c r="M481" s="247"/>
      <c r="N481" s="247"/>
      <c r="O481" s="247"/>
      <c r="P481" s="247"/>
      <c r="Q481" s="247"/>
      <c r="R481" s="247"/>
      <c r="S481" s="247"/>
      <c r="T481" s="247"/>
      <c r="U481" s="247"/>
      <c r="V481" s="247"/>
      <c r="W481" s="247"/>
      <c r="X481" s="247"/>
      <c r="Y481" s="247"/>
      <c r="Z481" s="247"/>
      <c r="AA481" s="247"/>
      <c r="AB481" s="247"/>
      <c r="AC481" s="247"/>
      <c r="AD481" s="247"/>
      <c r="AE481" s="247"/>
      <c r="AF481" s="247"/>
      <c r="AG481" s="247"/>
      <c r="AH481" s="247"/>
      <c r="AI481" s="247"/>
      <c r="AJ481" s="247"/>
      <c r="AK481" s="247"/>
      <c r="AL481" s="247"/>
      <c r="AM481" s="247"/>
      <c r="AN481" s="247"/>
      <c r="AO481" s="247"/>
      <c r="AP481" s="247"/>
      <c r="AQ481" s="247"/>
      <c r="AR481" s="247"/>
      <c r="AS481" s="247"/>
      <c r="AT481" s="248"/>
    </row>
    <row r="482" spans="1:46" s="445" customFormat="1" ht="47.25" customHeight="1">
      <c r="A482" s="245"/>
      <c r="B482" s="249"/>
      <c r="C482" s="245"/>
      <c r="D482" s="249"/>
      <c r="E482" s="249"/>
      <c r="F482" s="245"/>
      <c r="G482" s="245"/>
      <c r="H482" s="246"/>
      <c r="I482" s="246"/>
      <c r="J482" s="246"/>
      <c r="K482" s="246"/>
      <c r="L482" s="247"/>
      <c r="M482" s="247"/>
      <c r="N482" s="247"/>
      <c r="O482" s="247"/>
      <c r="P482" s="247"/>
      <c r="Q482" s="247"/>
      <c r="R482" s="247"/>
      <c r="S482" s="247"/>
      <c r="T482" s="247"/>
      <c r="U482" s="247"/>
      <c r="V482" s="247"/>
      <c r="W482" s="247"/>
      <c r="X482" s="247"/>
      <c r="Y482" s="247"/>
      <c r="Z482" s="247"/>
      <c r="AA482" s="247"/>
      <c r="AB482" s="247"/>
      <c r="AC482" s="247"/>
      <c r="AD482" s="247"/>
      <c r="AE482" s="247"/>
      <c r="AF482" s="247"/>
      <c r="AG482" s="247"/>
      <c r="AH482" s="247"/>
      <c r="AI482" s="247"/>
      <c r="AJ482" s="247"/>
      <c r="AK482" s="247"/>
      <c r="AL482" s="247"/>
      <c r="AM482" s="247"/>
      <c r="AN482" s="247"/>
      <c r="AO482" s="247"/>
      <c r="AP482" s="247"/>
      <c r="AQ482" s="247"/>
      <c r="AR482" s="247"/>
      <c r="AS482" s="247"/>
      <c r="AT482" s="248"/>
    </row>
    <row r="483" spans="1:46" s="445" customFormat="1" ht="47.25" customHeight="1">
      <c r="A483" s="245"/>
      <c r="B483" s="249"/>
      <c r="C483" s="245"/>
      <c r="D483" s="249"/>
      <c r="E483" s="249"/>
      <c r="F483" s="245"/>
      <c r="G483" s="245"/>
      <c r="H483" s="246"/>
      <c r="I483" s="246"/>
      <c r="J483" s="246"/>
      <c r="K483" s="246"/>
      <c r="L483" s="247"/>
      <c r="M483" s="247"/>
      <c r="N483" s="247"/>
      <c r="O483" s="247"/>
      <c r="P483" s="247"/>
      <c r="Q483" s="247"/>
      <c r="R483" s="247"/>
      <c r="S483" s="247"/>
      <c r="T483" s="247"/>
      <c r="U483" s="247"/>
      <c r="V483" s="247"/>
      <c r="W483" s="247"/>
      <c r="X483" s="247"/>
      <c r="Y483" s="247"/>
      <c r="Z483" s="247"/>
      <c r="AA483" s="247"/>
      <c r="AB483" s="247"/>
      <c r="AC483" s="247"/>
      <c r="AD483" s="247"/>
      <c r="AE483" s="247"/>
      <c r="AF483" s="247"/>
      <c r="AG483" s="247"/>
      <c r="AH483" s="247"/>
      <c r="AI483" s="247"/>
      <c r="AJ483" s="247"/>
      <c r="AK483" s="247"/>
      <c r="AL483" s="247"/>
      <c r="AM483" s="247"/>
      <c r="AN483" s="247"/>
      <c r="AO483" s="247"/>
      <c r="AP483" s="247"/>
      <c r="AQ483" s="247"/>
      <c r="AR483" s="247"/>
      <c r="AS483" s="247"/>
      <c r="AT483" s="248"/>
    </row>
    <row r="484" spans="1:46" s="445" customFormat="1" ht="47.25" customHeight="1">
      <c r="A484" s="245"/>
      <c r="B484" s="249"/>
      <c r="C484" s="245"/>
      <c r="D484" s="249"/>
      <c r="E484" s="249"/>
      <c r="F484" s="245"/>
      <c r="G484" s="245"/>
      <c r="H484" s="246"/>
      <c r="I484" s="246"/>
      <c r="J484" s="246"/>
      <c r="K484" s="246"/>
      <c r="L484" s="247"/>
      <c r="M484" s="247"/>
      <c r="N484" s="247"/>
      <c r="O484" s="247"/>
      <c r="P484" s="247"/>
      <c r="Q484" s="247"/>
      <c r="R484" s="247"/>
      <c r="S484" s="247"/>
      <c r="T484" s="247"/>
      <c r="U484" s="247"/>
      <c r="V484" s="247"/>
      <c r="W484" s="247"/>
      <c r="X484" s="247"/>
      <c r="Y484" s="247"/>
      <c r="Z484" s="247"/>
      <c r="AA484" s="247"/>
      <c r="AB484" s="247"/>
      <c r="AC484" s="247"/>
      <c r="AD484" s="247"/>
      <c r="AE484" s="247"/>
      <c r="AF484" s="247"/>
      <c r="AG484" s="247"/>
      <c r="AH484" s="247"/>
      <c r="AI484" s="247"/>
      <c r="AJ484" s="247"/>
      <c r="AK484" s="247"/>
      <c r="AL484" s="247"/>
      <c r="AM484" s="247"/>
      <c r="AN484" s="247"/>
      <c r="AO484" s="247"/>
      <c r="AP484" s="247"/>
      <c r="AQ484" s="247"/>
      <c r="AR484" s="247"/>
      <c r="AS484" s="247"/>
      <c r="AT484" s="248"/>
    </row>
    <row r="485" spans="1:46" s="445" customFormat="1" ht="47.25" customHeight="1">
      <c r="A485" s="245"/>
      <c r="B485" s="249"/>
      <c r="C485" s="245"/>
      <c r="D485" s="249"/>
      <c r="E485" s="249"/>
      <c r="F485" s="245"/>
      <c r="G485" s="245"/>
      <c r="H485" s="246"/>
      <c r="I485" s="246"/>
      <c r="J485" s="246"/>
      <c r="K485" s="246"/>
      <c r="L485" s="247"/>
      <c r="M485" s="247"/>
      <c r="N485" s="247"/>
      <c r="O485" s="247"/>
      <c r="P485" s="247"/>
      <c r="Q485" s="247"/>
      <c r="R485" s="247"/>
      <c r="S485" s="247"/>
      <c r="T485" s="247"/>
      <c r="U485" s="247"/>
      <c r="V485" s="247"/>
      <c r="W485" s="247"/>
      <c r="X485" s="247"/>
      <c r="Y485" s="247"/>
      <c r="Z485" s="247"/>
      <c r="AA485" s="247"/>
      <c r="AB485" s="247"/>
      <c r="AC485" s="247"/>
      <c r="AD485" s="247"/>
      <c r="AE485" s="247"/>
      <c r="AF485" s="247"/>
      <c r="AG485" s="247"/>
      <c r="AH485" s="247"/>
      <c r="AI485" s="247"/>
      <c r="AJ485" s="247"/>
      <c r="AK485" s="247"/>
      <c r="AL485" s="247"/>
      <c r="AM485" s="247"/>
      <c r="AN485" s="247"/>
      <c r="AO485" s="247"/>
      <c r="AP485" s="247"/>
      <c r="AQ485" s="247"/>
      <c r="AR485" s="247"/>
      <c r="AS485" s="247"/>
      <c r="AT485" s="248"/>
    </row>
    <row r="486" spans="1:46" s="445" customFormat="1" ht="47.25" customHeight="1">
      <c r="A486" s="245"/>
      <c r="B486" s="249"/>
      <c r="C486" s="245"/>
      <c r="D486" s="249"/>
      <c r="E486" s="249"/>
      <c r="F486" s="245"/>
      <c r="G486" s="245"/>
      <c r="H486" s="246"/>
      <c r="I486" s="246"/>
      <c r="J486" s="246"/>
      <c r="K486" s="246"/>
      <c r="L486" s="247"/>
      <c r="M486" s="247"/>
      <c r="N486" s="247"/>
      <c r="O486" s="247"/>
      <c r="P486" s="247"/>
      <c r="Q486" s="247"/>
      <c r="R486" s="247"/>
      <c r="S486" s="247"/>
      <c r="T486" s="247"/>
      <c r="U486" s="247"/>
      <c r="V486" s="247"/>
      <c r="W486" s="247"/>
      <c r="X486" s="247"/>
      <c r="Y486" s="247"/>
      <c r="Z486" s="247"/>
      <c r="AA486" s="247"/>
      <c r="AB486" s="247"/>
      <c r="AC486" s="247"/>
      <c r="AD486" s="247"/>
      <c r="AE486" s="247"/>
      <c r="AF486" s="247"/>
      <c r="AG486" s="247"/>
      <c r="AH486" s="247"/>
      <c r="AI486" s="247"/>
      <c r="AJ486" s="247"/>
      <c r="AK486" s="247"/>
      <c r="AL486" s="247"/>
      <c r="AM486" s="247"/>
      <c r="AN486" s="247"/>
      <c r="AO486" s="247"/>
      <c r="AP486" s="247"/>
      <c r="AQ486" s="247"/>
      <c r="AR486" s="247"/>
      <c r="AS486" s="247"/>
      <c r="AT486" s="248"/>
    </row>
    <row r="487" spans="1:46" s="445" customFormat="1" ht="47.25" customHeight="1">
      <c r="A487" s="245"/>
      <c r="B487" s="249"/>
      <c r="C487" s="245"/>
      <c r="D487" s="249"/>
      <c r="E487" s="249"/>
      <c r="F487" s="245"/>
      <c r="G487" s="245"/>
      <c r="H487" s="246"/>
      <c r="I487" s="246"/>
      <c r="J487" s="246"/>
      <c r="K487" s="246"/>
      <c r="L487" s="247"/>
      <c r="M487" s="247"/>
      <c r="N487" s="247"/>
      <c r="O487" s="247"/>
      <c r="P487" s="247"/>
      <c r="Q487" s="247"/>
      <c r="R487" s="247"/>
      <c r="S487" s="247"/>
      <c r="T487" s="247"/>
      <c r="U487" s="247"/>
      <c r="V487" s="247"/>
      <c r="W487" s="247"/>
      <c r="X487" s="247"/>
      <c r="Y487" s="247"/>
      <c r="Z487" s="247"/>
      <c r="AA487" s="247"/>
      <c r="AB487" s="247"/>
      <c r="AC487" s="247"/>
      <c r="AD487" s="247"/>
      <c r="AE487" s="247"/>
      <c r="AF487" s="247"/>
      <c r="AG487" s="247"/>
      <c r="AH487" s="247"/>
      <c r="AI487" s="247"/>
      <c r="AJ487" s="247"/>
      <c r="AK487" s="247"/>
      <c r="AL487" s="247"/>
      <c r="AM487" s="247"/>
      <c r="AN487" s="247"/>
      <c r="AO487" s="247"/>
      <c r="AP487" s="247"/>
      <c r="AQ487" s="247"/>
      <c r="AR487" s="247"/>
      <c r="AS487" s="247"/>
      <c r="AT487" s="248"/>
    </row>
    <row r="488" spans="1:46" s="445" customFormat="1" ht="47.25" customHeight="1">
      <c r="A488" s="245"/>
      <c r="B488" s="249"/>
      <c r="C488" s="245"/>
      <c r="D488" s="249"/>
      <c r="E488" s="249"/>
      <c r="F488" s="245"/>
      <c r="G488" s="245"/>
      <c r="H488" s="246"/>
      <c r="I488" s="246"/>
      <c r="J488" s="246"/>
      <c r="K488" s="246"/>
      <c r="L488" s="247"/>
      <c r="M488" s="247"/>
      <c r="N488" s="247"/>
      <c r="O488" s="247"/>
      <c r="P488" s="247"/>
      <c r="Q488" s="247"/>
      <c r="R488" s="247"/>
      <c r="S488" s="247"/>
      <c r="T488" s="247"/>
      <c r="U488" s="247"/>
      <c r="V488" s="247"/>
      <c r="W488" s="247"/>
      <c r="X488" s="247"/>
      <c r="Y488" s="247"/>
      <c r="Z488" s="247"/>
      <c r="AA488" s="247"/>
      <c r="AB488" s="247"/>
      <c r="AC488" s="247"/>
      <c r="AD488" s="247"/>
      <c r="AE488" s="247"/>
      <c r="AF488" s="247"/>
      <c r="AG488" s="247"/>
      <c r="AH488" s="247"/>
      <c r="AI488" s="247"/>
      <c r="AJ488" s="247"/>
      <c r="AK488" s="247"/>
      <c r="AL488" s="247"/>
      <c r="AM488" s="247"/>
      <c r="AN488" s="247"/>
      <c r="AO488" s="247"/>
      <c r="AP488" s="247"/>
      <c r="AQ488" s="247"/>
      <c r="AR488" s="247"/>
      <c r="AS488" s="247"/>
      <c r="AT488" s="248"/>
    </row>
    <row r="489" spans="1:46" s="445" customFormat="1" ht="47.25" customHeight="1">
      <c r="A489" s="245"/>
      <c r="B489" s="249"/>
      <c r="C489" s="245"/>
      <c r="D489" s="249"/>
      <c r="E489" s="249"/>
      <c r="F489" s="245"/>
      <c r="G489" s="245"/>
      <c r="H489" s="246"/>
      <c r="I489" s="246"/>
      <c r="J489" s="246"/>
      <c r="K489" s="246"/>
      <c r="L489" s="247"/>
      <c r="M489" s="247"/>
      <c r="N489" s="247"/>
      <c r="O489" s="247"/>
      <c r="P489" s="247"/>
      <c r="Q489" s="247"/>
      <c r="R489" s="247"/>
      <c r="S489" s="247"/>
      <c r="T489" s="247"/>
      <c r="U489" s="247"/>
      <c r="V489" s="247"/>
      <c r="W489" s="247"/>
      <c r="X489" s="247"/>
      <c r="Y489" s="247"/>
      <c r="Z489" s="247"/>
      <c r="AA489" s="247"/>
      <c r="AB489" s="247"/>
      <c r="AC489" s="247"/>
      <c r="AD489" s="247"/>
      <c r="AE489" s="247"/>
      <c r="AF489" s="247"/>
      <c r="AG489" s="247"/>
      <c r="AH489" s="247"/>
      <c r="AI489" s="247"/>
      <c r="AJ489" s="247"/>
      <c r="AK489" s="247"/>
      <c r="AL489" s="247"/>
      <c r="AM489" s="247"/>
      <c r="AN489" s="247"/>
      <c r="AO489" s="247"/>
      <c r="AP489" s="247"/>
      <c r="AQ489" s="247"/>
      <c r="AR489" s="247"/>
      <c r="AS489" s="247"/>
      <c r="AT489" s="248"/>
    </row>
    <row r="490" spans="1:46" s="445" customFormat="1" ht="47.25" customHeight="1">
      <c r="A490" s="245"/>
      <c r="B490" s="249"/>
      <c r="C490" s="245"/>
      <c r="D490" s="249"/>
      <c r="E490" s="249"/>
      <c r="F490" s="245"/>
      <c r="G490" s="245"/>
      <c r="H490" s="246"/>
      <c r="I490" s="246"/>
      <c r="J490" s="246"/>
      <c r="K490" s="246"/>
      <c r="L490" s="247"/>
      <c r="M490" s="247"/>
      <c r="N490" s="247"/>
      <c r="O490" s="247"/>
      <c r="P490" s="247"/>
      <c r="Q490" s="247"/>
      <c r="R490" s="247"/>
      <c r="S490" s="247"/>
      <c r="T490" s="247"/>
      <c r="U490" s="247"/>
      <c r="V490" s="247"/>
      <c r="W490" s="247"/>
      <c r="X490" s="247"/>
      <c r="Y490" s="247"/>
      <c r="Z490" s="247"/>
      <c r="AA490" s="247"/>
      <c r="AB490" s="247"/>
      <c r="AC490" s="247"/>
      <c r="AD490" s="247"/>
      <c r="AE490" s="247"/>
      <c r="AF490" s="247"/>
      <c r="AG490" s="247"/>
      <c r="AH490" s="247"/>
      <c r="AI490" s="247"/>
      <c r="AJ490" s="247"/>
      <c r="AK490" s="247"/>
      <c r="AL490" s="247"/>
      <c r="AM490" s="247"/>
      <c r="AN490" s="247"/>
      <c r="AO490" s="247"/>
      <c r="AP490" s="247"/>
      <c r="AQ490" s="247"/>
      <c r="AR490" s="247"/>
      <c r="AS490" s="247"/>
      <c r="AT490" s="248"/>
    </row>
    <row r="491" spans="1:46" s="445" customFormat="1" ht="47.25" customHeight="1">
      <c r="A491" s="245"/>
      <c r="B491" s="249"/>
      <c r="C491" s="245"/>
      <c r="D491" s="249"/>
      <c r="E491" s="249"/>
      <c r="F491" s="245"/>
      <c r="G491" s="245"/>
      <c r="H491" s="246"/>
      <c r="I491" s="246"/>
      <c r="J491" s="246"/>
      <c r="K491" s="246"/>
      <c r="L491" s="247"/>
      <c r="M491" s="247"/>
      <c r="N491" s="247"/>
      <c r="O491" s="247"/>
      <c r="P491" s="247"/>
      <c r="Q491" s="247"/>
      <c r="R491" s="247"/>
      <c r="S491" s="247"/>
      <c r="T491" s="247"/>
      <c r="U491" s="247"/>
      <c r="V491" s="247"/>
      <c r="W491" s="247"/>
      <c r="X491" s="247"/>
      <c r="Y491" s="247"/>
      <c r="Z491" s="247"/>
      <c r="AA491" s="247"/>
      <c r="AB491" s="247"/>
      <c r="AC491" s="247"/>
      <c r="AD491" s="247"/>
      <c r="AE491" s="247"/>
      <c r="AF491" s="247"/>
      <c r="AG491" s="247"/>
      <c r="AH491" s="247"/>
      <c r="AI491" s="247"/>
      <c r="AJ491" s="247"/>
      <c r="AK491" s="247"/>
      <c r="AL491" s="247"/>
      <c r="AM491" s="247"/>
      <c r="AN491" s="247"/>
      <c r="AO491" s="247"/>
      <c r="AP491" s="247"/>
      <c r="AQ491" s="247"/>
      <c r="AR491" s="247"/>
      <c r="AS491" s="247"/>
      <c r="AT491" s="248"/>
    </row>
    <row r="492" spans="1:46" s="445" customFormat="1" ht="47.25" customHeight="1">
      <c r="A492" s="245"/>
      <c r="B492" s="249"/>
      <c r="C492" s="245"/>
      <c r="D492" s="249"/>
      <c r="E492" s="249"/>
      <c r="F492" s="245"/>
      <c r="G492" s="245"/>
      <c r="H492" s="246"/>
      <c r="I492" s="246"/>
      <c r="J492" s="246"/>
      <c r="K492" s="246"/>
      <c r="L492" s="247"/>
      <c r="M492" s="247"/>
      <c r="N492" s="247"/>
      <c r="O492" s="247"/>
      <c r="P492" s="247"/>
      <c r="Q492" s="247"/>
      <c r="R492" s="247"/>
      <c r="S492" s="247"/>
      <c r="T492" s="247"/>
      <c r="U492" s="247"/>
      <c r="V492" s="247"/>
      <c r="W492" s="247"/>
      <c r="X492" s="247"/>
      <c r="Y492" s="247"/>
      <c r="Z492" s="247"/>
      <c r="AA492" s="247"/>
      <c r="AB492" s="247"/>
      <c r="AC492" s="247"/>
      <c r="AD492" s="247"/>
      <c r="AE492" s="247"/>
      <c r="AF492" s="247"/>
      <c r="AG492" s="247"/>
      <c r="AH492" s="247"/>
      <c r="AI492" s="247"/>
      <c r="AJ492" s="247"/>
      <c r="AK492" s="247"/>
      <c r="AL492" s="247"/>
      <c r="AM492" s="247"/>
      <c r="AN492" s="247"/>
      <c r="AO492" s="247"/>
      <c r="AP492" s="247"/>
      <c r="AQ492" s="247"/>
      <c r="AR492" s="247"/>
      <c r="AS492" s="247"/>
      <c r="AT492" s="248"/>
    </row>
    <row r="493" spans="1:46" s="445" customFormat="1" ht="47.25" customHeight="1">
      <c r="A493" s="245"/>
      <c r="B493" s="249"/>
      <c r="C493" s="245"/>
      <c r="D493" s="249"/>
      <c r="E493" s="249"/>
      <c r="F493" s="245"/>
      <c r="G493" s="245"/>
      <c r="H493" s="246"/>
      <c r="I493" s="246"/>
      <c r="J493" s="246"/>
      <c r="K493" s="246"/>
      <c r="L493" s="247"/>
      <c r="M493" s="247"/>
      <c r="N493" s="247"/>
      <c r="O493" s="247"/>
      <c r="P493" s="247"/>
      <c r="Q493" s="247"/>
      <c r="R493" s="247"/>
      <c r="S493" s="247"/>
      <c r="T493" s="247"/>
      <c r="U493" s="247"/>
      <c r="V493" s="247"/>
      <c r="W493" s="247"/>
      <c r="X493" s="247"/>
      <c r="Y493" s="247"/>
      <c r="Z493" s="247"/>
      <c r="AA493" s="247"/>
      <c r="AB493" s="247"/>
      <c r="AC493" s="247"/>
      <c r="AD493" s="247"/>
      <c r="AE493" s="247"/>
      <c r="AF493" s="247"/>
      <c r="AG493" s="247"/>
      <c r="AH493" s="247"/>
      <c r="AI493" s="247"/>
      <c r="AJ493" s="247"/>
      <c r="AK493" s="247"/>
      <c r="AL493" s="247"/>
      <c r="AM493" s="247"/>
      <c r="AN493" s="247"/>
      <c r="AO493" s="247"/>
      <c r="AP493" s="247"/>
      <c r="AQ493" s="247"/>
      <c r="AR493" s="247"/>
      <c r="AS493" s="247"/>
      <c r="AT493" s="248"/>
    </row>
    <row r="494" spans="1:46" s="445" customFormat="1" ht="47.25" customHeight="1">
      <c r="A494" s="245"/>
      <c r="B494" s="249"/>
      <c r="C494" s="245"/>
      <c r="D494" s="249"/>
      <c r="E494" s="249"/>
      <c r="F494" s="245"/>
      <c r="G494" s="245"/>
      <c r="H494" s="246"/>
      <c r="I494" s="246"/>
      <c r="J494" s="246"/>
      <c r="K494" s="246"/>
      <c r="L494" s="247"/>
      <c r="M494" s="247"/>
      <c r="N494" s="247"/>
      <c r="O494" s="247"/>
      <c r="P494" s="247"/>
      <c r="Q494" s="247"/>
      <c r="R494" s="247"/>
      <c r="S494" s="247"/>
      <c r="T494" s="247"/>
      <c r="U494" s="247"/>
      <c r="V494" s="247"/>
      <c r="W494" s="247"/>
      <c r="X494" s="247"/>
      <c r="Y494" s="247"/>
      <c r="Z494" s="247"/>
      <c r="AA494" s="247"/>
      <c r="AB494" s="247"/>
      <c r="AC494" s="247"/>
      <c r="AD494" s="247"/>
      <c r="AE494" s="247"/>
      <c r="AF494" s="247"/>
      <c r="AG494" s="247"/>
      <c r="AH494" s="247"/>
      <c r="AI494" s="247"/>
      <c r="AJ494" s="247"/>
      <c r="AK494" s="247"/>
      <c r="AL494" s="247"/>
      <c r="AM494" s="247"/>
      <c r="AN494" s="247"/>
      <c r="AO494" s="247"/>
      <c r="AP494" s="247"/>
      <c r="AQ494" s="247"/>
      <c r="AR494" s="247"/>
      <c r="AS494" s="247"/>
      <c r="AT494" s="248"/>
    </row>
    <row r="495" spans="1:46" s="445" customFormat="1" ht="47.25" customHeight="1">
      <c r="A495" s="245"/>
      <c r="B495" s="249"/>
      <c r="C495" s="245"/>
      <c r="D495" s="249"/>
      <c r="E495" s="249"/>
      <c r="F495" s="245"/>
      <c r="G495" s="245"/>
      <c r="H495" s="246"/>
      <c r="I495" s="246"/>
      <c r="J495" s="246"/>
      <c r="K495" s="246"/>
      <c r="L495" s="247"/>
      <c r="M495" s="247"/>
      <c r="N495" s="247"/>
      <c r="O495" s="247"/>
      <c r="P495" s="247"/>
      <c r="Q495" s="247"/>
      <c r="R495" s="247"/>
      <c r="S495" s="247"/>
      <c r="T495" s="247"/>
      <c r="U495" s="247"/>
      <c r="V495" s="247"/>
      <c r="W495" s="247"/>
      <c r="X495" s="247"/>
      <c r="Y495" s="247"/>
      <c r="Z495" s="247"/>
      <c r="AA495" s="247"/>
      <c r="AB495" s="247"/>
      <c r="AC495" s="247"/>
      <c r="AD495" s="247"/>
      <c r="AE495" s="247"/>
      <c r="AF495" s="247"/>
      <c r="AG495" s="247"/>
      <c r="AH495" s="247"/>
      <c r="AI495" s="247"/>
      <c r="AJ495" s="247"/>
      <c r="AK495" s="247"/>
      <c r="AL495" s="247"/>
      <c r="AM495" s="247"/>
      <c r="AN495" s="247"/>
      <c r="AO495" s="247"/>
      <c r="AP495" s="247"/>
      <c r="AQ495" s="247"/>
      <c r="AR495" s="247"/>
      <c r="AS495" s="247"/>
      <c r="AT495" s="248"/>
    </row>
    <row r="496" spans="1:46" s="445" customFormat="1" ht="47.25" customHeight="1">
      <c r="A496" s="245"/>
      <c r="B496" s="249"/>
      <c r="C496" s="245"/>
      <c r="D496" s="249"/>
      <c r="E496" s="249"/>
      <c r="F496" s="245"/>
      <c r="G496" s="245"/>
      <c r="H496" s="246"/>
      <c r="I496" s="246"/>
      <c r="J496" s="246"/>
      <c r="K496" s="246"/>
      <c r="L496" s="247"/>
      <c r="M496" s="247"/>
      <c r="N496" s="247"/>
      <c r="O496" s="247"/>
      <c r="P496" s="247"/>
      <c r="Q496" s="247"/>
      <c r="R496" s="247"/>
      <c r="S496" s="247"/>
      <c r="T496" s="247"/>
      <c r="U496" s="247"/>
      <c r="V496" s="247"/>
      <c r="W496" s="247"/>
      <c r="X496" s="247"/>
      <c r="Y496" s="247"/>
      <c r="Z496" s="247"/>
      <c r="AA496" s="247"/>
      <c r="AB496" s="247"/>
      <c r="AC496" s="247"/>
      <c r="AD496" s="247"/>
      <c r="AE496" s="247"/>
      <c r="AF496" s="247"/>
      <c r="AG496" s="247"/>
      <c r="AH496" s="247"/>
      <c r="AI496" s="247"/>
      <c r="AJ496" s="247"/>
      <c r="AK496" s="247"/>
      <c r="AL496" s="247"/>
      <c r="AM496" s="247"/>
      <c r="AN496" s="247"/>
      <c r="AO496" s="247"/>
      <c r="AP496" s="247"/>
      <c r="AQ496" s="247"/>
      <c r="AR496" s="247"/>
      <c r="AS496" s="247"/>
      <c r="AT496" s="248"/>
    </row>
    <row r="497" spans="1:46" s="445" customFormat="1" ht="47.25" customHeight="1">
      <c r="A497" s="245"/>
      <c r="B497" s="249"/>
      <c r="C497" s="245"/>
      <c r="D497" s="249"/>
      <c r="E497" s="249"/>
      <c r="F497" s="245"/>
      <c r="G497" s="245"/>
      <c r="H497" s="246"/>
      <c r="I497" s="246"/>
      <c r="J497" s="246"/>
      <c r="K497" s="246"/>
      <c r="L497" s="247"/>
      <c r="M497" s="247"/>
      <c r="N497" s="247"/>
      <c r="O497" s="247"/>
      <c r="P497" s="247"/>
      <c r="Q497" s="247"/>
      <c r="R497" s="247"/>
      <c r="S497" s="247"/>
      <c r="T497" s="247"/>
      <c r="U497" s="247"/>
      <c r="V497" s="247"/>
      <c r="W497" s="247"/>
      <c r="X497" s="247"/>
      <c r="Y497" s="247"/>
      <c r="Z497" s="247"/>
      <c r="AA497" s="247"/>
      <c r="AB497" s="247"/>
      <c r="AC497" s="247"/>
      <c r="AD497" s="247"/>
      <c r="AE497" s="247"/>
      <c r="AF497" s="247"/>
      <c r="AG497" s="247"/>
      <c r="AH497" s="247"/>
      <c r="AI497" s="247"/>
      <c r="AJ497" s="247"/>
      <c r="AK497" s="247"/>
      <c r="AL497" s="247"/>
      <c r="AM497" s="247"/>
      <c r="AN497" s="247"/>
      <c r="AO497" s="247"/>
      <c r="AP497" s="247"/>
      <c r="AQ497" s="247"/>
      <c r="AR497" s="247"/>
      <c r="AS497" s="247"/>
      <c r="AT497" s="248"/>
    </row>
    <row r="498" spans="1:46" s="445" customFormat="1" ht="47.25" customHeight="1">
      <c r="A498" s="245"/>
      <c r="B498" s="249"/>
      <c r="C498" s="245"/>
      <c r="D498" s="249"/>
      <c r="E498" s="249"/>
      <c r="F498" s="245"/>
      <c r="G498" s="245"/>
      <c r="H498" s="246"/>
      <c r="I498" s="246"/>
      <c r="J498" s="246"/>
      <c r="K498" s="246"/>
      <c r="L498" s="247"/>
      <c r="M498" s="247"/>
      <c r="N498" s="247"/>
      <c r="O498" s="247"/>
      <c r="P498" s="247"/>
      <c r="Q498" s="247"/>
      <c r="R498" s="247"/>
      <c r="S498" s="247"/>
      <c r="T498" s="247"/>
      <c r="U498" s="247"/>
      <c r="V498" s="247"/>
      <c r="W498" s="247"/>
      <c r="X498" s="247"/>
      <c r="Y498" s="247"/>
      <c r="Z498" s="247"/>
      <c r="AA498" s="247"/>
      <c r="AB498" s="247"/>
      <c r="AC498" s="247"/>
      <c r="AD498" s="247"/>
      <c r="AE498" s="247"/>
      <c r="AF498" s="247"/>
      <c r="AG498" s="247"/>
      <c r="AH498" s="247"/>
      <c r="AI498" s="247"/>
      <c r="AJ498" s="247"/>
      <c r="AK498" s="247"/>
      <c r="AL498" s="247"/>
      <c r="AM498" s="247"/>
      <c r="AN498" s="247"/>
      <c r="AO498" s="247"/>
      <c r="AP498" s="247"/>
      <c r="AQ498" s="247"/>
      <c r="AR498" s="247"/>
      <c r="AS498" s="247"/>
      <c r="AT498" s="248"/>
    </row>
  </sheetData>
  <mergeCells count="46">
    <mergeCell ref="AD8:AE8"/>
    <mergeCell ref="AI8:AI9"/>
    <mergeCell ref="AJ8:AJ9"/>
    <mergeCell ref="AK8:AK9"/>
    <mergeCell ref="AR1:AS1"/>
    <mergeCell ref="AR6:AR8"/>
    <mergeCell ref="AH6:AK6"/>
    <mergeCell ref="AH7:AH9"/>
    <mergeCell ref="AI7:AK7"/>
    <mergeCell ref="R8:S8"/>
    <mergeCell ref="T8:U8"/>
    <mergeCell ref="V8:W8"/>
    <mergeCell ref="X8:Y8"/>
    <mergeCell ref="Z8:AA8"/>
    <mergeCell ref="AB8:AC8"/>
    <mergeCell ref="AS6:AS9"/>
    <mergeCell ref="AT6:AT9"/>
    <mergeCell ref="G7:G9"/>
    <mergeCell ref="I7:I9"/>
    <mergeCell ref="L7:L9"/>
    <mergeCell ref="M7:M9"/>
    <mergeCell ref="N7:S7"/>
    <mergeCell ref="T7:AE7"/>
    <mergeCell ref="AF7:AF9"/>
    <mergeCell ref="AG7:AG9"/>
    <mergeCell ref="AL6:AL9"/>
    <mergeCell ref="AM6:AN8"/>
    <mergeCell ref="AO6:AO9"/>
    <mergeCell ref="AP6:AP9"/>
    <mergeCell ref="AQ6:AQ9"/>
    <mergeCell ref="A2:B2"/>
    <mergeCell ref="A3:AT3"/>
    <mergeCell ref="A4:AT4"/>
    <mergeCell ref="H5:AT5"/>
    <mergeCell ref="A6:A9"/>
    <mergeCell ref="B6:B9"/>
    <mergeCell ref="C6:C9"/>
    <mergeCell ref="D6:D9"/>
    <mergeCell ref="E6:E9"/>
    <mergeCell ref="F6:F9"/>
    <mergeCell ref="H6:H9"/>
    <mergeCell ref="J6:J9"/>
    <mergeCell ref="K6:K9"/>
    <mergeCell ref="L6:AG6"/>
    <mergeCell ref="N8:O8"/>
    <mergeCell ref="P8:Q8"/>
  </mergeCells>
  <pageMargins left="0.75" right="0.25"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511" t="s">
        <v>82</v>
      </c>
      <c r="K1" s="511"/>
    </row>
    <row r="2" spans="1:11" ht="32.25" customHeight="1">
      <c r="A2" s="511" t="s">
        <v>83</v>
      </c>
      <c r="B2" s="511"/>
      <c r="C2" s="511"/>
      <c r="D2" s="511"/>
      <c r="E2" s="511"/>
      <c r="F2" s="511"/>
      <c r="G2" s="511"/>
      <c r="H2" s="511"/>
      <c r="I2" s="511"/>
      <c r="J2" s="511"/>
      <c r="K2" s="511"/>
    </row>
    <row r="3" spans="1:11">
      <c r="A3" s="511" t="s">
        <v>2</v>
      </c>
      <c r="B3" s="511"/>
      <c r="C3" s="511"/>
      <c r="D3" s="511"/>
      <c r="E3" s="511"/>
      <c r="F3" s="511"/>
      <c r="G3" s="511"/>
      <c r="H3" s="511"/>
      <c r="I3" s="511"/>
      <c r="J3" s="511"/>
      <c r="K3" s="511"/>
    </row>
    <row r="4" spans="1:11">
      <c r="A4" s="3"/>
      <c r="J4" s="512" t="s">
        <v>3</v>
      </c>
      <c r="K4" s="512"/>
    </row>
    <row r="5" spans="1:11">
      <c r="A5" s="520" t="s">
        <v>4</v>
      </c>
      <c r="B5" s="520" t="s">
        <v>84</v>
      </c>
      <c r="C5" s="520" t="s">
        <v>6</v>
      </c>
      <c r="D5" s="520" t="s">
        <v>46</v>
      </c>
      <c r="E5" s="520"/>
      <c r="F5" s="520" t="s">
        <v>85</v>
      </c>
      <c r="G5" s="520" t="s">
        <v>46</v>
      </c>
      <c r="H5" s="520"/>
      <c r="I5" s="520" t="s">
        <v>44</v>
      </c>
      <c r="J5" s="520"/>
      <c r="K5" s="520"/>
    </row>
    <row r="6" spans="1:11" ht="39">
      <c r="A6" s="520"/>
      <c r="B6" s="520"/>
      <c r="C6" s="520"/>
      <c r="D6" s="40" t="s">
        <v>86</v>
      </c>
      <c r="E6" s="40" t="s">
        <v>87</v>
      </c>
      <c r="F6" s="520"/>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516" t="s">
        <v>355</v>
      </c>
      <c r="B34" s="516"/>
      <c r="C34" s="516"/>
      <c r="D34" s="516"/>
      <c r="E34" s="516"/>
      <c r="F34" s="516"/>
      <c r="G34" s="516"/>
      <c r="H34" s="516"/>
      <c r="I34" s="516"/>
      <c r="J34" s="516"/>
      <c r="K34" s="516"/>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511" t="s">
        <v>123</v>
      </c>
      <c r="F1" s="511"/>
    </row>
    <row r="2" spans="1:6" ht="30.75" customHeight="1">
      <c r="A2" s="511" t="s">
        <v>124</v>
      </c>
      <c r="B2" s="511"/>
      <c r="C2" s="511"/>
      <c r="D2" s="511"/>
      <c r="E2" s="511"/>
      <c r="F2" s="511"/>
    </row>
    <row r="3" spans="1:6">
      <c r="A3" s="511" t="s">
        <v>125</v>
      </c>
      <c r="B3" s="511"/>
      <c r="C3" s="511"/>
      <c r="D3" s="511"/>
      <c r="E3" s="511"/>
      <c r="F3" s="511"/>
    </row>
    <row r="4" spans="1:6">
      <c r="A4" s="3"/>
      <c r="E4" s="512" t="s">
        <v>3</v>
      </c>
      <c r="F4" s="512"/>
    </row>
    <row r="5" spans="1:6">
      <c r="A5" s="514" t="s">
        <v>4</v>
      </c>
      <c r="B5" s="514" t="s">
        <v>5</v>
      </c>
      <c r="C5" s="514" t="s">
        <v>126</v>
      </c>
      <c r="D5" s="514" t="s">
        <v>127</v>
      </c>
      <c r="E5" s="514" t="s">
        <v>8</v>
      </c>
      <c r="F5" s="514"/>
    </row>
    <row r="6" spans="1:6">
      <c r="A6" s="514"/>
      <c r="B6" s="514"/>
      <c r="C6" s="514"/>
      <c r="D6" s="514"/>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521" t="s">
        <v>151</v>
      </c>
      <c r="B47" s="521"/>
      <c r="C47" s="521"/>
      <c r="D47" s="521"/>
      <c r="E47" s="521"/>
      <c r="F47" s="521"/>
    </row>
    <row r="48" spans="1:6" ht="30.75" customHeight="1">
      <c r="A48" s="517" t="s">
        <v>152</v>
      </c>
      <c r="B48" s="517"/>
      <c r="C48" s="517"/>
      <c r="D48" s="517"/>
      <c r="E48" s="517"/>
      <c r="F48" s="517"/>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511" t="s">
        <v>153</v>
      </c>
      <c r="K1" s="511"/>
    </row>
    <row r="2" spans="1:15">
      <c r="A2" s="511" t="s">
        <v>154</v>
      </c>
      <c r="B2" s="511"/>
      <c r="C2" s="511"/>
      <c r="D2" s="511"/>
      <c r="E2" s="511"/>
      <c r="F2" s="511"/>
      <c r="G2" s="511"/>
      <c r="H2" s="511"/>
      <c r="I2" s="511"/>
      <c r="J2" s="511"/>
      <c r="K2" s="511"/>
    </row>
    <row r="3" spans="1:15">
      <c r="A3" s="511" t="s">
        <v>125</v>
      </c>
      <c r="B3" s="511"/>
      <c r="C3" s="511"/>
      <c r="D3" s="511"/>
      <c r="E3" s="511"/>
      <c r="F3" s="511"/>
      <c r="G3" s="511"/>
      <c r="H3" s="511"/>
      <c r="I3" s="511"/>
      <c r="J3" s="511"/>
      <c r="K3" s="511"/>
    </row>
    <row r="4" spans="1:15">
      <c r="A4" s="3"/>
      <c r="J4" s="512" t="s">
        <v>3</v>
      </c>
      <c r="K4" s="512"/>
    </row>
    <row r="5" spans="1:15" ht="49.5" customHeight="1">
      <c r="A5" s="514" t="s">
        <v>4</v>
      </c>
      <c r="B5" s="514" t="s">
        <v>69</v>
      </c>
      <c r="C5" s="514" t="s">
        <v>45</v>
      </c>
      <c r="D5" s="514" t="s">
        <v>97</v>
      </c>
      <c r="E5" s="514" t="s">
        <v>107</v>
      </c>
      <c r="F5" s="514" t="s">
        <v>155</v>
      </c>
      <c r="G5" s="514" t="s">
        <v>156</v>
      </c>
      <c r="H5" s="514" t="s">
        <v>157</v>
      </c>
      <c r="I5" s="514"/>
      <c r="J5" s="514"/>
      <c r="K5" s="522" t="s">
        <v>158</v>
      </c>
    </row>
    <row r="6" spans="1:15" ht="44.25" customHeight="1">
      <c r="A6" s="514"/>
      <c r="B6" s="514"/>
      <c r="C6" s="514"/>
      <c r="D6" s="514"/>
      <c r="E6" s="514"/>
      <c r="F6" s="514"/>
      <c r="G6" s="514"/>
      <c r="H6" s="15" t="s">
        <v>45</v>
      </c>
      <c r="I6" s="15" t="s">
        <v>97</v>
      </c>
      <c r="J6" s="15" t="s">
        <v>107</v>
      </c>
      <c r="K6" s="523"/>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516" t="s">
        <v>351</v>
      </c>
      <c r="B17" s="516"/>
      <c r="C17" s="516"/>
      <c r="D17" s="516"/>
      <c r="E17" s="516"/>
      <c r="F17" s="516"/>
      <c r="G17" s="516"/>
      <c r="H17" s="516"/>
      <c r="I17" s="516"/>
      <c r="J17" s="516"/>
      <c r="K17" s="516"/>
    </row>
    <row r="18" spans="1:11">
      <c r="A18" s="517" t="s">
        <v>168</v>
      </c>
      <c r="B18" s="517"/>
      <c r="C18" s="517"/>
      <c r="D18" s="517"/>
      <c r="E18" s="517"/>
      <c r="F18" s="517"/>
      <c r="G18" s="517"/>
      <c r="H18" s="517"/>
      <c r="I18" s="517"/>
      <c r="J18" s="517"/>
      <c r="K18" s="517"/>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511" t="s">
        <v>169</v>
      </c>
      <c r="R1" s="511"/>
    </row>
    <row r="2" spans="1:18">
      <c r="A2" s="511" t="s">
        <v>170</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c r="R3" s="511"/>
    </row>
    <row r="4" spans="1:18">
      <c r="A4" s="3"/>
      <c r="Q4" s="512" t="s">
        <v>3</v>
      </c>
      <c r="R4" s="512"/>
    </row>
    <row r="5" spans="1:18" s="43" customFormat="1">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s="43" customFormat="1" ht="107.25" customHeight="1">
      <c r="A6" s="514"/>
      <c r="B6" s="514"/>
      <c r="C6" s="514"/>
      <c r="D6" s="514"/>
      <c r="E6" s="514"/>
      <c r="F6" s="514"/>
      <c r="G6" s="514"/>
      <c r="H6" s="514"/>
      <c r="I6" s="514"/>
      <c r="J6" s="514"/>
      <c r="K6" s="514"/>
      <c r="L6" s="514"/>
      <c r="M6" s="514"/>
      <c r="N6" s="15" t="s">
        <v>174</v>
      </c>
      <c r="O6" s="15" t="s">
        <v>175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G5:G6"/>
    <mergeCell ref="H5:H6"/>
    <mergeCell ref="I5:I6"/>
    <mergeCell ref="J5:J6"/>
    <mergeCell ref="K5:K6"/>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524" t="s">
        <v>177</v>
      </c>
      <c r="R1" s="524"/>
    </row>
    <row r="2" spans="1:18">
      <c r="A2" s="524" t="s">
        <v>178</v>
      </c>
      <c r="B2" s="524"/>
      <c r="C2" s="524"/>
      <c r="D2" s="524"/>
      <c r="E2" s="524"/>
      <c r="F2" s="524"/>
      <c r="G2" s="524"/>
      <c r="H2" s="524"/>
      <c r="I2" s="524"/>
      <c r="J2" s="524"/>
      <c r="K2" s="524"/>
      <c r="L2" s="524"/>
      <c r="M2" s="524"/>
      <c r="N2" s="524"/>
      <c r="O2" s="524"/>
      <c r="P2" s="524"/>
      <c r="Q2" s="524"/>
      <c r="R2" s="524"/>
    </row>
    <row r="3" spans="1:18">
      <c r="A3" s="524" t="s">
        <v>125</v>
      </c>
      <c r="B3" s="524"/>
      <c r="C3" s="524"/>
      <c r="D3" s="524"/>
      <c r="E3" s="524"/>
      <c r="F3" s="524"/>
      <c r="G3" s="524"/>
      <c r="H3" s="524"/>
      <c r="I3" s="524"/>
      <c r="J3" s="524"/>
      <c r="K3" s="524"/>
      <c r="L3" s="524"/>
      <c r="M3" s="524"/>
      <c r="N3" s="524"/>
      <c r="O3" s="524"/>
      <c r="P3" s="524"/>
      <c r="Q3" s="524"/>
      <c r="R3" s="524"/>
    </row>
    <row r="4" spans="1:18">
      <c r="A4" s="45"/>
      <c r="Q4" s="525" t="s">
        <v>3</v>
      </c>
      <c r="R4" s="525"/>
    </row>
    <row r="5" spans="1:18">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ht="102.75" customHeight="1">
      <c r="A6" s="514"/>
      <c r="B6" s="514"/>
      <c r="C6" s="514"/>
      <c r="D6" s="514"/>
      <c r="E6" s="514"/>
      <c r="F6" s="514"/>
      <c r="G6" s="514"/>
      <c r="H6" s="514"/>
      <c r="I6" s="514"/>
      <c r="J6" s="514"/>
      <c r="K6" s="514"/>
      <c r="L6" s="514"/>
      <c r="M6" s="514"/>
      <c r="N6" s="15" t="s">
        <v>174</v>
      </c>
      <c r="O6" s="15" t="s">
        <v>175</v>
      </c>
      <c r="P6" s="514"/>
      <c r="Q6" s="514"/>
      <c r="R6" s="514"/>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A5:A6"/>
    <mergeCell ref="B5:B6"/>
    <mergeCell ref="C5:C6"/>
    <mergeCell ref="D5:D6"/>
    <mergeCell ref="E5:E6"/>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511" t="s">
        <v>179</v>
      </c>
      <c r="AF1" s="511"/>
    </row>
    <row r="2" spans="1:32" ht="15" customHeight="1">
      <c r="A2" s="511" t="s">
        <v>180</v>
      </c>
      <c r="B2" s="511"/>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row>
    <row r="3" spans="1:32">
      <c r="A3" s="511" t="s">
        <v>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row>
    <row r="4" spans="1:32">
      <c r="A4" s="3"/>
      <c r="AE4" s="512" t="s">
        <v>181</v>
      </c>
      <c r="AF4" s="512"/>
    </row>
    <row r="5" spans="1:32">
      <c r="A5" s="526" t="s">
        <v>4</v>
      </c>
      <c r="B5" s="526" t="s">
        <v>42</v>
      </c>
      <c r="C5" s="526" t="s">
        <v>182</v>
      </c>
      <c r="D5" s="526"/>
      <c r="E5" s="526"/>
      <c r="F5" s="526"/>
      <c r="G5" s="526"/>
      <c r="H5" s="526"/>
      <c r="I5" s="526"/>
      <c r="J5" s="526"/>
      <c r="K5" s="526"/>
      <c r="L5" s="526"/>
      <c r="M5" s="526" t="s">
        <v>183</v>
      </c>
      <c r="N5" s="526"/>
      <c r="O5" s="526"/>
      <c r="P5" s="526"/>
      <c r="Q5" s="526"/>
      <c r="R5" s="526"/>
      <c r="S5" s="526"/>
      <c r="T5" s="526"/>
      <c r="U5" s="526"/>
      <c r="V5" s="526"/>
      <c r="W5" s="526" t="s">
        <v>44</v>
      </c>
      <c r="X5" s="526"/>
      <c r="Y5" s="526"/>
      <c r="Z5" s="526"/>
      <c r="AA5" s="526"/>
      <c r="AB5" s="526"/>
      <c r="AC5" s="526"/>
      <c r="AD5" s="526"/>
      <c r="AE5" s="526"/>
      <c r="AF5" s="526"/>
    </row>
    <row r="6" spans="1:32">
      <c r="A6" s="526"/>
      <c r="B6" s="526"/>
      <c r="C6" s="526" t="s">
        <v>45</v>
      </c>
      <c r="D6" s="526" t="s">
        <v>97</v>
      </c>
      <c r="E6" s="526"/>
      <c r="F6" s="526"/>
      <c r="G6" s="526"/>
      <c r="H6" s="526"/>
      <c r="I6" s="526"/>
      <c r="J6" s="526" t="s">
        <v>107</v>
      </c>
      <c r="K6" s="526" t="s">
        <v>172</v>
      </c>
      <c r="L6" s="526"/>
      <c r="M6" s="526" t="s">
        <v>45</v>
      </c>
      <c r="N6" s="526" t="s">
        <v>97</v>
      </c>
      <c r="O6" s="526"/>
      <c r="P6" s="526"/>
      <c r="Q6" s="526"/>
      <c r="R6" s="526"/>
      <c r="S6" s="526"/>
      <c r="T6" s="526" t="s">
        <v>107</v>
      </c>
      <c r="U6" s="526" t="s">
        <v>172</v>
      </c>
      <c r="V6" s="526"/>
      <c r="W6" s="526" t="s">
        <v>45</v>
      </c>
      <c r="X6" s="526" t="s">
        <v>97</v>
      </c>
      <c r="Y6" s="526"/>
      <c r="Z6" s="526"/>
      <c r="AA6" s="526"/>
      <c r="AB6" s="526"/>
      <c r="AC6" s="526"/>
      <c r="AD6" s="526" t="s">
        <v>107</v>
      </c>
      <c r="AE6" s="526" t="s">
        <v>172</v>
      </c>
      <c r="AF6" s="526"/>
    </row>
    <row r="7" spans="1:32">
      <c r="A7" s="526"/>
      <c r="B7" s="526"/>
      <c r="C7" s="526"/>
      <c r="D7" s="526" t="s">
        <v>45</v>
      </c>
      <c r="E7" s="526" t="s">
        <v>172</v>
      </c>
      <c r="F7" s="526"/>
      <c r="G7" s="526" t="s">
        <v>184</v>
      </c>
      <c r="H7" s="526" t="s">
        <v>185</v>
      </c>
      <c r="I7" s="526" t="s">
        <v>103</v>
      </c>
      <c r="J7" s="526"/>
      <c r="K7" s="526"/>
      <c r="L7" s="526"/>
      <c r="M7" s="526"/>
      <c r="N7" s="526" t="s">
        <v>45</v>
      </c>
      <c r="O7" s="526" t="s">
        <v>172</v>
      </c>
      <c r="P7" s="526"/>
      <c r="Q7" s="526" t="s">
        <v>184</v>
      </c>
      <c r="R7" s="526" t="s">
        <v>185</v>
      </c>
      <c r="S7" s="526" t="s">
        <v>103</v>
      </c>
      <c r="T7" s="526"/>
      <c r="U7" s="526" t="s">
        <v>186</v>
      </c>
      <c r="V7" s="526" t="s">
        <v>144</v>
      </c>
      <c r="W7" s="526"/>
      <c r="X7" s="526" t="s">
        <v>45</v>
      </c>
      <c r="Y7" s="526" t="s">
        <v>172</v>
      </c>
      <c r="Z7" s="526"/>
      <c r="AA7" s="526" t="s">
        <v>184</v>
      </c>
      <c r="AB7" s="526" t="s">
        <v>185</v>
      </c>
      <c r="AC7" s="526" t="s">
        <v>103</v>
      </c>
      <c r="AD7" s="526"/>
      <c r="AE7" s="526"/>
      <c r="AF7" s="526"/>
    </row>
    <row r="8" spans="1:32" ht="34.5">
      <c r="A8" s="526"/>
      <c r="B8" s="526"/>
      <c r="C8" s="526"/>
      <c r="D8" s="526"/>
      <c r="E8" s="56" t="s">
        <v>186</v>
      </c>
      <c r="F8" s="56" t="s">
        <v>101</v>
      </c>
      <c r="G8" s="526"/>
      <c r="H8" s="526"/>
      <c r="I8" s="526"/>
      <c r="J8" s="526"/>
      <c r="K8" s="56" t="s">
        <v>186</v>
      </c>
      <c r="L8" s="56" t="s">
        <v>144</v>
      </c>
      <c r="M8" s="526"/>
      <c r="N8" s="526"/>
      <c r="O8" s="56" t="s">
        <v>186</v>
      </c>
      <c r="P8" s="56" t="s">
        <v>101</v>
      </c>
      <c r="Q8" s="526"/>
      <c r="R8" s="526"/>
      <c r="S8" s="526"/>
      <c r="T8" s="526"/>
      <c r="U8" s="526"/>
      <c r="V8" s="526"/>
      <c r="W8" s="526"/>
      <c r="X8" s="526"/>
      <c r="Y8" s="56" t="s">
        <v>186</v>
      </c>
      <c r="Z8" s="56" t="s">
        <v>101</v>
      </c>
      <c r="AA8" s="526"/>
      <c r="AB8" s="526"/>
      <c r="AC8" s="526"/>
      <c r="AD8" s="526"/>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 ref="V7:V8"/>
    <mergeCell ref="X7:X8"/>
    <mergeCell ref="N7:N8"/>
    <mergeCell ref="O7:P7"/>
    <mergeCell ref="Q7:Q8"/>
    <mergeCell ref="R7:R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0F4992-65DD-44AB-A398-48DF142C3631}"/>
</file>

<file path=customXml/itemProps2.xml><?xml version="1.0" encoding="utf-8"?>
<ds:datastoreItem xmlns:ds="http://schemas.openxmlformats.org/officeDocument/2006/customXml" ds:itemID="{4A38252C-A842-4C31-B92E-79769B91501D}"/>
</file>

<file path=customXml/itemProps3.xml><?xml version="1.0" encoding="utf-8"?>
<ds:datastoreItem xmlns:ds="http://schemas.openxmlformats.org/officeDocument/2006/customXml" ds:itemID="{52B35B90-7C3F-481A-B4AD-0D013D5FC0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56</vt:i4>
      </vt:variant>
    </vt:vector>
  </HeadingPairs>
  <TitlesOfParts>
    <vt:vector size="87"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58</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'51'!Print_Titles</vt:lpstr>
      <vt:lpstr>'53'!Print_Titles</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2018-12-13T09:32:31Z</cp:lastPrinted>
  <dcterms:created xsi:type="dcterms:W3CDTF">2017-05-31T02:53:19Z</dcterms:created>
  <dcterms:modified xsi:type="dcterms:W3CDTF">2020-06-25T03:13:12Z</dcterms:modified>
</cp:coreProperties>
</file>